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-108" yWindow="-108" windowWidth="23256" windowHeight="12456" tabRatio="357"/>
  </bookViews>
  <sheets>
    <sheet name="INDEX" sheetId="51" r:id="rId1"/>
    <sheet name="INDEX เฟรมล่าง" sheetId="8" r:id="rId2"/>
    <sheet name="INDEX รางยู" sheetId="110" r:id="rId3"/>
    <sheet name="CORNER คู่+คู่" sheetId="67" r:id="rId4"/>
    <sheet name="CORNER คี่+คู่" sheetId="70" r:id="rId5"/>
    <sheet name="CORNER คี่+คี่" sheetId="71" r:id="rId6"/>
    <sheet name="2P 2-0" sheetId="30" r:id="rId7"/>
    <sheet name="3P 3-0" sheetId="35" r:id="rId8"/>
    <sheet name="3P 2-1" sheetId="39" r:id="rId9"/>
    <sheet name="4P 4-0" sheetId="31" r:id="rId10"/>
    <sheet name="4P 3-1" sheetId="46" r:id="rId11"/>
    <sheet name="4P 2-2" sheetId="52" r:id="rId12"/>
    <sheet name="5P 5-0" sheetId="36" r:id="rId13"/>
    <sheet name="5P 4-1" sheetId="50" r:id="rId14"/>
    <sheet name="5P 3-2" sheetId="40" r:id="rId15"/>
    <sheet name="6P 6-0" sheetId="32" r:id="rId16"/>
    <sheet name="6P 5-1" sheetId="47" r:id="rId17"/>
    <sheet name="6P 4-2" sheetId="54" r:id="rId18"/>
    <sheet name="6P 3-3" sheetId="55" r:id="rId19"/>
    <sheet name="7P 7-0" sheetId="37" r:id="rId20"/>
    <sheet name="7P 6-1" sheetId="41" r:id="rId21"/>
    <sheet name="7P 5-2" sheetId="56" r:id="rId22"/>
    <sheet name="7P 4-3" sheetId="57" r:id="rId23"/>
    <sheet name="8P 8-0" sheetId="33" r:id="rId24"/>
    <sheet name="8P 7-1" sheetId="48" r:id="rId25"/>
    <sheet name="8P 4-4" sheetId="53" r:id="rId26"/>
    <sheet name="8P 5-3" sheetId="59" r:id="rId27"/>
    <sheet name="8P 6-2" sheetId="58" r:id="rId28"/>
    <sheet name="9P 9-0" sheetId="38" r:id="rId29"/>
    <sheet name="9P 8-1" sheetId="42" r:id="rId30"/>
    <sheet name="9P 7-2" sheetId="60" r:id="rId31"/>
    <sheet name="9P 6-3" sheetId="61" r:id="rId32"/>
    <sheet name="9P 5-4" sheetId="62" r:id="rId33"/>
    <sheet name="10P 10-0" sheetId="34" r:id="rId34"/>
    <sheet name="10P 9-1" sheetId="49" r:id="rId35"/>
    <sheet name="10P 8-2" sheetId="63" r:id="rId36"/>
    <sheet name="10P 7-3" sheetId="64" r:id="rId37"/>
    <sheet name="10P 6-4" sheetId="65" r:id="rId38"/>
    <sheet name="10P 5-5" sheetId="66" r:id="rId39"/>
    <sheet name="CORNER คู่+คู่ (U)" sheetId="72" r:id="rId40"/>
    <sheet name="CORNER คี่+คู่ (U)" sheetId="73" r:id="rId41"/>
    <sheet name="CORNER คี่+คี่  (U)" sheetId="74" r:id="rId42"/>
    <sheet name="2P 2-0 (U)" sheetId="77" r:id="rId43"/>
    <sheet name="3P 3-0 (U)" sheetId="78" r:id="rId44"/>
    <sheet name="3P 2-1 (U)" sheetId="79" r:id="rId45"/>
    <sheet name="4P 4-0 (U)" sheetId="80" r:id="rId46"/>
    <sheet name="4P 3-1 (U)" sheetId="81" r:id="rId47"/>
    <sheet name="4P 2-2 (U)" sheetId="82" r:id="rId48"/>
    <sheet name="5P 5-0 (U)" sheetId="83" r:id="rId49"/>
    <sheet name="5P 4-1 (U)" sheetId="84" r:id="rId50"/>
    <sheet name="5P 3-2 (U)" sheetId="85" r:id="rId51"/>
    <sheet name="6P 6-0 (U)" sheetId="86" r:id="rId52"/>
    <sheet name="6P 5-1 (U)" sheetId="87" r:id="rId53"/>
    <sheet name="6P 4-2 (U)" sheetId="88" r:id="rId54"/>
    <sheet name="6P 3-3 (U)" sheetId="89" r:id="rId55"/>
    <sheet name="7P 7-0 (U)" sheetId="90" r:id="rId56"/>
    <sheet name="7P 6-1 (U)" sheetId="91" r:id="rId57"/>
    <sheet name="7P 5-2  (U)" sheetId="92" r:id="rId58"/>
    <sheet name="7P 4-3 (U)" sheetId="93" r:id="rId59"/>
    <sheet name="8P 8-0 (U)" sheetId="94" r:id="rId60"/>
    <sheet name="8P 7-1 (U)" sheetId="95" r:id="rId61"/>
    <sheet name="8P 4-4 (U)" sheetId="96" r:id="rId62"/>
    <sheet name="8P 5-3 (U)" sheetId="97" r:id="rId63"/>
    <sheet name="8P 6-2 (U)" sheetId="98" r:id="rId64"/>
    <sheet name="9P 9-0 (U)" sheetId="99" r:id="rId65"/>
    <sheet name="9P 8-1 (U)" sheetId="100" r:id="rId66"/>
    <sheet name="9P 7-2 (U)" sheetId="101" r:id="rId67"/>
    <sheet name="9P 6-3 (U)" sheetId="102" r:id="rId68"/>
    <sheet name="9P 5-4 (U)" sheetId="103" r:id="rId69"/>
    <sheet name="10P 10-0 (U)" sheetId="104" r:id="rId70"/>
    <sheet name="10P 9-1 (U)" sheetId="105" r:id="rId71"/>
    <sheet name="10P 8-2 (U)" sheetId="106" r:id="rId72"/>
    <sheet name="10P 7-3 (U)" sheetId="107" r:id="rId73"/>
    <sheet name="10P 6-4 (U)" sheetId="108" r:id="rId74"/>
    <sheet name="10P 5-5 (U)" sheetId="109" r:id="rId75"/>
  </sheets>
  <definedNames>
    <definedName name="_xlnm.Print_Area" localSheetId="33">'10P 10-0'!$A$1:$Q$30</definedName>
    <definedName name="_xlnm.Print_Area" localSheetId="69">'10P 10-0 (U)'!$A$1:$Q$30</definedName>
    <definedName name="_xlnm.Print_Area" localSheetId="38">'10P 5-5'!$A$1:$Q$33</definedName>
    <definedName name="_xlnm.Print_Area" localSheetId="74">'10P 5-5 (U)'!$A$1:$Q$33</definedName>
    <definedName name="_xlnm.Print_Area" localSheetId="37">'10P 6-4'!$A$1:$Q$30</definedName>
    <definedName name="_xlnm.Print_Area" localSheetId="73">'10P 6-4 (U)'!$A$1:$Q$30</definedName>
    <definedName name="_xlnm.Print_Area" localSheetId="36">'10P 7-3'!$A$1:$Q$33</definedName>
    <definedName name="_xlnm.Print_Area" localSheetId="72">'10P 7-3 (U)'!$A$1:$Q$33</definedName>
    <definedName name="_xlnm.Print_Area" localSheetId="35">'10P 8-2'!$A$1:$Q$30</definedName>
    <definedName name="_xlnm.Print_Area" localSheetId="71">'10P 8-2 (U)'!$A$1:$Q$30</definedName>
    <definedName name="_xlnm.Print_Area" localSheetId="34">'10P 9-1'!$A$1:$Q$33</definedName>
    <definedName name="_xlnm.Print_Area" localSheetId="70">'10P 9-1 (U)'!$A$1:$Q$33</definedName>
    <definedName name="_xlnm.Print_Area" localSheetId="6">'2P 2-0'!$A$1:$Q$30</definedName>
    <definedName name="_xlnm.Print_Area" localSheetId="42">'2P 2-0 (U)'!$A$1:$Q$30</definedName>
    <definedName name="_xlnm.Print_Area" localSheetId="8">'3P 2-1'!$A$1:$Q$33</definedName>
    <definedName name="_xlnm.Print_Area" localSheetId="44">'3P 2-1 (U)'!$A$1:$Q$33</definedName>
    <definedName name="_xlnm.Print_Area" localSheetId="43">'3P 3-0 (U)'!$A$1:$Q$33</definedName>
    <definedName name="_xlnm.Print_Area" localSheetId="11">'4P 2-2'!$A$1:$Q$30</definedName>
    <definedName name="_xlnm.Print_Area" localSheetId="47">'4P 2-2 (U)'!$A$1:$Q$30</definedName>
    <definedName name="_xlnm.Print_Area" localSheetId="10">'4P 3-1'!$A$1:$Q$33</definedName>
    <definedName name="_xlnm.Print_Area" localSheetId="46">'4P 3-1 (U)'!$A$1:$Q$33</definedName>
    <definedName name="_xlnm.Print_Area" localSheetId="9">'4P 4-0'!$A$1:$Q$30</definedName>
    <definedName name="_xlnm.Print_Area" localSheetId="45">'4P 4-0 (U)'!$A$1:$Q$30</definedName>
    <definedName name="_xlnm.Print_Area" localSheetId="14">'5P 3-2'!$A$1:$Q$33</definedName>
    <definedName name="_xlnm.Print_Area" localSheetId="50">'5P 3-2 (U)'!$A$1:$Q$33</definedName>
    <definedName name="_xlnm.Print_Area" localSheetId="13">'5P 4-1'!$A$1:$Q$33</definedName>
    <definedName name="_xlnm.Print_Area" localSheetId="49">'5P 4-1 (U)'!$A$1:$Q$33</definedName>
    <definedName name="_xlnm.Print_Area" localSheetId="12">'5P 5-0'!$A$1:$J$16</definedName>
    <definedName name="_xlnm.Print_Area" localSheetId="48">'5P 5-0 (U)'!$A$1:$Q$33</definedName>
    <definedName name="_xlnm.Print_Area" localSheetId="18">'6P 3-3'!$A$1:$Q$34</definedName>
    <definedName name="_xlnm.Print_Area" localSheetId="54">'6P 3-3 (U)'!$A$1:$Q$33</definedName>
    <definedName name="_xlnm.Print_Area" localSheetId="17">'6P 4-2'!$A$1:$Q$30</definedName>
    <definedName name="_xlnm.Print_Area" localSheetId="53">'6P 4-2 (U)'!$A$1:$Q$30</definedName>
    <definedName name="_xlnm.Print_Area" localSheetId="16">'6P 5-1'!$A$1:$Q$33</definedName>
    <definedName name="_xlnm.Print_Area" localSheetId="52">'6P 5-1 (U)'!$A$1:$Q$33</definedName>
    <definedName name="_xlnm.Print_Area" localSheetId="15">'6P 6-0'!$A$1:$Q$30</definedName>
    <definedName name="_xlnm.Print_Area" localSheetId="51">'6P 6-0 (U)'!$A$1:$Q$30</definedName>
    <definedName name="_xlnm.Print_Area" localSheetId="22">'7P 4-3'!$A$1:$Q$33</definedName>
    <definedName name="_xlnm.Print_Area" localSheetId="58">'7P 4-3 (U)'!$A$1:$Q$33</definedName>
    <definedName name="_xlnm.Print_Area" localSheetId="21">'7P 5-2'!$A$1:$Q$33</definedName>
    <definedName name="_xlnm.Print_Area" localSheetId="57">'7P 5-2  (U)'!$A$1:$Q$33</definedName>
    <definedName name="_xlnm.Print_Area" localSheetId="20">'7P 6-1'!$A$1:$Q$33</definedName>
    <definedName name="_xlnm.Print_Area" localSheetId="56">'7P 6-1 (U)'!$A$1:$Q$33</definedName>
    <definedName name="_xlnm.Print_Area" localSheetId="19">'7P 7-0'!$A$1:$Q$33</definedName>
    <definedName name="_xlnm.Print_Area" localSheetId="55">'7P 7-0 (U)'!$A$1:$Q$33</definedName>
    <definedName name="_xlnm.Print_Area" localSheetId="25">'8P 4-4'!$A$1:$Q$30</definedName>
    <definedName name="_xlnm.Print_Area" localSheetId="61">'8P 4-4 (U)'!$A$1:$Q$30</definedName>
    <definedName name="_xlnm.Print_Area" localSheetId="26">'8P 5-3'!$A$1:$Q$33</definedName>
    <definedName name="_xlnm.Print_Area" localSheetId="62">'8P 5-3 (U)'!$A$1:$Q$33</definedName>
    <definedName name="_xlnm.Print_Area" localSheetId="27">'8P 6-2'!$A$1:$Q$30</definedName>
    <definedName name="_xlnm.Print_Area" localSheetId="63">'8P 6-2 (U)'!$A$1:$Q$30</definedName>
    <definedName name="_xlnm.Print_Area" localSheetId="24">'8P 7-1'!$A$1:$Q$33</definedName>
    <definedName name="_xlnm.Print_Area" localSheetId="60">'8P 7-1 (U)'!$A$1:$Q$33</definedName>
    <definedName name="_xlnm.Print_Area" localSheetId="23">'8P 8-0'!$A$1:$Q$30</definedName>
    <definedName name="_xlnm.Print_Area" localSheetId="59">'8P 8-0 (U)'!$A$1:$Q$30</definedName>
    <definedName name="_xlnm.Print_Area" localSheetId="32">'9P 5-4'!$A$1:$Q$33</definedName>
    <definedName name="_xlnm.Print_Area" localSheetId="68">'9P 5-4 (U)'!$A$1:$Q$33</definedName>
    <definedName name="_xlnm.Print_Area" localSheetId="31">'9P 6-3'!$A$1:$Q$33</definedName>
    <definedName name="_xlnm.Print_Area" localSheetId="67">'9P 6-3 (U)'!$A$1:$Q$33</definedName>
    <definedName name="_xlnm.Print_Area" localSheetId="30">'9P 7-2'!$A$1:$Q$33</definedName>
    <definedName name="_xlnm.Print_Area" localSheetId="66">'9P 7-2 (U)'!$A$1:$Q$33</definedName>
    <definedName name="_xlnm.Print_Area" localSheetId="29">'9P 8-1'!$A$1:$Q$33</definedName>
    <definedName name="_xlnm.Print_Area" localSheetId="65">'9P 8-1 (U)'!$A$1:$Q$33</definedName>
    <definedName name="_xlnm.Print_Area" localSheetId="28">'9P 9-0'!$A$1:$Q$33</definedName>
    <definedName name="_xlnm.Print_Area" localSheetId="64">'9P 9-0 (U)'!$A$1:$Q$33</definedName>
    <definedName name="_xlnm.Print_Area" localSheetId="5">'CORNER คี่+คี่'!$A$1:$Q$87</definedName>
    <definedName name="_xlnm.Print_Area" localSheetId="41">'CORNER คี่+คี่  (U)'!$A$1:$Q$87</definedName>
    <definedName name="_xlnm.Print_Area" localSheetId="4">'CORNER คี่+คู่'!$A$1:$Q$87</definedName>
    <definedName name="_xlnm.Print_Area" localSheetId="40">'CORNER คี่+คู่ (U)'!$A$1:$Q$87</definedName>
    <definedName name="_xlnm.Print_Area" localSheetId="3">'CORNER คู่+คู่'!$A$1:$Q$87</definedName>
    <definedName name="_xlnm.Print_Area" localSheetId="39">'CORNER คู่+คู่ (U)'!$A$1:$Q$87</definedName>
    <definedName name="_xlnm.Print_Area" localSheetId="0">INDEX!#REF!</definedName>
    <definedName name="_xlnm.Print_Area" localSheetId="1">'INDEX เฟรมล่าง'!#REF!</definedName>
    <definedName name="_xlnm.Print_Area" localSheetId="2">'INDEX รางยู'!#REF!</definedName>
    <definedName name="RUNON" localSheetId="33">#REF!+1</definedName>
    <definedName name="RUNON" localSheetId="69">#REF!+1</definedName>
    <definedName name="RUNON" localSheetId="38">#REF!+1</definedName>
    <definedName name="RUNON" localSheetId="74">#REF!+1</definedName>
    <definedName name="RUNON" localSheetId="37">#REF!+1</definedName>
    <definedName name="RUNON" localSheetId="73">#REF!+1</definedName>
    <definedName name="RUNON" localSheetId="36">#REF!+1</definedName>
    <definedName name="RUNON" localSheetId="72">#REF!+1</definedName>
    <definedName name="RUNON" localSheetId="35">#REF!+1</definedName>
    <definedName name="RUNON" localSheetId="71">#REF!+1</definedName>
    <definedName name="RUNON" localSheetId="34">#REF!+1</definedName>
    <definedName name="RUNON" localSheetId="70">#REF!+1</definedName>
    <definedName name="RUNON" localSheetId="8">#REF!+1</definedName>
    <definedName name="RUNON" localSheetId="44">#REF!+1</definedName>
    <definedName name="RUNON" localSheetId="7">#REF!+1</definedName>
    <definedName name="RUNON" localSheetId="43">#REF!+1</definedName>
    <definedName name="RUNON" localSheetId="11">#REF!+1</definedName>
    <definedName name="RUNON" localSheetId="47">#REF!+1</definedName>
    <definedName name="RUNON" localSheetId="10">#REF!+1</definedName>
    <definedName name="RUNON" localSheetId="46">#REF!+1</definedName>
    <definedName name="RUNON" localSheetId="9">#REF!+1</definedName>
    <definedName name="RUNON" localSheetId="45">#REF!+1</definedName>
    <definedName name="RUNON" localSheetId="14">#REF!+1</definedName>
    <definedName name="RUNON" localSheetId="50">#REF!+1</definedName>
    <definedName name="RUNON" localSheetId="13">#REF!+1</definedName>
    <definedName name="RUNON" localSheetId="49">#REF!+1</definedName>
    <definedName name="RUNON" localSheetId="12">#REF!+1</definedName>
    <definedName name="RUNON" localSheetId="48">#REF!+1</definedName>
    <definedName name="RUNON" localSheetId="18">#REF!+1</definedName>
    <definedName name="RUNON" localSheetId="54">#REF!+1</definedName>
    <definedName name="RUNON" localSheetId="17">#REF!+1</definedName>
    <definedName name="RUNON" localSheetId="53">#REF!+1</definedName>
    <definedName name="RUNON" localSheetId="16">#REF!+1</definedName>
    <definedName name="RUNON" localSheetId="52">#REF!+1</definedName>
    <definedName name="RUNON" localSheetId="15">#REF!+1</definedName>
    <definedName name="RUNON" localSheetId="51">#REF!+1</definedName>
    <definedName name="RUNON" localSheetId="22">#REF!+1</definedName>
    <definedName name="RUNON" localSheetId="58">#REF!+1</definedName>
    <definedName name="RUNON" localSheetId="21">#REF!+1</definedName>
    <definedName name="RUNON" localSheetId="57">#REF!+1</definedName>
    <definedName name="RUNON" localSheetId="20">#REF!+1</definedName>
    <definedName name="RUNON" localSheetId="56">#REF!+1</definedName>
    <definedName name="RUNON" localSheetId="19">#REF!+1</definedName>
    <definedName name="RUNON" localSheetId="55">#REF!+1</definedName>
    <definedName name="RUNON" localSheetId="25">#REF!+1</definedName>
    <definedName name="RUNON" localSheetId="61">#REF!+1</definedName>
    <definedName name="RUNON" localSheetId="26">#REF!+1</definedName>
    <definedName name="RUNON" localSheetId="62">#REF!+1</definedName>
    <definedName name="RUNON" localSheetId="27">#REF!+1</definedName>
    <definedName name="RUNON" localSheetId="63">#REF!+1</definedName>
    <definedName name="RUNON" localSheetId="24">#REF!+1</definedName>
    <definedName name="RUNON" localSheetId="60">#REF!+1</definedName>
    <definedName name="RUNON" localSheetId="23">#REF!+1</definedName>
    <definedName name="RUNON" localSheetId="59">#REF!+1</definedName>
    <definedName name="RUNON" localSheetId="32">#REF!+1</definedName>
    <definedName name="RUNON" localSheetId="68">#REF!+1</definedName>
    <definedName name="RUNON" localSheetId="31">#REF!+1</definedName>
    <definedName name="RUNON" localSheetId="67">#REF!+1</definedName>
    <definedName name="RUNON" localSheetId="30">#REF!+1</definedName>
    <definedName name="RUNON" localSheetId="66">#REF!+1</definedName>
    <definedName name="RUNON" localSheetId="29">#REF!+1</definedName>
    <definedName name="RUNON" localSheetId="65">#REF!+1</definedName>
    <definedName name="RUNON" localSheetId="28">#REF!+1</definedName>
    <definedName name="RUNON" localSheetId="64">#REF!+1</definedName>
    <definedName name="RUNON" localSheetId="5">#REF!+1</definedName>
    <definedName name="RUNON" localSheetId="41">#REF!+1</definedName>
    <definedName name="RUNON" localSheetId="4">#REF!+1</definedName>
    <definedName name="RUNON" localSheetId="40">#REF!+1</definedName>
    <definedName name="RUNON" localSheetId="3">#REF!+1</definedName>
    <definedName name="RUNON" localSheetId="39">#REF!+1</definedName>
    <definedName name="RUNON" localSheetId="0">#REF!+1</definedName>
    <definedName name="RUNON" localSheetId="2">#REF!+1</definedName>
    <definedName name="RUNON">#REF!+1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20" i="67" l="1"/>
  <c r="H19" i="67"/>
  <c r="H20" i="71"/>
  <c r="H19" i="71"/>
  <c r="H12" i="39"/>
  <c r="H15" i="39" s="1"/>
  <c r="H12" i="46"/>
  <c r="H14" i="46" s="1"/>
  <c r="H12" i="52"/>
  <c r="H14" i="52" s="1"/>
  <c r="H12" i="40"/>
  <c r="H14" i="40" s="1"/>
  <c r="H12" i="32"/>
  <c r="H14" i="32" s="1"/>
  <c r="H12" i="47"/>
  <c r="H14" i="47" s="1"/>
  <c r="H12" i="54"/>
  <c r="H14" i="54" s="1"/>
  <c r="H12" i="55"/>
  <c r="H14" i="55" s="1"/>
  <c r="H12" i="37"/>
  <c r="H14" i="37" s="1"/>
  <c r="H12" i="41"/>
  <c r="H14" i="41" s="1"/>
  <c r="H12" i="56"/>
  <c r="H14" i="56" s="1"/>
  <c r="H12" i="57"/>
  <c r="H12" i="33"/>
  <c r="H14" i="33" s="1"/>
  <c r="H12" i="48"/>
  <c r="H14" i="48" s="1"/>
  <c r="H12" i="53"/>
  <c r="H14" i="53" s="1"/>
  <c r="H12" i="59"/>
  <c r="H14" i="59" s="1"/>
  <c r="H12" i="58"/>
  <c r="H14" i="58" s="1"/>
  <c r="H12" i="38"/>
  <c r="H14" i="38" s="1"/>
  <c r="H12" i="42"/>
  <c r="H15" i="42" s="1"/>
  <c r="H12" i="60"/>
  <c r="H14" i="60" s="1"/>
  <c r="H12" i="61"/>
  <c r="H15" i="61" s="1"/>
  <c r="H12" i="62"/>
  <c r="H15" i="62" s="1"/>
  <c r="H12" i="34"/>
  <c r="H14" i="34" s="1"/>
  <c r="H12" i="49"/>
  <c r="H14" i="49" s="1"/>
  <c r="H12" i="63"/>
  <c r="H14" i="63" s="1"/>
  <c r="H12" i="64"/>
  <c r="H14" i="64" s="1"/>
  <c r="H12" i="65"/>
  <c r="H12" i="66"/>
  <c r="H14" i="66" s="1"/>
  <c r="H20" i="72"/>
  <c r="H19" i="72"/>
  <c r="H29" i="72" s="1"/>
  <c r="H20" i="73"/>
  <c r="H19" i="73"/>
  <c r="H27" i="73" s="1"/>
  <c r="H20" i="74"/>
  <c r="H19" i="74"/>
  <c r="H28" i="74" s="1"/>
  <c r="H12" i="77"/>
  <c r="H14" i="77" s="1"/>
  <c r="H12" i="78"/>
  <c r="H14" i="78" s="1"/>
  <c r="H12" i="79"/>
  <c r="H15" i="79" s="1"/>
  <c r="H12" i="81"/>
  <c r="H14" i="81" s="1"/>
  <c r="H12" i="82"/>
  <c r="H14" i="82" s="1"/>
  <c r="H12" i="83"/>
  <c r="H14" i="83" s="1"/>
  <c r="H12" i="84"/>
  <c r="H12" i="85"/>
  <c r="H14" i="85" s="1"/>
  <c r="H12" i="86"/>
  <c r="H14" i="86" s="1"/>
  <c r="H12" i="87"/>
  <c r="H14" i="87" s="1"/>
  <c r="H12" i="88"/>
  <c r="H12" i="89"/>
  <c r="H14" i="89" s="1"/>
  <c r="H12" i="90"/>
  <c r="H12" i="91"/>
  <c r="H15" i="91" s="1"/>
  <c r="H12" i="92"/>
  <c r="H15" i="92" s="1"/>
  <c r="H12" i="93"/>
  <c r="H15" i="93" s="1"/>
  <c r="H12" i="94"/>
  <c r="H12" i="95"/>
  <c r="H14" i="95" s="1"/>
  <c r="H12" i="96"/>
  <c r="H14" i="96" s="1"/>
  <c r="H12" i="97"/>
  <c r="H14" i="97" s="1"/>
  <c r="H12" i="98"/>
  <c r="H14" i="98" s="1"/>
  <c r="H12" i="99"/>
  <c r="H14" i="99" s="1"/>
  <c r="H12" i="100"/>
  <c r="H15" i="100" s="1"/>
  <c r="H12" i="101"/>
  <c r="H15" i="101" s="1"/>
  <c r="H12" i="102"/>
  <c r="H14" i="102" s="1"/>
  <c r="H12" i="103"/>
  <c r="H15" i="103" s="1"/>
  <c r="H12" i="104"/>
  <c r="H14" i="104" s="1"/>
  <c r="H12" i="105"/>
  <c r="H14" i="105" s="1"/>
  <c r="H12" i="106"/>
  <c r="H14" i="106" s="1"/>
  <c r="H12" i="107"/>
  <c r="H14" i="107" s="1"/>
  <c r="H12" i="108"/>
  <c r="H14" i="108" s="1"/>
  <c r="H12" i="109"/>
  <c r="H14" i="109"/>
  <c r="H14" i="103"/>
  <c r="H14" i="94"/>
  <c r="H14" i="90"/>
  <c r="H14" i="88"/>
  <c r="H15" i="84"/>
  <c r="H14" i="84"/>
  <c r="H28" i="72"/>
  <c r="H27" i="72"/>
  <c r="H14" i="65"/>
  <c r="H15" i="57"/>
  <c r="H14" i="57"/>
  <c r="H15" i="56"/>
  <c r="H28" i="73" l="1"/>
  <c r="H15" i="41"/>
  <c r="H14" i="61"/>
  <c r="H15" i="40"/>
  <c r="H14" i="39"/>
  <c r="H14" i="42"/>
  <c r="H15" i="60"/>
  <c r="H14" i="62"/>
  <c r="H27" i="74"/>
  <c r="H14" i="79"/>
  <c r="H15" i="85"/>
  <c r="H14" i="91"/>
  <c r="H14" i="92"/>
  <c r="H14" i="93"/>
  <c r="H14" i="100"/>
  <c r="H14" i="101"/>
  <c r="H15" i="102"/>
  <c r="H12" i="80"/>
  <c r="H14" i="80" s="1"/>
  <c r="H12" i="30"/>
  <c r="H14" i="30" s="1"/>
  <c r="H12" i="31" l="1"/>
  <c r="H14" i="31" s="1"/>
  <c r="H12" i="35" l="1"/>
  <c r="H14" i="35" s="1"/>
  <c r="H12" i="50" l="1"/>
  <c r="H15" i="50" l="1"/>
  <c r="H14" i="50"/>
  <c r="H20" i="70"/>
  <c r="H19" i="70"/>
  <c r="H12" i="36" l="1"/>
  <c r="H14" i="36" s="1"/>
  <c r="P7" i="35" l="1"/>
  <c r="P7" i="57"/>
  <c r="P7" i="52"/>
  <c r="P7" i="55"/>
  <c r="R22" i="55" l="1"/>
  <c r="H18" i="73" l="1"/>
  <c r="H17" i="73"/>
  <c r="H16" i="74"/>
  <c r="H15" i="74"/>
  <c r="H13" i="78"/>
  <c r="H11" i="78"/>
  <c r="H10" i="78"/>
  <c r="I9" i="78"/>
  <c r="H13" i="81"/>
  <c r="H11" i="81"/>
  <c r="H10" i="81"/>
  <c r="H9" i="81"/>
  <c r="H10" i="85"/>
  <c r="H9" i="85"/>
  <c r="H11" i="85"/>
  <c r="H7" i="88"/>
  <c r="H11" i="88"/>
  <c r="H10" i="90"/>
  <c r="H9" i="93"/>
  <c r="H10" i="95"/>
  <c r="H11" i="95"/>
  <c r="H11" i="99"/>
  <c r="H10" i="101"/>
  <c r="H11" i="104"/>
  <c r="H10" i="105"/>
  <c r="H11" i="105"/>
  <c r="H11" i="106"/>
  <c r="H10" i="107"/>
  <c r="H11" i="107"/>
  <c r="H11" i="108"/>
  <c r="H10" i="108"/>
  <c r="H10" i="109"/>
  <c r="H10" i="106"/>
  <c r="H10" i="104"/>
  <c r="H10" i="103"/>
  <c r="H10" i="102"/>
  <c r="H10" i="100"/>
  <c r="H10" i="99"/>
  <c r="H10" i="98"/>
  <c r="H10" i="97"/>
  <c r="H10" i="96"/>
  <c r="H10" i="94"/>
  <c r="H10" i="93"/>
  <c r="H10" i="92"/>
  <c r="H10" i="91"/>
  <c r="H10" i="89"/>
  <c r="H10" i="88"/>
  <c r="H10" i="87"/>
  <c r="H10" i="86"/>
  <c r="H10" i="84"/>
  <c r="H10" i="83"/>
  <c r="H10" i="82"/>
  <c r="H10" i="80"/>
  <c r="H10" i="79"/>
  <c r="H10" i="77"/>
  <c r="I11" i="82"/>
  <c r="H11" i="82"/>
  <c r="H9" i="80"/>
  <c r="H9" i="79"/>
  <c r="H9" i="78"/>
  <c r="J9" i="78" s="1"/>
  <c r="H9" i="95"/>
  <c r="H9" i="109"/>
  <c r="H9" i="108"/>
  <c r="H9" i="107"/>
  <c r="H9" i="106"/>
  <c r="H9" i="105"/>
  <c r="H9" i="104"/>
  <c r="H9" i="103"/>
  <c r="H9" i="102"/>
  <c r="H9" i="101"/>
  <c r="H9" i="100"/>
  <c r="H9" i="99"/>
  <c r="H9" i="98"/>
  <c r="H9" i="97"/>
  <c r="H9" i="96"/>
  <c r="H9" i="94"/>
  <c r="H9" i="92"/>
  <c r="H9" i="91"/>
  <c r="H9" i="90"/>
  <c r="H9" i="89"/>
  <c r="H9" i="88"/>
  <c r="H9" i="87"/>
  <c r="H9" i="86"/>
  <c r="H9" i="84"/>
  <c r="H9" i="83"/>
  <c r="H9" i="82"/>
  <c r="H9" i="77"/>
  <c r="H16" i="77" l="1"/>
  <c r="Q28" i="109"/>
  <c r="P21" i="109"/>
  <c r="Q21" i="109" s="1"/>
  <c r="P20" i="109"/>
  <c r="Q20" i="109" s="1"/>
  <c r="Q19" i="109"/>
  <c r="O19" i="109"/>
  <c r="Q18" i="109"/>
  <c r="Q17" i="109"/>
  <c r="Q16" i="109"/>
  <c r="I16" i="109"/>
  <c r="B16" i="109"/>
  <c r="Q15" i="109"/>
  <c r="O15" i="109"/>
  <c r="I15" i="109"/>
  <c r="E15" i="109"/>
  <c r="D15" i="109"/>
  <c r="B15" i="109"/>
  <c r="Q14" i="109"/>
  <c r="I14" i="109"/>
  <c r="Q13" i="109"/>
  <c r="I13" i="109"/>
  <c r="H13" i="109"/>
  <c r="P28" i="109" s="1"/>
  <c r="Q12" i="109"/>
  <c r="O12" i="109"/>
  <c r="I12" i="109"/>
  <c r="S12" i="109" s="1"/>
  <c r="J14" i="109"/>
  <c r="Q11" i="109"/>
  <c r="O11" i="109"/>
  <c r="I11" i="109"/>
  <c r="H11" i="109"/>
  <c r="Q10" i="109"/>
  <c r="O10" i="109"/>
  <c r="I10" i="109"/>
  <c r="Q9" i="109"/>
  <c r="O9" i="109"/>
  <c r="I9" i="109"/>
  <c r="J9" i="109" s="1"/>
  <c r="Q8" i="109"/>
  <c r="O8" i="109"/>
  <c r="I8" i="109"/>
  <c r="H8" i="109"/>
  <c r="J8" i="109" s="1"/>
  <c r="P7" i="109"/>
  <c r="Q7" i="109" s="1"/>
  <c r="O7" i="109"/>
  <c r="I7" i="109"/>
  <c r="H7" i="109"/>
  <c r="Q6" i="109"/>
  <c r="O6" i="109"/>
  <c r="I6" i="109"/>
  <c r="H6" i="109"/>
  <c r="Q25" i="108"/>
  <c r="I16" i="108"/>
  <c r="B16" i="108"/>
  <c r="I15" i="108"/>
  <c r="H15" i="108"/>
  <c r="E15" i="108"/>
  <c r="D15" i="108"/>
  <c r="B15" i="108"/>
  <c r="Q14" i="108"/>
  <c r="I14" i="108"/>
  <c r="Q13" i="108"/>
  <c r="I13" i="108"/>
  <c r="H13" i="108"/>
  <c r="H16" i="108" s="1"/>
  <c r="Q12" i="108"/>
  <c r="O12" i="108"/>
  <c r="I12" i="108"/>
  <c r="O25" i="108"/>
  <c r="Q11" i="108"/>
  <c r="O11" i="108"/>
  <c r="I11" i="108"/>
  <c r="Q10" i="108"/>
  <c r="O10" i="108"/>
  <c r="I10" i="108"/>
  <c r="Q9" i="108"/>
  <c r="O9" i="108"/>
  <c r="I9" i="108"/>
  <c r="J9" i="108" s="1"/>
  <c r="Q8" i="108"/>
  <c r="O8" i="108"/>
  <c r="I8" i="108"/>
  <c r="H8" i="108"/>
  <c r="P7" i="108"/>
  <c r="Q7" i="108" s="1"/>
  <c r="O7" i="108"/>
  <c r="I7" i="108"/>
  <c r="H7" i="108"/>
  <c r="Q6" i="108"/>
  <c r="O6" i="108"/>
  <c r="I6" i="108"/>
  <c r="H6" i="108"/>
  <c r="Q28" i="107"/>
  <c r="P22" i="107"/>
  <c r="Q22" i="107" s="1"/>
  <c r="P21" i="107"/>
  <c r="Q21" i="107" s="1"/>
  <c r="P20" i="107"/>
  <c r="Q20" i="107" s="1"/>
  <c r="Q19" i="107"/>
  <c r="O19" i="107"/>
  <c r="Q18" i="107"/>
  <c r="Q17" i="107"/>
  <c r="Q16" i="107"/>
  <c r="I16" i="107"/>
  <c r="B16" i="107"/>
  <c r="Q15" i="107"/>
  <c r="O15" i="107"/>
  <c r="I15" i="107"/>
  <c r="H15" i="107"/>
  <c r="E15" i="107"/>
  <c r="D15" i="107"/>
  <c r="B15" i="107"/>
  <c r="Q14" i="107"/>
  <c r="I14" i="107"/>
  <c r="J14" i="107" s="1"/>
  <c r="Q13" i="107"/>
  <c r="I13" i="107"/>
  <c r="H13" i="107"/>
  <c r="P28" i="107" s="1"/>
  <c r="S12" i="107"/>
  <c r="Q12" i="107"/>
  <c r="O12" i="107"/>
  <c r="I12" i="107"/>
  <c r="O28" i="107"/>
  <c r="Q11" i="107"/>
  <c r="O11" i="107"/>
  <c r="I11" i="107"/>
  <c r="Q10" i="107"/>
  <c r="O10" i="107"/>
  <c r="I10" i="107"/>
  <c r="Q9" i="107"/>
  <c r="O9" i="107"/>
  <c r="I9" i="107"/>
  <c r="J9" i="107" s="1"/>
  <c r="Q8" i="107"/>
  <c r="O8" i="107"/>
  <c r="I8" i="107"/>
  <c r="H8" i="107"/>
  <c r="P7" i="107"/>
  <c r="Q7" i="107" s="1"/>
  <c r="O7" i="107"/>
  <c r="I7" i="107"/>
  <c r="H7" i="107"/>
  <c r="Q6" i="107"/>
  <c r="O6" i="107"/>
  <c r="I6" i="107"/>
  <c r="H6" i="107"/>
  <c r="Q25" i="106"/>
  <c r="I16" i="106"/>
  <c r="B16" i="106"/>
  <c r="I15" i="106"/>
  <c r="E15" i="106"/>
  <c r="D15" i="106"/>
  <c r="B15" i="106"/>
  <c r="Q14" i="106"/>
  <c r="I14" i="106"/>
  <c r="Q13" i="106"/>
  <c r="I13" i="106"/>
  <c r="H13" i="106"/>
  <c r="H16" i="106" s="1"/>
  <c r="S17" i="106" s="1"/>
  <c r="Q12" i="106"/>
  <c r="O12" i="106"/>
  <c r="I12" i="106"/>
  <c r="Q11" i="106"/>
  <c r="O11" i="106"/>
  <c r="I11" i="106"/>
  <c r="Q10" i="106"/>
  <c r="O10" i="106"/>
  <c r="I10" i="106"/>
  <c r="Q9" i="106"/>
  <c r="O9" i="106"/>
  <c r="I9" i="106"/>
  <c r="J9" i="106" s="1"/>
  <c r="Q8" i="106"/>
  <c r="O8" i="106"/>
  <c r="I8" i="106"/>
  <c r="H8" i="106"/>
  <c r="J8" i="106" s="1"/>
  <c r="P7" i="106"/>
  <c r="Q7" i="106" s="1"/>
  <c r="O7" i="106"/>
  <c r="I7" i="106"/>
  <c r="H7" i="106"/>
  <c r="Q6" i="106"/>
  <c r="O6" i="106"/>
  <c r="I6" i="106"/>
  <c r="H6" i="106"/>
  <c r="Q28" i="105"/>
  <c r="P21" i="105"/>
  <c r="Q21" i="105" s="1"/>
  <c r="P20" i="105"/>
  <c r="Q20" i="105" s="1"/>
  <c r="Q19" i="105"/>
  <c r="O19" i="105"/>
  <c r="Q18" i="105"/>
  <c r="Q17" i="105"/>
  <c r="Q16" i="105"/>
  <c r="I16" i="105"/>
  <c r="B16" i="105"/>
  <c r="Q15" i="105"/>
  <c r="O15" i="105"/>
  <c r="I15" i="105"/>
  <c r="H15" i="105"/>
  <c r="E15" i="105"/>
  <c r="D15" i="105"/>
  <c r="B15" i="105"/>
  <c r="Q14" i="105"/>
  <c r="I14" i="105"/>
  <c r="Q13" i="105"/>
  <c r="I13" i="105"/>
  <c r="H13" i="105"/>
  <c r="H16" i="105" s="1"/>
  <c r="Q12" i="105"/>
  <c r="O12" i="105"/>
  <c r="I12" i="105"/>
  <c r="S12" i="105" s="1"/>
  <c r="O28" i="105"/>
  <c r="Q11" i="105"/>
  <c r="O11" i="105"/>
  <c r="I11" i="105"/>
  <c r="Q10" i="105"/>
  <c r="O10" i="105"/>
  <c r="I10" i="105"/>
  <c r="J10" i="105" s="1"/>
  <c r="Q9" i="105"/>
  <c r="O9" i="105"/>
  <c r="I9" i="105"/>
  <c r="J9" i="105"/>
  <c r="Q8" i="105"/>
  <c r="O8" i="105"/>
  <c r="I8" i="105"/>
  <c r="H8" i="105"/>
  <c r="J8" i="105" s="1"/>
  <c r="P7" i="105"/>
  <c r="Q7" i="105" s="1"/>
  <c r="O7" i="105"/>
  <c r="I7" i="105"/>
  <c r="H7" i="105"/>
  <c r="Q6" i="105"/>
  <c r="O6" i="105"/>
  <c r="I6" i="105"/>
  <c r="H6" i="105"/>
  <c r="Q25" i="104"/>
  <c r="I17" i="104"/>
  <c r="B17" i="104"/>
  <c r="I16" i="104"/>
  <c r="E16" i="104"/>
  <c r="D16" i="104"/>
  <c r="B16" i="104"/>
  <c r="I15" i="104"/>
  <c r="H15" i="104"/>
  <c r="Q14" i="104"/>
  <c r="I14" i="104"/>
  <c r="Q13" i="104"/>
  <c r="I13" i="104"/>
  <c r="H13" i="104"/>
  <c r="P25" i="104" s="1"/>
  <c r="Q12" i="104"/>
  <c r="O12" i="104"/>
  <c r="I12" i="104"/>
  <c r="Q11" i="104"/>
  <c r="O11" i="104"/>
  <c r="I11" i="104"/>
  <c r="Q10" i="104"/>
  <c r="O10" i="104"/>
  <c r="I10" i="104"/>
  <c r="Q9" i="104"/>
  <c r="O9" i="104"/>
  <c r="I9" i="104"/>
  <c r="J9" i="104"/>
  <c r="Q8" i="104"/>
  <c r="O8" i="104"/>
  <c r="I8" i="104"/>
  <c r="H8" i="104"/>
  <c r="P7" i="104"/>
  <c r="Q7" i="104" s="1"/>
  <c r="O7" i="104"/>
  <c r="I7" i="104"/>
  <c r="H7" i="104"/>
  <c r="Q6" i="104"/>
  <c r="O6" i="104"/>
  <c r="I6" i="104"/>
  <c r="H6" i="104"/>
  <c r="Q28" i="103"/>
  <c r="Q20" i="103"/>
  <c r="P20" i="103"/>
  <c r="P19" i="103"/>
  <c r="Q19" i="103" s="1"/>
  <c r="Q18" i="103"/>
  <c r="Q17" i="103"/>
  <c r="I17" i="103"/>
  <c r="B17" i="103"/>
  <c r="Q16" i="103"/>
  <c r="I16" i="103"/>
  <c r="H16" i="103"/>
  <c r="E16" i="103"/>
  <c r="D16" i="103"/>
  <c r="B16" i="103"/>
  <c r="Q15" i="103"/>
  <c r="O15" i="103"/>
  <c r="I15" i="103"/>
  <c r="J15" i="103" s="1"/>
  <c r="Q14" i="103"/>
  <c r="I14" i="103"/>
  <c r="J14" i="103"/>
  <c r="Q13" i="103"/>
  <c r="I13" i="103"/>
  <c r="H13" i="103"/>
  <c r="P28" i="103" s="1"/>
  <c r="Q12" i="103"/>
  <c r="O12" i="103"/>
  <c r="I12" i="103"/>
  <c r="O28" i="103"/>
  <c r="Q11" i="103"/>
  <c r="O11" i="103"/>
  <c r="I11" i="103"/>
  <c r="H11" i="103"/>
  <c r="Q10" i="103"/>
  <c r="O10" i="103"/>
  <c r="I10" i="103"/>
  <c r="Q9" i="103"/>
  <c r="O9" i="103"/>
  <c r="I9" i="103"/>
  <c r="J9" i="103" s="1"/>
  <c r="Q8" i="103"/>
  <c r="O8" i="103"/>
  <c r="I8" i="103"/>
  <c r="H8" i="103"/>
  <c r="P7" i="103"/>
  <c r="Q7" i="103" s="1"/>
  <c r="O7" i="103"/>
  <c r="I7" i="103"/>
  <c r="H7" i="103"/>
  <c r="Q6" i="103"/>
  <c r="O6" i="103"/>
  <c r="I6" i="103"/>
  <c r="H6" i="103"/>
  <c r="Q28" i="102"/>
  <c r="P20" i="102"/>
  <c r="Q20" i="102" s="1"/>
  <c r="P19" i="102"/>
  <c r="Q19" i="102" s="1"/>
  <c r="Q18" i="102"/>
  <c r="Q17" i="102"/>
  <c r="I17" i="102"/>
  <c r="B17" i="102"/>
  <c r="Q16" i="102"/>
  <c r="I16" i="102"/>
  <c r="H16" i="102"/>
  <c r="E16" i="102"/>
  <c r="D16" i="102"/>
  <c r="B16" i="102"/>
  <c r="Q15" i="102"/>
  <c r="O15" i="102"/>
  <c r="I15" i="102"/>
  <c r="J15" i="102" s="1"/>
  <c r="Q14" i="102"/>
  <c r="I14" i="102"/>
  <c r="Q13" i="102"/>
  <c r="I13" i="102"/>
  <c r="H13" i="102"/>
  <c r="Q12" i="102"/>
  <c r="O12" i="102"/>
  <c r="I12" i="102"/>
  <c r="P21" i="102"/>
  <c r="Q21" i="102" s="1"/>
  <c r="Q11" i="102"/>
  <c r="O11" i="102"/>
  <c r="I11" i="102"/>
  <c r="H11" i="102"/>
  <c r="Q10" i="102"/>
  <c r="O10" i="102"/>
  <c r="I10" i="102"/>
  <c r="Q9" i="102"/>
  <c r="O9" i="102"/>
  <c r="J9" i="102"/>
  <c r="I9" i="102"/>
  <c r="Q8" i="102"/>
  <c r="O8" i="102"/>
  <c r="I8" i="102"/>
  <c r="H8" i="102"/>
  <c r="P7" i="102"/>
  <c r="Q7" i="102" s="1"/>
  <c r="O7" i="102"/>
  <c r="I7" i="102"/>
  <c r="H7" i="102"/>
  <c r="Q6" i="102"/>
  <c r="O6" i="102"/>
  <c r="I6" i="102"/>
  <c r="H6" i="102"/>
  <c r="Q28" i="101"/>
  <c r="P20" i="101"/>
  <c r="Q20" i="101" s="1"/>
  <c r="P19" i="101"/>
  <c r="Q19" i="101" s="1"/>
  <c r="Q18" i="101"/>
  <c r="Q17" i="101"/>
  <c r="I17" i="101"/>
  <c r="B17" i="101"/>
  <c r="Q16" i="101"/>
  <c r="I16" i="101"/>
  <c r="H16" i="101"/>
  <c r="E16" i="101"/>
  <c r="D16" i="101"/>
  <c r="B16" i="101"/>
  <c r="Q15" i="101"/>
  <c r="O15" i="101"/>
  <c r="I15" i="101"/>
  <c r="J15" i="101"/>
  <c r="Q14" i="101"/>
  <c r="I14" i="101"/>
  <c r="Q13" i="101"/>
  <c r="I13" i="101"/>
  <c r="H13" i="101"/>
  <c r="Q12" i="101"/>
  <c r="O12" i="101"/>
  <c r="I12" i="101"/>
  <c r="Q11" i="101"/>
  <c r="O11" i="101"/>
  <c r="I11" i="101"/>
  <c r="H11" i="101"/>
  <c r="Q10" i="101"/>
  <c r="O10" i="101"/>
  <c r="I10" i="101"/>
  <c r="Q9" i="101"/>
  <c r="O9" i="101"/>
  <c r="I9" i="101"/>
  <c r="J9" i="101" s="1"/>
  <c r="Q8" i="101"/>
  <c r="O8" i="101"/>
  <c r="I8" i="101"/>
  <c r="H8" i="101"/>
  <c r="P7" i="101"/>
  <c r="Q7" i="101" s="1"/>
  <c r="O7" i="101"/>
  <c r="I7" i="101"/>
  <c r="H7" i="101"/>
  <c r="Q6" i="101"/>
  <c r="O6" i="101"/>
  <c r="I6" i="101"/>
  <c r="H6" i="101"/>
  <c r="Q28" i="100"/>
  <c r="P28" i="100"/>
  <c r="P20" i="100"/>
  <c r="Q20" i="100" s="1"/>
  <c r="P19" i="100"/>
  <c r="Q19" i="100" s="1"/>
  <c r="Q18" i="100"/>
  <c r="Q17" i="100"/>
  <c r="I17" i="100"/>
  <c r="H17" i="100"/>
  <c r="B17" i="100"/>
  <c r="Q16" i="100"/>
  <c r="I16" i="100"/>
  <c r="E16" i="100"/>
  <c r="D16" i="100"/>
  <c r="B16" i="100"/>
  <c r="Q15" i="100"/>
  <c r="O15" i="100"/>
  <c r="I15" i="100"/>
  <c r="Q14" i="100"/>
  <c r="I14" i="100"/>
  <c r="Q13" i="100"/>
  <c r="I13" i="100"/>
  <c r="H13" i="100"/>
  <c r="S13" i="100" s="1"/>
  <c r="Q12" i="100"/>
  <c r="O12" i="100"/>
  <c r="I12" i="100"/>
  <c r="Q11" i="100"/>
  <c r="O11" i="100"/>
  <c r="I11" i="100"/>
  <c r="H11" i="100"/>
  <c r="Q10" i="100"/>
  <c r="O10" i="100"/>
  <c r="I10" i="100"/>
  <c r="Q9" i="100"/>
  <c r="O9" i="100"/>
  <c r="I9" i="100"/>
  <c r="J9" i="100" s="1"/>
  <c r="Q8" i="100"/>
  <c r="O8" i="100"/>
  <c r="I8" i="100"/>
  <c r="H8" i="100"/>
  <c r="P7" i="100"/>
  <c r="Q7" i="100" s="1"/>
  <c r="O7" i="100"/>
  <c r="I7" i="100"/>
  <c r="H7" i="100"/>
  <c r="Q6" i="100"/>
  <c r="O6" i="100"/>
  <c r="I6" i="100"/>
  <c r="H6" i="100"/>
  <c r="Q28" i="99"/>
  <c r="O28" i="99"/>
  <c r="P21" i="99"/>
  <c r="Q21" i="99" s="1"/>
  <c r="P20" i="99"/>
  <c r="Q20" i="99" s="1"/>
  <c r="P19" i="99"/>
  <c r="Q19" i="99" s="1"/>
  <c r="Q18" i="99"/>
  <c r="Q17" i="99"/>
  <c r="Q16" i="99"/>
  <c r="I16" i="99"/>
  <c r="H16" i="99"/>
  <c r="S17" i="99" s="1"/>
  <c r="B16" i="99"/>
  <c r="Q15" i="99"/>
  <c r="O15" i="99"/>
  <c r="I15" i="99"/>
  <c r="H15" i="99"/>
  <c r="E15" i="99"/>
  <c r="D15" i="99"/>
  <c r="B15" i="99"/>
  <c r="Q14" i="99"/>
  <c r="I14" i="99"/>
  <c r="J14" i="99"/>
  <c r="Q13" i="99"/>
  <c r="I13" i="99"/>
  <c r="H13" i="99"/>
  <c r="P28" i="99" s="1"/>
  <c r="Q12" i="99"/>
  <c r="O12" i="99"/>
  <c r="I12" i="99"/>
  <c r="Q11" i="99"/>
  <c r="O11" i="99"/>
  <c r="I11" i="99"/>
  <c r="Q10" i="99"/>
  <c r="O10" i="99"/>
  <c r="I10" i="99"/>
  <c r="J10" i="99" s="1"/>
  <c r="Q9" i="99"/>
  <c r="O9" i="99"/>
  <c r="I9" i="99"/>
  <c r="J9" i="99" s="1"/>
  <c r="Q8" i="99"/>
  <c r="O8" i="99"/>
  <c r="I8" i="99"/>
  <c r="H8" i="99"/>
  <c r="J8" i="99" s="1"/>
  <c r="P7" i="99"/>
  <c r="Q7" i="99" s="1"/>
  <c r="O7" i="99"/>
  <c r="I7" i="99"/>
  <c r="H7" i="99"/>
  <c r="Q6" i="99"/>
  <c r="O6" i="99"/>
  <c r="I6" i="99"/>
  <c r="H6" i="99"/>
  <c r="P22" i="99" s="1"/>
  <c r="Q25" i="98"/>
  <c r="O25" i="98"/>
  <c r="I16" i="98"/>
  <c r="B16" i="98"/>
  <c r="I15" i="98"/>
  <c r="H15" i="98"/>
  <c r="E15" i="98"/>
  <c r="D15" i="98"/>
  <c r="B15" i="98"/>
  <c r="Q14" i="98"/>
  <c r="I14" i="98"/>
  <c r="J14" i="98" s="1"/>
  <c r="Q13" i="98"/>
  <c r="I13" i="98"/>
  <c r="H13" i="98"/>
  <c r="P25" i="98" s="1"/>
  <c r="Q12" i="98"/>
  <c r="O12" i="98"/>
  <c r="I12" i="98"/>
  <c r="S12" i="98" s="1"/>
  <c r="Q11" i="98"/>
  <c r="O11" i="98"/>
  <c r="I11" i="98"/>
  <c r="H11" i="98"/>
  <c r="Q10" i="98"/>
  <c r="O10" i="98"/>
  <c r="I10" i="98"/>
  <c r="Q9" i="98"/>
  <c r="O9" i="98"/>
  <c r="I9" i="98"/>
  <c r="J9" i="98" s="1"/>
  <c r="Q8" i="98"/>
  <c r="O8" i="98"/>
  <c r="I8" i="98"/>
  <c r="H8" i="98"/>
  <c r="J8" i="98" s="1"/>
  <c r="P7" i="98"/>
  <c r="Q7" i="98" s="1"/>
  <c r="O7" i="98"/>
  <c r="I7" i="98"/>
  <c r="H7" i="98"/>
  <c r="Q6" i="98"/>
  <c r="O6" i="98"/>
  <c r="I6" i="98"/>
  <c r="H6" i="98"/>
  <c r="Q28" i="97"/>
  <c r="O28" i="97"/>
  <c r="P21" i="97"/>
  <c r="Q21" i="97" s="1"/>
  <c r="P20" i="97"/>
  <c r="Q20" i="97" s="1"/>
  <c r="Q19" i="97"/>
  <c r="O19" i="97"/>
  <c r="Q18" i="97"/>
  <c r="Q17" i="97"/>
  <c r="Q16" i="97"/>
  <c r="I16" i="97"/>
  <c r="B16" i="97"/>
  <c r="Q15" i="97"/>
  <c r="O15" i="97"/>
  <c r="I15" i="97"/>
  <c r="E15" i="97"/>
  <c r="D15" i="97"/>
  <c r="B15" i="97"/>
  <c r="Q14" i="97"/>
  <c r="I14" i="97"/>
  <c r="Q13" i="97"/>
  <c r="I13" i="97"/>
  <c r="H13" i="97"/>
  <c r="Q12" i="97"/>
  <c r="O12" i="97"/>
  <c r="I12" i="97"/>
  <c r="Q11" i="97"/>
  <c r="O11" i="97"/>
  <c r="I11" i="97"/>
  <c r="H11" i="97"/>
  <c r="Q10" i="97"/>
  <c r="O10" i="97"/>
  <c r="I10" i="97"/>
  <c r="Q9" i="97"/>
  <c r="O9" i="97"/>
  <c r="I9" i="97"/>
  <c r="J9" i="97" s="1"/>
  <c r="Q8" i="97"/>
  <c r="O8" i="97"/>
  <c r="I8" i="97"/>
  <c r="H8" i="97"/>
  <c r="P7" i="97"/>
  <c r="Q7" i="97" s="1"/>
  <c r="O7" i="97"/>
  <c r="I7" i="97"/>
  <c r="H7" i="97"/>
  <c r="Q6" i="97"/>
  <c r="O6" i="97"/>
  <c r="I6" i="97"/>
  <c r="H6" i="97"/>
  <c r="Q25" i="96"/>
  <c r="I16" i="96"/>
  <c r="B16" i="96"/>
  <c r="I15" i="96"/>
  <c r="E15" i="96"/>
  <c r="D15" i="96"/>
  <c r="B15" i="96"/>
  <c r="Q14" i="96"/>
  <c r="I14" i="96"/>
  <c r="P16" i="96"/>
  <c r="Q16" i="96" s="1"/>
  <c r="Q13" i="96"/>
  <c r="I13" i="96"/>
  <c r="H13" i="96"/>
  <c r="Q12" i="96"/>
  <c r="O12" i="96"/>
  <c r="I12" i="96"/>
  <c r="O25" i="96"/>
  <c r="Q11" i="96"/>
  <c r="O11" i="96"/>
  <c r="I11" i="96"/>
  <c r="H11" i="96"/>
  <c r="Q10" i="96"/>
  <c r="O10" i="96"/>
  <c r="I10" i="96"/>
  <c r="Q9" i="96"/>
  <c r="O9" i="96"/>
  <c r="I9" i="96"/>
  <c r="J9" i="96" s="1"/>
  <c r="Q8" i="96"/>
  <c r="O8" i="96"/>
  <c r="I8" i="96"/>
  <c r="H8" i="96"/>
  <c r="P7" i="96"/>
  <c r="Q7" i="96" s="1"/>
  <c r="O7" i="96"/>
  <c r="I7" i="96"/>
  <c r="H7" i="96"/>
  <c r="Q6" i="96"/>
  <c r="O6" i="96"/>
  <c r="I6" i="96"/>
  <c r="H6" i="96"/>
  <c r="Q28" i="95"/>
  <c r="P21" i="95"/>
  <c r="Q21" i="95" s="1"/>
  <c r="P20" i="95"/>
  <c r="Q20" i="95" s="1"/>
  <c r="Q19" i="95"/>
  <c r="O19" i="95"/>
  <c r="Q18" i="95"/>
  <c r="Q17" i="95"/>
  <c r="Q16" i="95"/>
  <c r="I16" i="95"/>
  <c r="B16" i="95"/>
  <c r="Q15" i="95"/>
  <c r="O15" i="95"/>
  <c r="I15" i="95"/>
  <c r="H15" i="95"/>
  <c r="E15" i="95"/>
  <c r="D15" i="95"/>
  <c r="B15" i="95"/>
  <c r="Q14" i="95"/>
  <c r="I14" i="95"/>
  <c r="Q13" i="95"/>
  <c r="I13" i="95"/>
  <c r="H13" i="95"/>
  <c r="P28" i="95" s="1"/>
  <c r="Q12" i="95"/>
  <c r="O12" i="95"/>
  <c r="I12" i="95"/>
  <c r="S12" i="95" s="1"/>
  <c r="Q11" i="95"/>
  <c r="O11" i="95"/>
  <c r="I11" i="95"/>
  <c r="Q10" i="95"/>
  <c r="O10" i="95"/>
  <c r="I10" i="95"/>
  <c r="Q9" i="95"/>
  <c r="O9" i="95"/>
  <c r="I9" i="95"/>
  <c r="J9" i="95" s="1"/>
  <c r="Q8" i="95"/>
  <c r="O8" i="95"/>
  <c r="I8" i="95"/>
  <c r="J8" i="95" s="1"/>
  <c r="H8" i="95"/>
  <c r="P7" i="95"/>
  <c r="Q7" i="95" s="1"/>
  <c r="O7" i="95"/>
  <c r="I7" i="95"/>
  <c r="H7" i="95"/>
  <c r="J7" i="95" s="1"/>
  <c r="Q6" i="95"/>
  <c r="O6" i="95"/>
  <c r="I6" i="95"/>
  <c r="H6" i="95"/>
  <c r="Q25" i="94"/>
  <c r="O25" i="94"/>
  <c r="I17" i="94"/>
  <c r="B17" i="94"/>
  <c r="I16" i="94"/>
  <c r="H16" i="94"/>
  <c r="E16" i="94"/>
  <c r="D16" i="94"/>
  <c r="B16" i="94"/>
  <c r="I15" i="94"/>
  <c r="H15" i="94"/>
  <c r="J15" i="94" s="1"/>
  <c r="Q14" i="94"/>
  <c r="I14" i="94"/>
  <c r="Q13" i="94"/>
  <c r="I13" i="94"/>
  <c r="H13" i="94"/>
  <c r="Q12" i="94"/>
  <c r="O12" i="94"/>
  <c r="I12" i="94"/>
  <c r="Q11" i="94"/>
  <c r="O11" i="94"/>
  <c r="I11" i="94"/>
  <c r="H11" i="94"/>
  <c r="Q10" i="94"/>
  <c r="O10" i="94"/>
  <c r="I10" i="94"/>
  <c r="Q9" i="94"/>
  <c r="O9" i="94"/>
  <c r="I9" i="94"/>
  <c r="J9" i="94" s="1"/>
  <c r="Q8" i="94"/>
  <c r="O8" i="94"/>
  <c r="I8" i="94"/>
  <c r="H8" i="94"/>
  <c r="P7" i="94"/>
  <c r="Q7" i="94" s="1"/>
  <c r="O7" i="94"/>
  <c r="I7" i="94"/>
  <c r="H7" i="94"/>
  <c r="Q6" i="94"/>
  <c r="O6" i="94"/>
  <c r="I6" i="94"/>
  <c r="H6" i="94"/>
  <c r="J6" i="94" s="1"/>
  <c r="Q28" i="93"/>
  <c r="P20" i="93"/>
  <c r="Q20" i="93" s="1"/>
  <c r="P19" i="93"/>
  <c r="Q19" i="93" s="1"/>
  <c r="Q18" i="93"/>
  <c r="Q17" i="93"/>
  <c r="I17" i="93"/>
  <c r="B17" i="93"/>
  <c r="Q16" i="93"/>
  <c r="I16" i="93"/>
  <c r="E16" i="93"/>
  <c r="D16" i="93"/>
  <c r="B16" i="93"/>
  <c r="Q15" i="93"/>
  <c r="O15" i="93"/>
  <c r="I15" i="93"/>
  <c r="Q14" i="93"/>
  <c r="I14" i="93"/>
  <c r="J14" i="93" s="1"/>
  <c r="Q13" i="93"/>
  <c r="I13" i="93"/>
  <c r="H13" i="93"/>
  <c r="P28" i="93" s="1"/>
  <c r="Q12" i="93"/>
  <c r="O12" i="93"/>
  <c r="I12" i="93"/>
  <c r="Q11" i="93"/>
  <c r="O11" i="93"/>
  <c r="I11" i="93"/>
  <c r="H11" i="93"/>
  <c r="Q10" i="93"/>
  <c r="O10" i="93"/>
  <c r="I10" i="93"/>
  <c r="Q9" i="93"/>
  <c r="O9" i="93"/>
  <c r="I9" i="93"/>
  <c r="J9" i="93"/>
  <c r="Q8" i="93"/>
  <c r="O8" i="93"/>
  <c r="I8" i="93"/>
  <c r="J8" i="93" s="1"/>
  <c r="H8" i="93"/>
  <c r="P7" i="93"/>
  <c r="Q7" i="93" s="1"/>
  <c r="O7" i="93"/>
  <c r="I7" i="93"/>
  <c r="H7" i="93"/>
  <c r="Q6" i="93"/>
  <c r="O6" i="93"/>
  <c r="I6" i="93"/>
  <c r="H6" i="93"/>
  <c r="Q28" i="92"/>
  <c r="P20" i="92"/>
  <c r="Q20" i="92" s="1"/>
  <c r="P19" i="92"/>
  <c r="Q19" i="92" s="1"/>
  <c r="Q18" i="92"/>
  <c r="Q17" i="92"/>
  <c r="I17" i="92"/>
  <c r="B17" i="92"/>
  <c r="Q16" i="92"/>
  <c r="I16" i="92"/>
  <c r="E16" i="92"/>
  <c r="D16" i="92"/>
  <c r="B16" i="92"/>
  <c r="Q15" i="92"/>
  <c r="O15" i="92"/>
  <c r="I15" i="92"/>
  <c r="Q14" i="92"/>
  <c r="I14" i="92"/>
  <c r="J14" i="92"/>
  <c r="Q13" i="92"/>
  <c r="I13" i="92"/>
  <c r="H13" i="92"/>
  <c r="H17" i="92" s="1"/>
  <c r="S17" i="92" s="1"/>
  <c r="Q12" i="92"/>
  <c r="O12" i="92"/>
  <c r="I12" i="92"/>
  <c r="J12" i="92" s="1"/>
  <c r="O28" i="92"/>
  <c r="Q11" i="92"/>
  <c r="O11" i="92"/>
  <c r="I11" i="92"/>
  <c r="H11" i="92"/>
  <c r="Q10" i="92"/>
  <c r="O10" i="92"/>
  <c r="I10" i="92"/>
  <c r="Q9" i="92"/>
  <c r="O9" i="92"/>
  <c r="I9" i="92"/>
  <c r="J9" i="92" s="1"/>
  <c r="Q8" i="92"/>
  <c r="O8" i="92"/>
  <c r="I8" i="92"/>
  <c r="H8" i="92"/>
  <c r="P7" i="92"/>
  <c r="Q7" i="92" s="1"/>
  <c r="O7" i="92"/>
  <c r="I7" i="92"/>
  <c r="H7" i="92"/>
  <c r="Q6" i="92"/>
  <c r="O6" i="92"/>
  <c r="I6" i="92"/>
  <c r="H6" i="92"/>
  <c r="Q28" i="91"/>
  <c r="P20" i="91"/>
  <c r="Q20" i="91" s="1"/>
  <c r="P19" i="91"/>
  <c r="Q19" i="91" s="1"/>
  <c r="Q18" i="91"/>
  <c r="Q17" i="91"/>
  <c r="I17" i="91"/>
  <c r="B17" i="91"/>
  <c r="Q16" i="91"/>
  <c r="I16" i="91"/>
  <c r="H16" i="91"/>
  <c r="E16" i="91"/>
  <c r="D16" i="91"/>
  <c r="B16" i="91"/>
  <c r="Q15" i="91"/>
  <c r="O15" i="91"/>
  <c r="I15" i="91"/>
  <c r="J15" i="91"/>
  <c r="Q14" i="91"/>
  <c r="I14" i="91"/>
  <c r="J14" i="91" s="1"/>
  <c r="Q13" i="91"/>
  <c r="I13" i="91"/>
  <c r="H13" i="91"/>
  <c r="Q12" i="91"/>
  <c r="O12" i="91"/>
  <c r="I12" i="91"/>
  <c r="P21" i="91"/>
  <c r="Q21" i="91" s="1"/>
  <c r="Q11" i="91"/>
  <c r="O11" i="91"/>
  <c r="I11" i="91"/>
  <c r="H11" i="91"/>
  <c r="Q10" i="91"/>
  <c r="O10" i="91"/>
  <c r="I10" i="91"/>
  <c r="Q9" i="91"/>
  <c r="O9" i="91"/>
  <c r="I9" i="91"/>
  <c r="J9" i="91" s="1"/>
  <c r="Q8" i="91"/>
  <c r="O8" i="91"/>
  <c r="I8" i="91"/>
  <c r="H8" i="91"/>
  <c r="P7" i="91"/>
  <c r="Q7" i="91" s="1"/>
  <c r="O7" i="91"/>
  <c r="I7" i="91"/>
  <c r="H7" i="91"/>
  <c r="Q6" i="91"/>
  <c r="O6" i="91"/>
  <c r="I6" i="91"/>
  <c r="H6" i="91"/>
  <c r="J6" i="91" s="1"/>
  <c r="Q28" i="90"/>
  <c r="P20" i="90"/>
  <c r="Q20" i="90" s="1"/>
  <c r="P19" i="90"/>
  <c r="Q19" i="90" s="1"/>
  <c r="Q18" i="90"/>
  <c r="Q17" i="90"/>
  <c r="Q16" i="90"/>
  <c r="I16" i="90"/>
  <c r="B16" i="90"/>
  <c r="Q15" i="90"/>
  <c r="O15" i="90"/>
  <c r="I15" i="90"/>
  <c r="H15" i="90"/>
  <c r="E15" i="90"/>
  <c r="D15" i="90"/>
  <c r="B15" i="90"/>
  <c r="Q14" i="90"/>
  <c r="I14" i="90"/>
  <c r="Q13" i="90"/>
  <c r="I13" i="90"/>
  <c r="H13" i="90"/>
  <c r="P28" i="90" s="1"/>
  <c r="Q12" i="90"/>
  <c r="O12" i="90"/>
  <c r="I12" i="90"/>
  <c r="Q11" i="90"/>
  <c r="O11" i="90"/>
  <c r="I11" i="90"/>
  <c r="H11" i="90"/>
  <c r="Q10" i="90"/>
  <c r="O10" i="90"/>
  <c r="I10" i="90"/>
  <c r="Q9" i="90"/>
  <c r="O9" i="90"/>
  <c r="I9" i="90"/>
  <c r="Q8" i="90"/>
  <c r="O8" i="90"/>
  <c r="I8" i="90"/>
  <c r="H8" i="90"/>
  <c r="P7" i="90"/>
  <c r="Q7" i="90" s="1"/>
  <c r="O7" i="90"/>
  <c r="I7" i="90"/>
  <c r="H7" i="90"/>
  <c r="Q6" i="90"/>
  <c r="O6" i="90"/>
  <c r="I6" i="90"/>
  <c r="H6" i="90"/>
  <c r="Q28" i="89"/>
  <c r="P22" i="89"/>
  <c r="Q22" i="89" s="1"/>
  <c r="P21" i="89"/>
  <c r="Q21" i="89" s="1"/>
  <c r="P20" i="89"/>
  <c r="Q20" i="89" s="1"/>
  <c r="Q19" i="89"/>
  <c r="O19" i="89"/>
  <c r="Q18" i="89"/>
  <c r="Q17" i="89"/>
  <c r="Q16" i="89"/>
  <c r="I16" i="89"/>
  <c r="B16" i="89"/>
  <c r="Q15" i="89"/>
  <c r="O15" i="89"/>
  <c r="I15" i="89"/>
  <c r="E15" i="89"/>
  <c r="D15" i="89"/>
  <c r="B15" i="89"/>
  <c r="Q14" i="89"/>
  <c r="I14" i="89"/>
  <c r="J14" i="89" s="1"/>
  <c r="Q13" i="89"/>
  <c r="I13" i="89"/>
  <c r="H13" i="89"/>
  <c r="Q12" i="89"/>
  <c r="O12" i="89"/>
  <c r="I12" i="89"/>
  <c r="S12" i="89"/>
  <c r="Q11" i="89"/>
  <c r="O11" i="89"/>
  <c r="I11" i="89"/>
  <c r="H11" i="89"/>
  <c r="Q10" i="89"/>
  <c r="O10" i="89"/>
  <c r="I10" i="89"/>
  <c r="Q9" i="89"/>
  <c r="O9" i="89"/>
  <c r="I9" i="89"/>
  <c r="J9" i="89" s="1"/>
  <c r="Q8" i="89"/>
  <c r="O8" i="89"/>
  <c r="I8" i="89"/>
  <c r="H8" i="89"/>
  <c r="P7" i="89"/>
  <c r="Q7" i="89" s="1"/>
  <c r="O7" i="89"/>
  <c r="I7" i="89"/>
  <c r="H7" i="89"/>
  <c r="Q6" i="89"/>
  <c r="O6" i="89"/>
  <c r="I6" i="89"/>
  <c r="H6" i="89"/>
  <c r="Q25" i="88"/>
  <c r="I16" i="88"/>
  <c r="B16" i="88"/>
  <c r="I15" i="88"/>
  <c r="E15" i="88"/>
  <c r="D15" i="88"/>
  <c r="B15" i="88"/>
  <c r="Q14" i="88"/>
  <c r="I14" i="88"/>
  <c r="J14" i="88" s="1"/>
  <c r="P16" i="88"/>
  <c r="Q16" i="88" s="1"/>
  <c r="Q13" i="88"/>
  <c r="I13" i="88"/>
  <c r="H13" i="88"/>
  <c r="Q12" i="88"/>
  <c r="O12" i="88"/>
  <c r="I12" i="88"/>
  <c r="Q11" i="88"/>
  <c r="O11" i="88"/>
  <c r="I11" i="88"/>
  <c r="J10" i="88" s="1"/>
  <c r="Q10" i="88"/>
  <c r="O10" i="88"/>
  <c r="I10" i="88"/>
  <c r="Q9" i="88"/>
  <c r="O9" i="88"/>
  <c r="I9" i="88"/>
  <c r="J9" i="88"/>
  <c r="Q8" i="88"/>
  <c r="O8" i="88"/>
  <c r="I8" i="88"/>
  <c r="H8" i="88"/>
  <c r="P7" i="88"/>
  <c r="Q7" i="88" s="1"/>
  <c r="O7" i="88"/>
  <c r="I7" i="88"/>
  <c r="J7" i="88" s="1"/>
  <c r="Q6" i="88"/>
  <c r="O6" i="88"/>
  <c r="I6" i="88"/>
  <c r="H6" i="88"/>
  <c r="Q28" i="87"/>
  <c r="P21" i="87"/>
  <c r="Q21" i="87" s="1"/>
  <c r="P20" i="87"/>
  <c r="Q20" i="87" s="1"/>
  <c r="Q19" i="87"/>
  <c r="O19" i="87"/>
  <c r="Q18" i="87"/>
  <c r="Q17" i="87"/>
  <c r="Q16" i="87"/>
  <c r="I16" i="87"/>
  <c r="B16" i="87"/>
  <c r="Q15" i="87"/>
  <c r="O15" i="87"/>
  <c r="I15" i="87"/>
  <c r="H15" i="87"/>
  <c r="E15" i="87"/>
  <c r="D15" i="87"/>
  <c r="B15" i="87"/>
  <c r="Q14" i="87"/>
  <c r="I14" i="87"/>
  <c r="J14" i="87"/>
  <c r="Q13" i="87"/>
  <c r="I13" i="87"/>
  <c r="H13" i="87"/>
  <c r="P28" i="87" s="1"/>
  <c r="Q12" i="87"/>
  <c r="O12" i="87"/>
  <c r="I12" i="87"/>
  <c r="Q11" i="87"/>
  <c r="O11" i="87"/>
  <c r="I11" i="87"/>
  <c r="H11" i="87"/>
  <c r="Q10" i="87"/>
  <c r="O10" i="87"/>
  <c r="I10" i="87"/>
  <c r="Q9" i="87"/>
  <c r="O9" i="87"/>
  <c r="I9" i="87"/>
  <c r="J9" i="87" s="1"/>
  <c r="Q8" i="87"/>
  <c r="O8" i="87"/>
  <c r="I8" i="87"/>
  <c r="H8" i="87"/>
  <c r="P7" i="87"/>
  <c r="Q7" i="87" s="1"/>
  <c r="O7" i="87"/>
  <c r="I7" i="87"/>
  <c r="H7" i="87"/>
  <c r="J7" i="87" s="1"/>
  <c r="Q6" i="87"/>
  <c r="O6" i="87"/>
  <c r="I6" i="87"/>
  <c r="H6" i="87"/>
  <c r="Q25" i="86"/>
  <c r="P25" i="86"/>
  <c r="I17" i="86"/>
  <c r="B17" i="86"/>
  <c r="I16" i="86"/>
  <c r="E16" i="86"/>
  <c r="D16" i="86"/>
  <c r="B16" i="86"/>
  <c r="I15" i="86"/>
  <c r="H15" i="86"/>
  <c r="Q14" i="86"/>
  <c r="I14" i="86"/>
  <c r="Q13" i="86"/>
  <c r="I13" i="86"/>
  <c r="H13" i="86"/>
  <c r="H17" i="86" s="1"/>
  <c r="Q12" i="86"/>
  <c r="O12" i="86"/>
  <c r="I12" i="86"/>
  <c r="J12" i="86" s="1"/>
  <c r="O25" i="86"/>
  <c r="Q11" i="86"/>
  <c r="O11" i="86"/>
  <c r="I11" i="86"/>
  <c r="H11" i="86"/>
  <c r="Q10" i="86"/>
  <c r="O10" i="86"/>
  <c r="I10" i="86"/>
  <c r="Q9" i="86"/>
  <c r="O9" i="86"/>
  <c r="I9" i="86"/>
  <c r="J9" i="86" s="1"/>
  <c r="Q8" i="86"/>
  <c r="O8" i="86"/>
  <c r="I8" i="86"/>
  <c r="H8" i="86"/>
  <c r="J8" i="86" s="1"/>
  <c r="P7" i="86"/>
  <c r="Q7" i="86" s="1"/>
  <c r="O7" i="86"/>
  <c r="I7" i="86"/>
  <c r="H7" i="86"/>
  <c r="Q6" i="86"/>
  <c r="O6" i="86"/>
  <c r="I6" i="86"/>
  <c r="H6" i="86"/>
  <c r="Q28" i="85"/>
  <c r="O28" i="85"/>
  <c r="P21" i="85"/>
  <c r="Q21" i="85" s="1"/>
  <c r="P20" i="85"/>
  <c r="Q20" i="85" s="1"/>
  <c r="P19" i="85"/>
  <c r="Q19" i="85" s="1"/>
  <c r="Q18" i="85"/>
  <c r="Q17" i="85"/>
  <c r="I17" i="85"/>
  <c r="B17" i="85"/>
  <c r="Q16" i="85"/>
  <c r="I16" i="85"/>
  <c r="E16" i="85"/>
  <c r="D16" i="85"/>
  <c r="B16" i="85"/>
  <c r="Q15" i="85"/>
  <c r="O15" i="85"/>
  <c r="I15" i="85"/>
  <c r="Q14" i="85"/>
  <c r="I14" i="85"/>
  <c r="J14" i="85" s="1"/>
  <c r="Q13" i="85"/>
  <c r="I13" i="85"/>
  <c r="H13" i="85"/>
  <c r="S13" i="85" s="1"/>
  <c r="S12" i="85"/>
  <c r="Q12" i="85"/>
  <c r="O12" i="85"/>
  <c r="I12" i="85"/>
  <c r="Q11" i="85"/>
  <c r="O11" i="85"/>
  <c r="I11" i="85"/>
  <c r="Q10" i="85"/>
  <c r="O10" i="85"/>
  <c r="I10" i="85"/>
  <c r="Q9" i="85"/>
  <c r="O9" i="85"/>
  <c r="I9" i="85"/>
  <c r="J9" i="85"/>
  <c r="Q8" i="85"/>
  <c r="O8" i="85"/>
  <c r="I8" i="85"/>
  <c r="H8" i="85"/>
  <c r="Q7" i="85"/>
  <c r="P7" i="85"/>
  <c r="O7" i="85"/>
  <c r="I7" i="85"/>
  <c r="H7" i="85"/>
  <c r="Q6" i="85"/>
  <c r="O6" i="85"/>
  <c r="I6" i="85"/>
  <c r="J6" i="85" s="1"/>
  <c r="H6" i="85"/>
  <c r="Q28" i="84"/>
  <c r="P21" i="84"/>
  <c r="Q21" i="84" s="1"/>
  <c r="P20" i="84"/>
  <c r="Q20" i="84" s="1"/>
  <c r="P19" i="84"/>
  <c r="Q19" i="84" s="1"/>
  <c r="Q18" i="84"/>
  <c r="Q17" i="84"/>
  <c r="I17" i="84"/>
  <c r="B17" i="84"/>
  <c r="Q16" i="84"/>
  <c r="I16" i="84"/>
  <c r="H16" i="84"/>
  <c r="E16" i="84"/>
  <c r="D16" i="84"/>
  <c r="B16" i="84"/>
  <c r="Q15" i="84"/>
  <c r="O15" i="84"/>
  <c r="I15" i="84"/>
  <c r="J15" i="84" s="1"/>
  <c r="Q14" i="84"/>
  <c r="I14" i="84"/>
  <c r="J14" i="84"/>
  <c r="Q13" i="84"/>
  <c r="I13" i="84"/>
  <c r="H13" i="84"/>
  <c r="H17" i="84" s="1"/>
  <c r="Q12" i="84"/>
  <c r="O12" i="84"/>
  <c r="I12" i="84"/>
  <c r="S12" i="84" s="1"/>
  <c r="O28" i="84"/>
  <c r="Q11" i="84"/>
  <c r="O11" i="84"/>
  <c r="I11" i="84"/>
  <c r="H11" i="84"/>
  <c r="Q10" i="84"/>
  <c r="O10" i="84"/>
  <c r="I10" i="84"/>
  <c r="Q9" i="84"/>
  <c r="O9" i="84"/>
  <c r="I9" i="84"/>
  <c r="J9" i="84" s="1"/>
  <c r="Q8" i="84"/>
  <c r="O8" i="84"/>
  <c r="I8" i="84"/>
  <c r="H8" i="84"/>
  <c r="P7" i="84"/>
  <c r="Q7" i="84" s="1"/>
  <c r="O7" i="84"/>
  <c r="I7" i="84"/>
  <c r="H7" i="84"/>
  <c r="J7" i="84" s="1"/>
  <c r="Q6" i="84"/>
  <c r="O6" i="84"/>
  <c r="I6" i="84"/>
  <c r="H6" i="84"/>
  <c r="Q28" i="83"/>
  <c r="O28" i="83"/>
  <c r="P21" i="83"/>
  <c r="Q21" i="83" s="1"/>
  <c r="P20" i="83"/>
  <c r="Q20" i="83" s="1"/>
  <c r="P19" i="83"/>
  <c r="Q19" i="83" s="1"/>
  <c r="Q18" i="83"/>
  <c r="Q17" i="83"/>
  <c r="Q16" i="83"/>
  <c r="I16" i="83"/>
  <c r="B16" i="83"/>
  <c r="Q15" i="83"/>
  <c r="O15" i="83"/>
  <c r="I15" i="83"/>
  <c r="H15" i="83"/>
  <c r="E15" i="83"/>
  <c r="D15" i="83"/>
  <c r="B15" i="83"/>
  <c r="Q14" i="83"/>
  <c r="I14" i="83"/>
  <c r="J14" i="83" s="1"/>
  <c r="Q13" i="83"/>
  <c r="I13" i="83"/>
  <c r="H13" i="83"/>
  <c r="Q12" i="83"/>
  <c r="O12" i="83"/>
  <c r="I12" i="83"/>
  <c r="S12" i="83" s="1"/>
  <c r="Q11" i="83"/>
  <c r="O11" i="83"/>
  <c r="I11" i="83"/>
  <c r="H11" i="83"/>
  <c r="Q10" i="83"/>
  <c r="O10" i="83"/>
  <c r="I10" i="83"/>
  <c r="Q9" i="83"/>
  <c r="O9" i="83"/>
  <c r="I9" i="83"/>
  <c r="J9" i="83" s="1"/>
  <c r="Q8" i="83"/>
  <c r="O8" i="83"/>
  <c r="I8" i="83"/>
  <c r="H8" i="83"/>
  <c r="P7" i="83"/>
  <c r="Q7" i="83" s="1"/>
  <c r="O7" i="83"/>
  <c r="I7" i="83"/>
  <c r="H7" i="83"/>
  <c r="Q6" i="83"/>
  <c r="O6" i="83"/>
  <c r="I6" i="83"/>
  <c r="H6" i="83"/>
  <c r="Q25" i="82"/>
  <c r="I16" i="82"/>
  <c r="B16" i="82"/>
  <c r="I15" i="82"/>
  <c r="E15" i="82"/>
  <c r="D15" i="82"/>
  <c r="B15" i="82"/>
  <c r="Q14" i="82"/>
  <c r="I14" i="82"/>
  <c r="Q13" i="82"/>
  <c r="I13" i="82"/>
  <c r="H13" i="82"/>
  <c r="P25" i="82" s="1"/>
  <c r="Q12" i="82"/>
  <c r="O12" i="82"/>
  <c r="I12" i="82"/>
  <c r="Q11" i="82"/>
  <c r="O11" i="82"/>
  <c r="Q10" i="82"/>
  <c r="O10" i="82"/>
  <c r="I10" i="82"/>
  <c r="J10" i="82" s="1"/>
  <c r="Q9" i="82"/>
  <c r="O9" i="82"/>
  <c r="I9" i="82"/>
  <c r="J9" i="82" s="1"/>
  <c r="Q8" i="82"/>
  <c r="O8" i="82"/>
  <c r="I8" i="82"/>
  <c r="H8" i="82"/>
  <c r="P7" i="82"/>
  <c r="Q7" i="82" s="1"/>
  <c r="O7" i="82"/>
  <c r="I7" i="82"/>
  <c r="H7" i="82"/>
  <c r="Q6" i="82"/>
  <c r="O6" i="82"/>
  <c r="I6" i="82"/>
  <c r="H6" i="82"/>
  <c r="P15" i="82" s="1"/>
  <c r="Q28" i="81"/>
  <c r="P28" i="81"/>
  <c r="P22" i="81"/>
  <c r="Q22" i="81" s="1"/>
  <c r="P21" i="81"/>
  <c r="Q21" i="81" s="1"/>
  <c r="P20" i="81"/>
  <c r="Q20" i="81" s="1"/>
  <c r="Q19" i="81"/>
  <c r="O19" i="81"/>
  <c r="Q18" i="81"/>
  <c r="Q17" i="81"/>
  <c r="Q16" i="81"/>
  <c r="I16" i="81"/>
  <c r="B16" i="81"/>
  <c r="Q15" i="81"/>
  <c r="O15" i="81"/>
  <c r="I15" i="81"/>
  <c r="H15" i="81"/>
  <c r="E15" i="81"/>
  <c r="D15" i="81"/>
  <c r="B15" i="81"/>
  <c r="Q14" i="81"/>
  <c r="I14" i="81"/>
  <c r="J14" i="81" s="1"/>
  <c r="Q13" i="81"/>
  <c r="I13" i="81"/>
  <c r="S13" i="81" s="1"/>
  <c r="H16" i="81"/>
  <c r="Q12" i="81"/>
  <c r="O12" i="81"/>
  <c r="I12" i="81"/>
  <c r="O28" i="81"/>
  <c r="Q11" i="81"/>
  <c r="O11" i="81"/>
  <c r="I11" i="81"/>
  <c r="Q10" i="81"/>
  <c r="O10" i="81"/>
  <c r="I10" i="81"/>
  <c r="Q9" i="81"/>
  <c r="O9" i="81"/>
  <c r="I9" i="81"/>
  <c r="J9" i="81" s="1"/>
  <c r="Q8" i="81"/>
  <c r="O8" i="81"/>
  <c r="I8" i="81"/>
  <c r="H8" i="81"/>
  <c r="P7" i="81"/>
  <c r="Q7" i="81" s="1"/>
  <c r="O7" i="81"/>
  <c r="I7" i="81"/>
  <c r="H7" i="81"/>
  <c r="J7" i="81" s="1"/>
  <c r="Q6" i="81"/>
  <c r="O6" i="81"/>
  <c r="I6" i="81"/>
  <c r="H6" i="81"/>
  <c r="Q25" i="80"/>
  <c r="I17" i="80"/>
  <c r="B17" i="80"/>
  <c r="I16" i="80"/>
  <c r="H16" i="80"/>
  <c r="E16" i="80"/>
  <c r="D16" i="80"/>
  <c r="B16" i="80"/>
  <c r="I15" i="80"/>
  <c r="H15" i="80"/>
  <c r="J15" i="80" s="1"/>
  <c r="Q14" i="80"/>
  <c r="I14" i="80"/>
  <c r="Q13" i="80"/>
  <c r="I13" i="80"/>
  <c r="H13" i="80"/>
  <c r="S12" i="80"/>
  <c r="Q12" i="80"/>
  <c r="O12" i="80"/>
  <c r="I12" i="80"/>
  <c r="O25" i="80"/>
  <c r="Q11" i="80"/>
  <c r="O11" i="80"/>
  <c r="I11" i="80"/>
  <c r="H11" i="80"/>
  <c r="Q10" i="80"/>
  <c r="O10" i="80"/>
  <c r="I10" i="80"/>
  <c r="Q9" i="80"/>
  <c r="O9" i="80"/>
  <c r="I9" i="80"/>
  <c r="J9" i="80"/>
  <c r="Q8" i="80"/>
  <c r="O8" i="80"/>
  <c r="I8" i="80"/>
  <c r="H8" i="80"/>
  <c r="P7" i="80"/>
  <c r="Q7" i="80" s="1"/>
  <c r="O7" i="80"/>
  <c r="I7" i="80"/>
  <c r="H7" i="80"/>
  <c r="Q6" i="80"/>
  <c r="O6" i="80"/>
  <c r="I6" i="80"/>
  <c r="H6" i="80"/>
  <c r="Q28" i="79"/>
  <c r="P22" i="79"/>
  <c r="Q22" i="79" s="1"/>
  <c r="P21" i="79"/>
  <c r="Q21" i="79" s="1"/>
  <c r="P20" i="79"/>
  <c r="Q20" i="79" s="1"/>
  <c r="Q19" i="79"/>
  <c r="O19" i="79"/>
  <c r="Q18" i="79"/>
  <c r="Q17" i="79"/>
  <c r="I17" i="79"/>
  <c r="B17" i="79"/>
  <c r="Q16" i="79"/>
  <c r="I16" i="79"/>
  <c r="H16" i="79"/>
  <c r="E16" i="79"/>
  <c r="D16" i="79"/>
  <c r="B16" i="79"/>
  <c r="Q15" i="79"/>
  <c r="O15" i="79"/>
  <c r="I15" i="79"/>
  <c r="J15" i="79" s="1"/>
  <c r="Q14" i="79"/>
  <c r="I14" i="79"/>
  <c r="J14" i="79"/>
  <c r="Q13" i="79"/>
  <c r="I13" i="79"/>
  <c r="H13" i="79"/>
  <c r="Q12" i="79"/>
  <c r="O12" i="79"/>
  <c r="I12" i="79"/>
  <c r="S12" i="79" s="1"/>
  <c r="O28" i="79"/>
  <c r="Q11" i="79"/>
  <c r="O11" i="79"/>
  <c r="I11" i="79"/>
  <c r="H11" i="79"/>
  <c r="Q10" i="79"/>
  <c r="O10" i="79"/>
  <c r="I10" i="79"/>
  <c r="Q9" i="79"/>
  <c r="O9" i="79"/>
  <c r="I9" i="79"/>
  <c r="Q8" i="79"/>
  <c r="O8" i="79"/>
  <c r="I8" i="79"/>
  <c r="H8" i="79"/>
  <c r="P7" i="79"/>
  <c r="Q7" i="79" s="1"/>
  <c r="O7" i="79"/>
  <c r="I7" i="79"/>
  <c r="H7" i="79"/>
  <c r="Q6" i="79"/>
  <c r="O6" i="79"/>
  <c r="I6" i="79"/>
  <c r="H6" i="79"/>
  <c r="Q28" i="78"/>
  <c r="P20" i="78"/>
  <c r="Q20" i="78" s="1"/>
  <c r="P19" i="78"/>
  <c r="Q19" i="78" s="1"/>
  <c r="Q18" i="78"/>
  <c r="Q17" i="78"/>
  <c r="Q16" i="78"/>
  <c r="I16" i="78"/>
  <c r="B16" i="78"/>
  <c r="Q15" i="78"/>
  <c r="O15" i="78"/>
  <c r="I15" i="78"/>
  <c r="E15" i="78"/>
  <c r="D15" i="78"/>
  <c r="B15" i="78"/>
  <c r="Q14" i="78"/>
  <c r="I14" i="78"/>
  <c r="Q13" i="78"/>
  <c r="I13" i="78"/>
  <c r="S13" i="78" s="1"/>
  <c r="Q12" i="78"/>
  <c r="O12" i="78"/>
  <c r="I12" i="78"/>
  <c r="O28" i="78"/>
  <c r="Q11" i="78"/>
  <c r="O11" i="78"/>
  <c r="I11" i="78"/>
  <c r="Q10" i="78"/>
  <c r="O10" i="78"/>
  <c r="I10" i="78"/>
  <c r="Q9" i="78"/>
  <c r="O9" i="78"/>
  <c r="Q8" i="78"/>
  <c r="O8" i="78"/>
  <c r="I8" i="78"/>
  <c r="H8" i="78"/>
  <c r="P7" i="78"/>
  <c r="Q7" i="78" s="1"/>
  <c r="O7" i="78"/>
  <c r="I7" i="78"/>
  <c r="H7" i="78"/>
  <c r="Q6" i="78"/>
  <c r="O6" i="78"/>
  <c r="I6" i="78"/>
  <c r="H6" i="78"/>
  <c r="Q25" i="77"/>
  <c r="I17" i="77"/>
  <c r="B17" i="77"/>
  <c r="I16" i="77"/>
  <c r="E16" i="77"/>
  <c r="D16" i="77"/>
  <c r="B16" i="77"/>
  <c r="I15" i="77"/>
  <c r="H15" i="77"/>
  <c r="Q14" i="77"/>
  <c r="I14" i="77"/>
  <c r="J14" i="77"/>
  <c r="Q13" i="77"/>
  <c r="I13" i="77"/>
  <c r="H13" i="77"/>
  <c r="Q12" i="77"/>
  <c r="O12" i="77"/>
  <c r="I12" i="77"/>
  <c r="S12" i="77" s="1"/>
  <c r="O25" i="77"/>
  <c r="Q11" i="77"/>
  <c r="O11" i="77"/>
  <c r="I11" i="77"/>
  <c r="H11" i="77"/>
  <c r="Q10" i="77"/>
  <c r="O10" i="77"/>
  <c r="I10" i="77"/>
  <c r="Q9" i="77"/>
  <c r="O9" i="77"/>
  <c r="I9" i="77"/>
  <c r="J9" i="77"/>
  <c r="Q8" i="77"/>
  <c r="O8" i="77"/>
  <c r="I8" i="77"/>
  <c r="H8" i="77"/>
  <c r="P7" i="77"/>
  <c r="Q7" i="77" s="1"/>
  <c r="O7" i="77"/>
  <c r="I7" i="77"/>
  <c r="H7" i="77"/>
  <c r="Q6" i="77"/>
  <c r="O6" i="77"/>
  <c r="I6" i="77"/>
  <c r="H6" i="77"/>
  <c r="Q32" i="74"/>
  <c r="F32" i="74"/>
  <c r="D32" i="74"/>
  <c r="AR29" i="74"/>
  <c r="AP29" i="74"/>
  <c r="AS29" i="74" s="1"/>
  <c r="AH29" i="74"/>
  <c r="AF29" i="74"/>
  <c r="AR28" i="74"/>
  <c r="AP28" i="74"/>
  <c r="AS28" i="74" s="1"/>
  <c r="AH28" i="74"/>
  <c r="AF28" i="74"/>
  <c r="AI28" i="74" s="1"/>
  <c r="I28" i="74"/>
  <c r="AS27" i="74"/>
  <c r="AR27" i="74"/>
  <c r="H21" i="74" s="1"/>
  <c r="AP27" i="74"/>
  <c r="AH27" i="74"/>
  <c r="AF27" i="74"/>
  <c r="AI27" i="74" s="1"/>
  <c r="I27" i="74"/>
  <c r="AR26" i="74"/>
  <c r="AP26" i="74"/>
  <c r="AS26" i="74" s="1"/>
  <c r="AH26" i="74"/>
  <c r="AF26" i="74"/>
  <c r="AI26" i="74" s="1"/>
  <c r="B26" i="74"/>
  <c r="AR25" i="74"/>
  <c r="AP25" i="74"/>
  <c r="AS25" i="74" s="1"/>
  <c r="AI25" i="74"/>
  <c r="AH25" i="74"/>
  <c r="AF25" i="74"/>
  <c r="P25" i="74"/>
  <c r="Q25" i="74" s="1"/>
  <c r="F25" i="74"/>
  <c r="I25" i="74" s="1"/>
  <c r="B25" i="74"/>
  <c r="P24" i="74"/>
  <c r="Q24" i="74" s="1"/>
  <c r="H24" i="74"/>
  <c r="B24" i="74"/>
  <c r="Q23" i="74"/>
  <c r="O23" i="74"/>
  <c r="F23" i="74"/>
  <c r="I23" i="74" s="1"/>
  <c r="E23" i="74"/>
  <c r="D23" i="74"/>
  <c r="B23" i="74"/>
  <c r="Q22" i="74"/>
  <c r="H22" i="74"/>
  <c r="H26" i="74" s="1"/>
  <c r="G22" i="74"/>
  <c r="Q21" i="74"/>
  <c r="G21" i="74"/>
  <c r="Q20" i="74"/>
  <c r="Q19" i="74"/>
  <c r="O19" i="74"/>
  <c r="AH18" i="74"/>
  <c r="AG18" i="74"/>
  <c r="AF18" i="74"/>
  <c r="AE18" i="74"/>
  <c r="AD18" i="74"/>
  <c r="AB18" i="74"/>
  <c r="AA18" i="74"/>
  <c r="Z18" i="74"/>
  <c r="Y18" i="74"/>
  <c r="X18" i="74"/>
  <c r="P18" i="74"/>
  <c r="Q18" i="74" s="1"/>
  <c r="I18" i="74"/>
  <c r="H18" i="74"/>
  <c r="AH17" i="74"/>
  <c r="AG17" i="74"/>
  <c r="AF17" i="74"/>
  <c r="AE17" i="74"/>
  <c r="AD17" i="74"/>
  <c r="AB17" i="74"/>
  <c r="AA17" i="74"/>
  <c r="Z17" i="74"/>
  <c r="Y17" i="74"/>
  <c r="X17" i="74"/>
  <c r="I17" i="74"/>
  <c r="H17" i="74"/>
  <c r="AH16" i="74"/>
  <c r="AG16" i="74"/>
  <c r="AF16" i="74"/>
  <c r="AE16" i="74"/>
  <c r="AB16" i="74"/>
  <c r="AA16" i="74"/>
  <c r="Z16" i="74"/>
  <c r="Y16" i="74"/>
  <c r="O16" i="74"/>
  <c r="I16" i="74"/>
  <c r="P15" i="74"/>
  <c r="Q15" i="74" s="1"/>
  <c r="O15" i="74"/>
  <c r="I15" i="74"/>
  <c r="J15" i="74" s="1"/>
  <c r="P14" i="74"/>
  <c r="Q14" i="74" s="1"/>
  <c r="O14" i="74"/>
  <c r="I14" i="74"/>
  <c r="H14" i="74"/>
  <c r="J14" i="74" s="1"/>
  <c r="P13" i="74"/>
  <c r="Q13" i="74" s="1"/>
  <c r="O13" i="74"/>
  <c r="I13" i="74"/>
  <c r="H13" i="74"/>
  <c r="P12" i="74"/>
  <c r="Q12" i="74" s="1"/>
  <c r="O12" i="74"/>
  <c r="I12" i="74"/>
  <c r="H12" i="74"/>
  <c r="AH11" i="74"/>
  <c r="AG11" i="74"/>
  <c r="AF11" i="74"/>
  <c r="AE11" i="74"/>
  <c r="AD11" i="74"/>
  <c r="AB11" i="74"/>
  <c r="AA11" i="74"/>
  <c r="Z11" i="74"/>
  <c r="P11" i="74" s="1"/>
  <c r="Q11" i="74" s="1"/>
  <c r="Y11" i="74"/>
  <c r="X11" i="74"/>
  <c r="O11" i="74"/>
  <c r="I11" i="74"/>
  <c r="H11" i="74"/>
  <c r="P10" i="74"/>
  <c r="Q10" i="74" s="1"/>
  <c r="O10" i="74"/>
  <c r="I10" i="74"/>
  <c r="H10" i="74"/>
  <c r="Q32" i="73"/>
  <c r="F32" i="73"/>
  <c r="AR29" i="73"/>
  <c r="AP29" i="73"/>
  <c r="AS29" i="73" s="1"/>
  <c r="AI29" i="73"/>
  <c r="AH29" i="73"/>
  <c r="AF29" i="73"/>
  <c r="AS28" i="73"/>
  <c r="AR28" i="73"/>
  <c r="AP28" i="73"/>
  <c r="AH28" i="73"/>
  <c r="AF28" i="73"/>
  <c r="AI28" i="73" s="1"/>
  <c r="I28" i="73"/>
  <c r="J28" i="73" s="1"/>
  <c r="AR27" i="73"/>
  <c r="AP27" i="73"/>
  <c r="AS27" i="73" s="1"/>
  <c r="AH27" i="73"/>
  <c r="AF27" i="73"/>
  <c r="AI27" i="73" s="1"/>
  <c r="I27" i="73"/>
  <c r="AR26" i="73"/>
  <c r="AP26" i="73"/>
  <c r="F25" i="73" s="1"/>
  <c r="I25" i="73" s="1"/>
  <c r="AI26" i="73"/>
  <c r="AH26" i="73"/>
  <c r="AF26" i="73"/>
  <c r="B26" i="73"/>
  <c r="AR25" i="73"/>
  <c r="AP25" i="73"/>
  <c r="AS25" i="73" s="1"/>
  <c r="AH25" i="73"/>
  <c r="H22" i="73" s="1"/>
  <c r="E32" i="73" s="1"/>
  <c r="AF25" i="73"/>
  <c r="P25" i="73"/>
  <c r="Q25" i="73" s="1"/>
  <c r="B25" i="73"/>
  <c r="P24" i="73"/>
  <c r="Q24" i="73" s="1"/>
  <c r="H24" i="73"/>
  <c r="B24" i="73"/>
  <c r="Q23" i="73"/>
  <c r="O23" i="73"/>
  <c r="F23" i="73"/>
  <c r="I23" i="73" s="1"/>
  <c r="E23" i="73"/>
  <c r="D23" i="73"/>
  <c r="B23" i="73"/>
  <c r="Q22" i="73"/>
  <c r="G22" i="73"/>
  <c r="Q21" i="73"/>
  <c r="G21" i="73"/>
  <c r="Q20" i="73"/>
  <c r="D32" i="73"/>
  <c r="Q19" i="73"/>
  <c r="O19" i="73"/>
  <c r="AH18" i="73"/>
  <c r="AG18" i="73"/>
  <c r="AF18" i="73"/>
  <c r="AE18" i="73"/>
  <c r="AD18" i="73"/>
  <c r="AB18" i="73"/>
  <c r="AA18" i="73"/>
  <c r="Z18" i="73"/>
  <c r="Y18" i="73"/>
  <c r="X18" i="73"/>
  <c r="I18" i="73"/>
  <c r="AH17" i="73"/>
  <c r="AG17" i="73"/>
  <c r="AF17" i="73"/>
  <c r="AE17" i="73"/>
  <c r="AD17" i="73"/>
  <c r="AB17" i="73"/>
  <c r="AA17" i="73"/>
  <c r="Z17" i="73"/>
  <c r="Y17" i="73"/>
  <c r="P17" i="73" s="1"/>
  <c r="Q17" i="73" s="1"/>
  <c r="X17" i="73"/>
  <c r="I17" i="73"/>
  <c r="AH16" i="73"/>
  <c r="AG16" i="73"/>
  <c r="AF16" i="73"/>
  <c r="AE16" i="73"/>
  <c r="AD16" i="73"/>
  <c r="AB16" i="73"/>
  <c r="AA16" i="73"/>
  <c r="Z16" i="73"/>
  <c r="Y16" i="73"/>
  <c r="P16" i="73" s="1"/>
  <c r="Q16" i="73" s="1"/>
  <c r="O16" i="73"/>
  <c r="I16" i="73"/>
  <c r="H16" i="73"/>
  <c r="P15" i="73"/>
  <c r="Q15" i="73" s="1"/>
  <c r="O15" i="73"/>
  <c r="I15" i="73"/>
  <c r="H15" i="73"/>
  <c r="P14" i="73"/>
  <c r="Q14" i="73" s="1"/>
  <c r="O14" i="73"/>
  <c r="I14" i="73"/>
  <c r="H14" i="73"/>
  <c r="P13" i="73"/>
  <c r="Q13" i="73" s="1"/>
  <c r="O13" i="73"/>
  <c r="I13" i="73"/>
  <c r="H13" i="73"/>
  <c r="P12" i="73"/>
  <c r="Q12" i="73" s="1"/>
  <c r="O12" i="73"/>
  <c r="I12" i="73"/>
  <c r="H12" i="73"/>
  <c r="AH11" i="73"/>
  <c r="AG11" i="73"/>
  <c r="AF11" i="73"/>
  <c r="AE11" i="73"/>
  <c r="AD11" i="73"/>
  <c r="P11" i="73" s="1"/>
  <c r="Q11" i="73" s="1"/>
  <c r="AB11" i="73"/>
  <c r="AA11" i="73"/>
  <c r="Z11" i="73"/>
  <c r="Y11" i="73"/>
  <c r="X11" i="73"/>
  <c r="O11" i="73"/>
  <c r="I11" i="73"/>
  <c r="H11" i="73"/>
  <c r="P10" i="73"/>
  <c r="Q10" i="73" s="1"/>
  <c r="O10" i="73"/>
  <c r="I10" i="73"/>
  <c r="H10" i="73"/>
  <c r="AS34" i="72"/>
  <c r="AQ34" i="72"/>
  <c r="AT34" i="72" s="1"/>
  <c r="AI34" i="72"/>
  <c r="AG34" i="72"/>
  <c r="AJ34" i="72" s="1"/>
  <c r="AT33" i="72"/>
  <c r="AS33" i="72"/>
  <c r="AQ33" i="72"/>
  <c r="F20" i="72" s="1"/>
  <c r="AI33" i="72"/>
  <c r="AG33" i="72"/>
  <c r="AJ33" i="72" s="1"/>
  <c r="AS32" i="72"/>
  <c r="AQ32" i="72"/>
  <c r="AT32" i="72" s="1"/>
  <c r="AJ32" i="72"/>
  <c r="AI32" i="72"/>
  <c r="AG32" i="72"/>
  <c r="F19" i="72" s="1"/>
  <c r="Q32" i="72"/>
  <c r="AS31" i="72"/>
  <c r="AQ31" i="72"/>
  <c r="AT31" i="72" s="1"/>
  <c r="AI31" i="72"/>
  <c r="AG31" i="72"/>
  <c r="AJ31" i="72" s="1"/>
  <c r="AS30" i="72"/>
  <c r="AQ30" i="72"/>
  <c r="AT30" i="72" s="1"/>
  <c r="AI30" i="72"/>
  <c r="AG30" i="72"/>
  <c r="AJ30" i="72" s="1"/>
  <c r="I29" i="72"/>
  <c r="J29" i="72" s="1"/>
  <c r="I28" i="72"/>
  <c r="AS27" i="72"/>
  <c r="AQ27" i="72"/>
  <c r="AT27" i="72" s="1"/>
  <c r="AI27" i="72"/>
  <c r="AG27" i="72"/>
  <c r="AJ27" i="72" s="1"/>
  <c r="Q27" i="72"/>
  <c r="O27" i="72"/>
  <c r="I27" i="72"/>
  <c r="J27" i="72" s="1"/>
  <c r="AS26" i="72"/>
  <c r="H22" i="72" s="1"/>
  <c r="AQ26" i="72"/>
  <c r="AT26" i="72" s="1"/>
  <c r="AI26" i="72"/>
  <c r="AG26" i="72"/>
  <c r="AJ26" i="72" s="1"/>
  <c r="B26" i="72"/>
  <c r="AS25" i="72"/>
  <c r="AQ25" i="72"/>
  <c r="AT25" i="72" s="1"/>
  <c r="AI25" i="72"/>
  <c r="AG25" i="72"/>
  <c r="AJ25" i="72" s="1"/>
  <c r="B25" i="72"/>
  <c r="AS24" i="72"/>
  <c r="AQ24" i="72"/>
  <c r="AT24" i="72" s="1"/>
  <c r="AI24" i="72"/>
  <c r="AG24" i="72"/>
  <c r="AJ24" i="72" s="1"/>
  <c r="B24" i="72"/>
  <c r="AS23" i="72"/>
  <c r="AQ23" i="72"/>
  <c r="AT23" i="72" s="1"/>
  <c r="AJ23" i="72"/>
  <c r="AI23" i="72"/>
  <c r="AG23" i="72"/>
  <c r="H23" i="72"/>
  <c r="E23" i="72"/>
  <c r="D23" i="72"/>
  <c r="B23" i="72"/>
  <c r="G22" i="72"/>
  <c r="AS20" i="72"/>
  <c r="AQ20" i="72"/>
  <c r="AT20" i="72" s="1"/>
  <c r="AI20" i="72"/>
  <c r="AG20" i="72"/>
  <c r="AJ20" i="72" s="1"/>
  <c r="AS19" i="72"/>
  <c r="AQ19" i="72"/>
  <c r="AT19" i="72" s="1"/>
  <c r="AI19" i="72"/>
  <c r="AG19" i="72"/>
  <c r="AJ19" i="72" s="1"/>
  <c r="Q19" i="72"/>
  <c r="O19" i="72"/>
  <c r="I19" i="72"/>
  <c r="AS18" i="72"/>
  <c r="AQ18" i="72"/>
  <c r="AT18" i="72" s="1"/>
  <c r="AI18" i="72"/>
  <c r="AG18" i="72"/>
  <c r="AJ18" i="72" s="1"/>
  <c r="I18" i="72"/>
  <c r="H18" i="72"/>
  <c r="AS17" i="72"/>
  <c r="AQ17" i="72"/>
  <c r="AT17" i="72" s="1"/>
  <c r="AI17" i="72"/>
  <c r="AG17" i="72"/>
  <c r="AJ17" i="72" s="1"/>
  <c r="I17" i="72"/>
  <c r="H17" i="72"/>
  <c r="AT16" i="72"/>
  <c r="AS16" i="72"/>
  <c r="AQ16" i="72"/>
  <c r="AI16" i="72"/>
  <c r="AG16" i="72"/>
  <c r="AJ16" i="72" s="1"/>
  <c r="O16" i="72"/>
  <c r="I16" i="72"/>
  <c r="H16" i="72"/>
  <c r="O15" i="72"/>
  <c r="I15" i="72"/>
  <c r="H15" i="72"/>
  <c r="O14" i="72"/>
  <c r="I14" i="72"/>
  <c r="H14" i="72"/>
  <c r="O13" i="72"/>
  <c r="I13" i="72"/>
  <c r="H13" i="72"/>
  <c r="O12" i="72"/>
  <c r="I12" i="72"/>
  <c r="H12" i="72"/>
  <c r="P11" i="72"/>
  <c r="Q11" i="72" s="1"/>
  <c r="O11" i="72"/>
  <c r="I11" i="72"/>
  <c r="H11" i="72"/>
  <c r="O10" i="72"/>
  <c r="I10" i="72"/>
  <c r="H10" i="72"/>
  <c r="H4" i="72"/>
  <c r="F21" i="72" s="1"/>
  <c r="F25" i="72" s="1"/>
  <c r="I25" i="72" s="1"/>
  <c r="S16" i="94" l="1"/>
  <c r="J8" i="104"/>
  <c r="J10" i="79"/>
  <c r="J7" i="97"/>
  <c r="J10" i="109"/>
  <c r="J10" i="87"/>
  <c r="J6" i="102"/>
  <c r="J10" i="78"/>
  <c r="J6" i="84"/>
  <c r="J10" i="106"/>
  <c r="S13" i="108"/>
  <c r="P22" i="78"/>
  <c r="J8" i="94"/>
  <c r="J8" i="97"/>
  <c r="J10" i="107"/>
  <c r="S13" i="92"/>
  <c r="J6" i="96"/>
  <c r="J7" i="102"/>
  <c r="J15" i="104"/>
  <c r="H21" i="72"/>
  <c r="J8" i="79"/>
  <c r="J7" i="83"/>
  <c r="S16" i="95"/>
  <c r="P15" i="86"/>
  <c r="Q15" i="86" s="1"/>
  <c r="J6" i="108"/>
  <c r="J7" i="78"/>
  <c r="J10" i="85"/>
  <c r="J6" i="92"/>
  <c r="S17" i="100"/>
  <c r="S17" i="105"/>
  <c r="J7" i="107"/>
  <c r="P28" i="92"/>
  <c r="P24" i="92" s="1"/>
  <c r="Q24" i="92" s="1"/>
  <c r="J15" i="73"/>
  <c r="P18" i="73"/>
  <c r="Q18" i="73" s="1"/>
  <c r="J8" i="102"/>
  <c r="S16" i="103"/>
  <c r="P23" i="81"/>
  <c r="S13" i="88"/>
  <c r="J8" i="103"/>
  <c r="J12" i="103"/>
  <c r="J12" i="85"/>
  <c r="J7" i="77"/>
  <c r="J8" i="107"/>
  <c r="P23" i="109"/>
  <c r="Q23" i="109" s="1"/>
  <c r="N27" i="99"/>
  <c r="N28" i="99" s="1"/>
  <c r="S16" i="107"/>
  <c r="J10" i="80"/>
  <c r="J12" i="80"/>
  <c r="J8" i="89"/>
  <c r="H26" i="72"/>
  <c r="P32" i="72"/>
  <c r="P12" i="72"/>
  <c r="Q12" i="72" s="1"/>
  <c r="P17" i="72"/>
  <c r="Q17" i="72" s="1"/>
  <c r="P16" i="72"/>
  <c r="Q16" i="72" s="1"/>
  <c r="F24" i="72"/>
  <c r="I24" i="72" s="1"/>
  <c r="I20" i="72"/>
  <c r="P20" i="72"/>
  <c r="J12" i="72"/>
  <c r="H21" i="73"/>
  <c r="P32" i="73" s="1"/>
  <c r="J8" i="81"/>
  <c r="P22" i="83"/>
  <c r="Q22" i="83" s="1"/>
  <c r="J12" i="83"/>
  <c r="J10" i="84"/>
  <c r="J15" i="86"/>
  <c r="S16" i="90"/>
  <c r="H16" i="98"/>
  <c r="S17" i="98" s="1"/>
  <c r="J8" i="100"/>
  <c r="H17" i="103"/>
  <c r="S17" i="103" s="1"/>
  <c r="J7" i="105"/>
  <c r="S13" i="105"/>
  <c r="P28" i="105"/>
  <c r="P24" i="105" s="1"/>
  <c r="Q24" i="105" s="1"/>
  <c r="AS26" i="73"/>
  <c r="J10" i="77"/>
  <c r="J6" i="78"/>
  <c r="J7" i="79"/>
  <c r="P15" i="80"/>
  <c r="Q15" i="80" s="1"/>
  <c r="H17" i="85"/>
  <c r="S17" i="85" s="1"/>
  <c r="J6" i="87"/>
  <c r="P23" i="87"/>
  <c r="Q23" i="87" s="1"/>
  <c r="J10" i="90"/>
  <c r="J8" i="91"/>
  <c r="P23" i="97"/>
  <c r="P22" i="101"/>
  <c r="Q22" i="101" s="1"/>
  <c r="P22" i="103"/>
  <c r="Q22" i="103" s="1"/>
  <c r="P23" i="107"/>
  <c r="Q23" i="107" s="1"/>
  <c r="P15" i="108"/>
  <c r="J8" i="108"/>
  <c r="S17" i="81"/>
  <c r="J7" i="85"/>
  <c r="S17" i="86"/>
  <c r="J8" i="87"/>
  <c r="J12" i="88"/>
  <c r="S13" i="90"/>
  <c r="H16" i="95"/>
  <c r="S17" i="95" s="1"/>
  <c r="J8" i="96"/>
  <c r="P16" i="98"/>
  <c r="Q16" i="98" s="1"/>
  <c r="J7" i="99"/>
  <c r="J10" i="101"/>
  <c r="J10" i="103"/>
  <c r="P15" i="104"/>
  <c r="Q15" i="104" s="1"/>
  <c r="P15" i="106"/>
  <c r="Q15" i="106" s="1"/>
  <c r="S17" i="108"/>
  <c r="AI29" i="74"/>
  <c r="F26" i="74"/>
  <c r="I26" i="74" s="1"/>
  <c r="F24" i="74"/>
  <c r="I24" i="74" s="1"/>
  <c r="F22" i="74"/>
  <c r="I22" i="74" s="1"/>
  <c r="F20" i="74"/>
  <c r="I20" i="74" s="1"/>
  <c r="P27" i="74" s="1"/>
  <c r="J14" i="73"/>
  <c r="P16" i="74"/>
  <c r="Q16" i="74" s="1"/>
  <c r="S16" i="79"/>
  <c r="J10" i="81"/>
  <c r="P28" i="85"/>
  <c r="S23" i="85" s="1"/>
  <c r="S13" i="86"/>
  <c r="J6" i="89"/>
  <c r="P23" i="89"/>
  <c r="Q23" i="89" s="1"/>
  <c r="J7" i="90"/>
  <c r="P22" i="93"/>
  <c r="P23" i="95"/>
  <c r="J6" i="97"/>
  <c r="P15" i="98"/>
  <c r="Q15" i="98" s="1"/>
  <c r="P18" i="98"/>
  <c r="Q18" i="98" s="1"/>
  <c r="S23" i="99"/>
  <c r="J10" i="100"/>
  <c r="P23" i="105"/>
  <c r="J12" i="107"/>
  <c r="J10" i="108"/>
  <c r="F21" i="73"/>
  <c r="I21" i="73" s="1"/>
  <c r="F21" i="74"/>
  <c r="I21" i="74" s="1"/>
  <c r="F19" i="74"/>
  <c r="I19" i="74" s="1"/>
  <c r="J19" i="74" s="1"/>
  <c r="P15" i="77"/>
  <c r="Q15" i="77" s="1"/>
  <c r="J6" i="79"/>
  <c r="P23" i="79"/>
  <c r="Q23" i="79" s="1"/>
  <c r="P22" i="84"/>
  <c r="Q22" i="84" s="1"/>
  <c r="P22" i="85"/>
  <c r="J6" i="88"/>
  <c r="P15" i="88"/>
  <c r="Q15" i="88" s="1"/>
  <c r="J8" i="88"/>
  <c r="P22" i="92"/>
  <c r="Q22" i="92" s="1"/>
  <c r="J7" i="94"/>
  <c r="J6" i="95"/>
  <c r="J6" i="98"/>
  <c r="S13" i="99"/>
  <c r="P22" i="102"/>
  <c r="J15" i="72"/>
  <c r="G21" i="72"/>
  <c r="F19" i="73"/>
  <c r="I19" i="73" s="1"/>
  <c r="S16" i="73" s="1"/>
  <c r="J8" i="77"/>
  <c r="J15" i="77"/>
  <c r="J7" i="80"/>
  <c r="J8" i="84"/>
  <c r="J8" i="85"/>
  <c r="P22" i="90"/>
  <c r="Q22" i="90" s="1"/>
  <c r="J8" i="90"/>
  <c r="P22" i="91"/>
  <c r="Q22" i="91" s="1"/>
  <c r="J8" i="92"/>
  <c r="S13" i="93"/>
  <c r="P15" i="94"/>
  <c r="S13" i="95"/>
  <c r="S13" i="98"/>
  <c r="P22" i="100"/>
  <c r="J7" i="101"/>
  <c r="J7" i="103"/>
  <c r="S13" i="103"/>
  <c r="J7" i="106"/>
  <c r="J7" i="108"/>
  <c r="J6" i="81"/>
  <c r="P15" i="96"/>
  <c r="Q15" i="96" s="1"/>
  <c r="E32" i="74"/>
  <c r="J16" i="72"/>
  <c r="J10" i="83"/>
  <c r="J10" i="94"/>
  <c r="J10" i="97"/>
  <c r="P24" i="99"/>
  <c r="Q24" i="99" s="1"/>
  <c r="P23" i="99"/>
  <c r="Q23" i="99" s="1"/>
  <c r="J14" i="96"/>
  <c r="J14" i="90"/>
  <c r="S16" i="83"/>
  <c r="J8" i="82"/>
  <c r="J7" i="82"/>
  <c r="J6" i="82"/>
  <c r="S13" i="82"/>
  <c r="H16" i="82"/>
  <c r="S17" i="82" s="1"/>
  <c r="J7" i="109"/>
  <c r="J7" i="104"/>
  <c r="J7" i="100"/>
  <c r="J7" i="98"/>
  <c r="J7" i="96"/>
  <c r="J7" i="92"/>
  <c r="J7" i="91"/>
  <c r="J7" i="89"/>
  <c r="F20" i="73"/>
  <c r="AI25" i="73"/>
  <c r="F26" i="73"/>
  <c r="I26" i="73" s="1"/>
  <c r="O32" i="72"/>
  <c r="H24" i="72"/>
  <c r="J16" i="74"/>
  <c r="J12" i="79"/>
  <c r="S13" i="79"/>
  <c r="P16" i="80"/>
  <c r="Q16" i="80" s="1"/>
  <c r="J14" i="80"/>
  <c r="P17" i="74"/>
  <c r="Q17" i="74" s="1"/>
  <c r="J16" i="73"/>
  <c r="J9" i="79"/>
  <c r="H17" i="77"/>
  <c r="S17" i="77" s="1"/>
  <c r="S13" i="77"/>
  <c r="P25" i="77"/>
  <c r="P18" i="77" s="1"/>
  <c r="Q18" i="77" s="1"/>
  <c r="P32" i="74"/>
  <c r="S17" i="74"/>
  <c r="H25" i="74"/>
  <c r="S21" i="74" s="1"/>
  <c r="S17" i="84"/>
  <c r="P28" i="89"/>
  <c r="S13" i="89"/>
  <c r="H16" i="89"/>
  <c r="S17" i="89" s="1"/>
  <c r="J12" i="89"/>
  <c r="P16" i="77"/>
  <c r="Q16" i="77" s="1"/>
  <c r="P27" i="72"/>
  <c r="H25" i="72"/>
  <c r="S21" i="72" s="1"/>
  <c r="P21" i="78"/>
  <c r="Q21" i="78" s="1"/>
  <c r="J14" i="78"/>
  <c r="J12" i="78"/>
  <c r="H15" i="78"/>
  <c r="S12" i="78"/>
  <c r="J10" i="73"/>
  <c r="J10" i="72"/>
  <c r="J14" i="72"/>
  <c r="F22" i="73"/>
  <c r="I22" i="73" s="1"/>
  <c r="J10" i="74"/>
  <c r="J6" i="77"/>
  <c r="J15" i="81"/>
  <c r="S16" i="81"/>
  <c r="P25" i="81"/>
  <c r="Q25" i="81" s="1"/>
  <c r="P24" i="81"/>
  <c r="Q24" i="81" s="1"/>
  <c r="F24" i="73"/>
  <c r="I24" i="73" s="1"/>
  <c r="O32" i="74"/>
  <c r="P26" i="74"/>
  <c r="Q26" i="74" s="1"/>
  <c r="J27" i="74"/>
  <c r="J12" i="73"/>
  <c r="H26" i="73"/>
  <c r="S16" i="74"/>
  <c r="H23" i="74"/>
  <c r="J28" i="74"/>
  <c r="J12" i="87"/>
  <c r="S12" i="81"/>
  <c r="J12" i="81"/>
  <c r="O25" i="82"/>
  <c r="S12" i="82"/>
  <c r="Q15" i="82"/>
  <c r="J12" i="82"/>
  <c r="H15" i="82"/>
  <c r="J27" i="73"/>
  <c r="P26" i="73"/>
  <c r="Q26" i="73" s="1"/>
  <c r="O32" i="73"/>
  <c r="H23" i="73"/>
  <c r="S16" i="80"/>
  <c r="I21" i="72"/>
  <c r="F23" i="72"/>
  <c r="I23" i="72" s="1"/>
  <c r="S20" i="72" s="1"/>
  <c r="P18" i="72"/>
  <c r="Q18" i="72" s="1"/>
  <c r="P13" i="72"/>
  <c r="Q13" i="72" s="1"/>
  <c r="P10" i="72"/>
  <c r="Q10" i="72" s="1"/>
  <c r="P14" i="72"/>
  <c r="Q14" i="72" s="1"/>
  <c r="P15" i="72"/>
  <c r="Q15" i="72" s="1"/>
  <c r="J28" i="72"/>
  <c r="S16" i="72"/>
  <c r="J12" i="74"/>
  <c r="S20" i="86"/>
  <c r="P17" i="86"/>
  <c r="Q17" i="86" s="1"/>
  <c r="P18" i="86"/>
  <c r="Q18" i="86" s="1"/>
  <c r="P24" i="85"/>
  <c r="Q24" i="85" s="1"/>
  <c r="S16" i="87"/>
  <c r="P16" i="104"/>
  <c r="Q16" i="104" s="1"/>
  <c r="J14" i="104"/>
  <c r="P28" i="79"/>
  <c r="P24" i="79" s="1"/>
  <c r="Q24" i="79" s="1"/>
  <c r="H17" i="79"/>
  <c r="S17" i="79" s="1"/>
  <c r="S23" i="81"/>
  <c r="J7" i="86"/>
  <c r="S12" i="87"/>
  <c r="S13" i="87"/>
  <c r="J10" i="93"/>
  <c r="O28" i="93"/>
  <c r="H16" i="93"/>
  <c r="J15" i="93"/>
  <c r="P21" i="93"/>
  <c r="Q21" i="93" s="1"/>
  <c r="S12" i="93"/>
  <c r="J12" i="93"/>
  <c r="J12" i="96"/>
  <c r="S13" i="96"/>
  <c r="H16" i="96"/>
  <c r="S17" i="96" s="1"/>
  <c r="P25" i="96"/>
  <c r="P18" i="96" s="1"/>
  <c r="Q18" i="96" s="1"/>
  <c r="H16" i="97"/>
  <c r="S17" i="97" s="1"/>
  <c r="P28" i="97"/>
  <c r="S23" i="97" s="1"/>
  <c r="S13" i="97"/>
  <c r="J10" i="104"/>
  <c r="H16" i="104"/>
  <c r="S12" i="104"/>
  <c r="J12" i="104"/>
  <c r="P28" i="102"/>
  <c r="S13" i="102"/>
  <c r="H17" i="102"/>
  <c r="S17" i="102" s="1"/>
  <c r="S16" i="84"/>
  <c r="J16" i="84"/>
  <c r="O25" i="106"/>
  <c r="S12" i="106"/>
  <c r="J12" i="106"/>
  <c r="H15" i="106"/>
  <c r="P28" i="91"/>
  <c r="J12" i="91"/>
  <c r="S13" i="91"/>
  <c r="H17" i="91"/>
  <c r="S17" i="91" s="1"/>
  <c r="F22" i="72"/>
  <c r="P25" i="80"/>
  <c r="P18" i="80" s="1"/>
  <c r="Q18" i="80" s="1"/>
  <c r="S13" i="80"/>
  <c r="Q23" i="81"/>
  <c r="S13" i="83"/>
  <c r="P28" i="83"/>
  <c r="N27" i="83" s="1"/>
  <c r="N28" i="83" s="1"/>
  <c r="H16" i="83"/>
  <c r="J12" i="90"/>
  <c r="S12" i="90"/>
  <c r="J7" i="93"/>
  <c r="J6" i="100"/>
  <c r="J6" i="103"/>
  <c r="S16" i="108"/>
  <c r="J15" i="108"/>
  <c r="J12" i="77"/>
  <c r="P28" i="78"/>
  <c r="P23" i="78" s="1"/>
  <c r="Q23" i="78" s="1"/>
  <c r="H16" i="78"/>
  <c r="S17" i="78" s="1"/>
  <c r="J6" i="80"/>
  <c r="H17" i="80"/>
  <c r="J16" i="80" s="1"/>
  <c r="J6" i="83"/>
  <c r="P28" i="84"/>
  <c r="P23" i="84" s="1"/>
  <c r="Q23" i="84" s="1"/>
  <c r="J12" i="84"/>
  <c r="S13" i="84"/>
  <c r="J6" i="86"/>
  <c r="H16" i="87"/>
  <c r="S17" i="87" s="1"/>
  <c r="S16" i="101"/>
  <c r="P24" i="107"/>
  <c r="Q24" i="107" s="1"/>
  <c r="S23" i="107"/>
  <c r="P25" i="107"/>
  <c r="Q25" i="107" s="1"/>
  <c r="S16" i="77"/>
  <c r="J8" i="78"/>
  <c r="J8" i="80"/>
  <c r="J8" i="83"/>
  <c r="P23" i="85"/>
  <c r="Q23" i="85" s="1"/>
  <c r="J10" i="86"/>
  <c r="H16" i="86"/>
  <c r="N24" i="86" s="1"/>
  <c r="N25" i="86" s="1"/>
  <c r="S12" i="86"/>
  <c r="J10" i="91"/>
  <c r="P17" i="98"/>
  <c r="Q17" i="98" s="1"/>
  <c r="S20" i="98"/>
  <c r="S16" i="102"/>
  <c r="S23" i="103"/>
  <c r="P23" i="103"/>
  <c r="Q23" i="103" s="1"/>
  <c r="P24" i="103"/>
  <c r="Q24" i="103" s="1"/>
  <c r="O25" i="104"/>
  <c r="J15" i="105"/>
  <c r="S16" i="105"/>
  <c r="O28" i="87"/>
  <c r="H15" i="88"/>
  <c r="O25" i="88"/>
  <c r="S12" i="88"/>
  <c r="S16" i="91"/>
  <c r="H17" i="94"/>
  <c r="J16" i="94" s="1"/>
  <c r="P25" i="94"/>
  <c r="S20" i="94" s="1"/>
  <c r="S13" i="94"/>
  <c r="S12" i="99"/>
  <c r="J12" i="99"/>
  <c r="J8" i="101"/>
  <c r="P21" i="101"/>
  <c r="Q21" i="101" s="1"/>
  <c r="S12" i="101"/>
  <c r="J14" i="101"/>
  <c r="J12" i="101"/>
  <c r="O28" i="101"/>
  <c r="J6" i="107"/>
  <c r="N27" i="81"/>
  <c r="N28" i="81" s="1"/>
  <c r="J15" i="85"/>
  <c r="H16" i="85"/>
  <c r="S23" i="92"/>
  <c r="P23" i="92"/>
  <c r="Q23" i="92" s="1"/>
  <c r="J10" i="96"/>
  <c r="S20" i="96"/>
  <c r="J10" i="98"/>
  <c r="J12" i="98"/>
  <c r="O28" i="100"/>
  <c r="H16" i="100"/>
  <c r="N27" i="100" s="1"/>
  <c r="N28" i="100" s="1"/>
  <c r="J15" i="100"/>
  <c r="P21" i="100"/>
  <c r="Q21" i="100" s="1"/>
  <c r="S12" i="100"/>
  <c r="J14" i="100"/>
  <c r="P22" i="87"/>
  <c r="Q22" i="87" s="1"/>
  <c r="J10" i="89"/>
  <c r="J9" i="90"/>
  <c r="J10" i="92"/>
  <c r="S12" i="94"/>
  <c r="Q15" i="94"/>
  <c r="J12" i="94"/>
  <c r="Q22" i="99"/>
  <c r="H17" i="101"/>
  <c r="S17" i="101" s="1"/>
  <c r="P28" i="101"/>
  <c r="S13" i="101"/>
  <c r="J16" i="103"/>
  <c r="J6" i="93"/>
  <c r="J10" i="95"/>
  <c r="S12" i="97"/>
  <c r="P22" i="97"/>
  <c r="Q22" i="97" s="1"/>
  <c r="J14" i="97"/>
  <c r="J12" i="97"/>
  <c r="H15" i="97"/>
  <c r="J15" i="99"/>
  <c r="S16" i="99"/>
  <c r="J12" i="100"/>
  <c r="J10" i="102"/>
  <c r="J6" i="104"/>
  <c r="O28" i="90"/>
  <c r="S12" i="92"/>
  <c r="P21" i="92"/>
  <c r="Q21" i="92" s="1"/>
  <c r="O28" i="95"/>
  <c r="S12" i="103"/>
  <c r="P21" i="103"/>
  <c r="Q21" i="103" s="1"/>
  <c r="J12" i="105"/>
  <c r="J14" i="105"/>
  <c r="S13" i="106"/>
  <c r="J12" i="108"/>
  <c r="J6" i="109"/>
  <c r="P22" i="109"/>
  <c r="Q22" i="109" s="1"/>
  <c r="P25" i="88"/>
  <c r="O28" i="89"/>
  <c r="H16" i="90"/>
  <c r="J15" i="92"/>
  <c r="H16" i="92"/>
  <c r="N27" i="92" s="1"/>
  <c r="N28" i="92" s="1"/>
  <c r="H17" i="93"/>
  <c r="S17" i="93" s="1"/>
  <c r="H16" i="88"/>
  <c r="S17" i="88" s="1"/>
  <c r="H15" i="89"/>
  <c r="O28" i="91"/>
  <c r="J12" i="95"/>
  <c r="J14" i="95"/>
  <c r="H15" i="96"/>
  <c r="J6" i="99"/>
  <c r="O28" i="102"/>
  <c r="N27" i="103"/>
  <c r="N28" i="103" s="1"/>
  <c r="H17" i="104"/>
  <c r="S17" i="104" s="1"/>
  <c r="J6" i="105"/>
  <c r="P22" i="105"/>
  <c r="Q22" i="105" s="1"/>
  <c r="J15" i="98"/>
  <c r="S16" i="98"/>
  <c r="S21" i="98" s="1"/>
  <c r="J6" i="101"/>
  <c r="J12" i="102"/>
  <c r="J14" i="102"/>
  <c r="J6" i="106"/>
  <c r="S12" i="108"/>
  <c r="H16" i="109"/>
  <c r="S17" i="109" s="1"/>
  <c r="P21" i="90"/>
  <c r="Q21" i="90" s="1"/>
  <c r="P22" i="95"/>
  <c r="Q22" i="95" s="1"/>
  <c r="H16" i="107"/>
  <c r="S17" i="107" s="1"/>
  <c r="P25" i="108"/>
  <c r="S20" i="108" s="1"/>
  <c r="O28" i="109"/>
  <c r="P25" i="106"/>
  <c r="S13" i="109"/>
  <c r="H15" i="109"/>
  <c r="J6" i="90"/>
  <c r="S12" i="91"/>
  <c r="S12" i="96"/>
  <c r="S12" i="102"/>
  <c r="S13" i="104"/>
  <c r="S13" i="107"/>
  <c r="J12" i="109"/>
  <c r="D15" i="46"/>
  <c r="C31" i="74" l="1"/>
  <c r="P17" i="96"/>
  <c r="Q17" i="96" s="1"/>
  <c r="J15" i="95"/>
  <c r="S17" i="72"/>
  <c r="N27" i="105"/>
  <c r="N28" i="105" s="1"/>
  <c r="P28" i="73"/>
  <c r="Q28" i="73" s="1"/>
  <c r="J16" i="101"/>
  <c r="H25" i="73"/>
  <c r="S21" i="73" s="1"/>
  <c r="P25" i="105"/>
  <c r="Q25" i="105" s="1"/>
  <c r="N27" i="87"/>
  <c r="N28" i="87" s="1"/>
  <c r="N24" i="98"/>
  <c r="N25" i="98" s="1"/>
  <c r="J16" i="77"/>
  <c r="N27" i="102"/>
  <c r="N28" i="102" s="1"/>
  <c r="J16" i="91"/>
  <c r="S24" i="107"/>
  <c r="S23" i="105"/>
  <c r="P17" i="80"/>
  <c r="Q17" i="80" s="1"/>
  <c r="S17" i="73"/>
  <c r="S20" i="80"/>
  <c r="S24" i="99"/>
  <c r="N27" i="91"/>
  <c r="N28" i="91" s="1"/>
  <c r="N27" i="89"/>
  <c r="N28" i="89" s="1"/>
  <c r="P24" i="97"/>
  <c r="Q24" i="97" s="1"/>
  <c r="N27" i="95"/>
  <c r="N28" i="95" s="1"/>
  <c r="P25" i="97"/>
  <c r="Q25" i="97" s="1"/>
  <c r="N27" i="93"/>
  <c r="N28" i="93" s="1"/>
  <c r="N27" i="97"/>
  <c r="N28" i="97" s="1"/>
  <c r="N24" i="104"/>
  <c r="N25" i="104" s="1"/>
  <c r="J16" i="102"/>
  <c r="N27" i="90"/>
  <c r="N28" i="90" s="1"/>
  <c r="P17" i="108"/>
  <c r="Q17" i="108" s="1"/>
  <c r="S24" i="105"/>
  <c r="N24" i="108"/>
  <c r="N25" i="108" s="1"/>
  <c r="P18" i="108"/>
  <c r="Q18" i="108" s="1"/>
  <c r="P28" i="74"/>
  <c r="Q28" i="74" s="1"/>
  <c r="S21" i="108"/>
  <c r="S24" i="103"/>
  <c r="Q22" i="93"/>
  <c r="Q22" i="78"/>
  <c r="N24" i="82"/>
  <c r="N25" i="82" s="1"/>
  <c r="S17" i="83"/>
  <c r="J15" i="83"/>
  <c r="P17" i="77"/>
  <c r="Q17" i="77" s="1"/>
  <c r="Q22" i="102"/>
  <c r="S16" i="104"/>
  <c r="J16" i="104"/>
  <c r="P17" i="94"/>
  <c r="Q17" i="94" s="1"/>
  <c r="S24" i="81"/>
  <c r="J23" i="74"/>
  <c r="S20" i="74"/>
  <c r="N31" i="74"/>
  <c r="S23" i="78"/>
  <c r="S16" i="109"/>
  <c r="J15" i="109"/>
  <c r="S16" i="96"/>
  <c r="S21" i="96" s="1"/>
  <c r="J15" i="96"/>
  <c r="S16" i="106"/>
  <c r="J15" i="106"/>
  <c r="S16" i="82"/>
  <c r="J15" i="82"/>
  <c r="S27" i="72"/>
  <c r="S28" i="72" s="1"/>
  <c r="P21" i="72"/>
  <c r="Q21" i="72" s="1"/>
  <c r="P22" i="72"/>
  <c r="Q22" i="72" s="1"/>
  <c r="N27" i="107"/>
  <c r="N28" i="107" s="1"/>
  <c r="P23" i="83"/>
  <c r="Q23" i="83" s="1"/>
  <c r="S20" i="73"/>
  <c r="N27" i="79"/>
  <c r="N28" i="79" s="1"/>
  <c r="P29" i="74"/>
  <c r="Q29" i="74" s="1"/>
  <c r="S27" i="74"/>
  <c r="Q20" i="72"/>
  <c r="Q23" i="95"/>
  <c r="J16" i="85"/>
  <c r="S16" i="85"/>
  <c r="S24" i="85" s="1"/>
  <c r="P17" i="104"/>
  <c r="Q17" i="104" s="1"/>
  <c r="S20" i="104"/>
  <c r="P18" i="104"/>
  <c r="Q18" i="104" s="1"/>
  <c r="P24" i="109"/>
  <c r="Q24" i="109" s="1"/>
  <c r="S23" i="109"/>
  <c r="P25" i="109"/>
  <c r="Q25" i="109" s="1"/>
  <c r="S17" i="90"/>
  <c r="J15" i="90"/>
  <c r="J14" i="94"/>
  <c r="P16" i="94"/>
  <c r="Q16" i="94" s="1"/>
  <c r="S20" i="88"/>
  <c r="P18" i="88"/>
  <c r="Q18" i="88" s="1"/>
  <c r="P17" i="88"/>
  <c r="Q17" i="88" s="1"/>
  <c r="J15" i="107"/>
  <c r="J14" i="106"/>
  <c r="P16" i="106"/>
  <c r="Q16" i="106" s="1"/>
  <c r="J15" i="87"/>
  <c r="N26" i="72"/>
  <c r="P29" i="73"/>
  <c r="Q29" i="73" s="1"/>
  <c r="S27" i="73"/>
  <c r="P16" i="82"/>
  <c r="Q16" i="82" s="1"/>
  <c r="J14" i="82"/>
  <c r="J16" i="79"/>
  <c r="J14" i="108"/>
  <c r="P16" i="108"/>
  <c r="Q16" i="108" s="1"/>
  <c r="P25" i="95"/>
  <c r="Q25" i="95" s="1"/>
  <c r="P24" i="95"/>
  <c r="Q24" i="95" s="1"/>
  <c r="S23" i="95"/>
  <c r="S24" i="95" s="1"/>
  <c r="P25" i="79"/>
  <c r="Q25" i="79" s="1"/>
  <c r="N27" i="109"/>
  <c r="N28" i="109" s="1"/>
  <c r="P24" i="101"/>
  <c r="Q24" i="101" s="1"/>
  <c r="S23" i="101"/>
  <c r="S24" i="101" s="1"/>
  <c r="P23" i="101"/>
  <c r="Q23" i="101" s="1"/>
  <c r="S23" i="91"/>
  <c r="S24" i="91" s="1"/>
  <c r="P23" i="91"/>
  <c r="Q23" i="91" s="1"/>
  <c r="P24" i="91"/>
  <c r="Q24" i="91" s="1"/>
  <c r="P24" i="89"/>
  <c r="Q24" i="89" s="1"/>
  <c r="S23" i="89"/>
  <c r="P25" i="89"/>
  <c r="Q25" i="89" s="1"/>
  <c r="P24" i="90"/>
  <c r="Q24" i="90" s="1"/>
  <c r="S23" i="90"/>
  <c r="P23" i="90"/>
  <c r="Q23" i="90" s="1"/>
  <c r="Q23" i="97"/>
  <c r="Q15" i="108"/>
  <c r="S16" i="88"/>
  <c r="J15" i="88"/>
  <c r="J14" i="86"/>
  <c r="P16" i="86"/>
  <c r="Q16" i="86" s="1"/>
  <c r="S17" i="80"/>
  <c r="S21" i="80" s="1"/>
  <c r="N24" i="80"/>
  <c r="N25" i="80" s="1"/>
  <c r="S23" i="83"/>
  <c r="S24" i="83" s="1"/>
  <c r="Q22" i="100"/>
  <c r="F26" i="72"/>
  <c r="I22" i="72"/>
  <c r="J19" i="72" s="1"/>
  <c r="N24" i="106"/>
  <c r="N25" i="106" s="1"/>
  <c r="S20" i="77"/>
  <c r="S21" i="77" s="1"/>
  <c r="Q27" i="74"/>
  <c r="P23" i="100"/>
  <c r="Q23" i="100" s="1"/>
  <c r="P24" i="100"/>
  <c r="Q24" i="100" s="1"/>
  <c r="S23" i="100"/>
  <c r="P23" i="93"/>
  <c r="Q23" i="93" s="1"/>
  <c r="P24" i="93"/>
  <c r="Q24" i="93" s="1"/>
  <c r="S23" i="93"/>
  <c r="S23" i="84"/>
  <c r="S24" i="84" s="1"/>
  <c r="N24" i="96"/>
  <c r="N25" i="96" s="1"/>
  <c r="J15" i="89"/>
  <c r="S16" i="89"/>
  <c r="J15" i="97"/>
  <c r="S16" i="97"/>
  <c r="S24" i="97" s="1"/>
  <c r="N24" i="88"/>
  <c r="N25" i="88" s="1"/>
  <c r="P24" i="83"/>
  <c r="Q24" i="83" s="1"/>
  <c r="P24" i="84"/>
  <c r="Q24" i="84" s="1"/>
  <c r="S23" i="79"/>
  <c r="S24" i="79" s="1"/>
  <c r="Q23" i="105"/>
  <c r="Q22" i="85"/>
  <c r="P18" i="94"/>
  <c r="Q18" i="94" s="1"/>
  <c r="P18" i="82"/>
  <c r="Q18" i="82" s="1"/>
  <c r="S20" i="82"/>
  <c r="P17" i="82"/>
  <c r="Q17" i="82" s="1"/>
  <c r="J15" i="78"/>
  <c r="S16" i="78"/>
  <c r="N27" i="84"/>
  <c r="N28" i="84" s="1"/>
  <c r="C31" i="73"/>
  <c r="I20" i="73"/>
  <c r="P27" i="73" s="1"/>
  <c r="N24" i="77"/>
  <c r="N25" i="77" s="1"/>
  <c r="P24" i="78"/>
  <c r="Q24" i="78" s="1"/>
  <c r="J16" i="92"/>
  <c r="S16" i="92"/>
  <c r="S24" i="92" s="1"/>
  <c r="N27" i="78"/>
  <c r="N28" i="78" s="1"/>
  <c r="S23" i="102"/>
  <c r="S24" i="102" s="1"/>
  <c r="P23" i="102"/>
  <c r="Q23" i="102" s="1"/>
  <c r="P24" i="102"/>
  <c r="Q24" i="102" s="1"/>
  <c r="S16" i="100"/>
  <c r="S24" i="100" s="1"/>
  <c r="J16" i="100"/>
  <c r="N27" i="101"/>
  <c r="N28" i="101" s="1"/>
  <c r="S17" i="94"/>
  <c r="S21" i="94" s="1"/>
  <c r="N24" i="94"/>
  <c r="N25" i="94" s="1"/>
  <c r="P25" i="87"/>
  <c r="Q25" i="87" s="1"/>
  <c r="S23" i="87"/>
  <c r="S24" i="87" s="1"/>
  <c r="P24" i="87"/>
  <c r="Q24" i="87" s="1"/>
  <c r="S16" i="86"/>
  <c r="S21" i="86" s="1"/>
  <c r="J16" i="86"/>
  <c r="N27" i="85"/>
  <c r="N28" i="85" s="1"/>
  <c r="P18" i="106"/>
  <c r="Q18" i="106" s="1"/>
  <c r="P17" i="106"/>
  <c r="Q17" i="106" s="1"/>
  <c r="S20" i="106"/>
  <c r="S16" i="93"/>
  <c r="J16" i="93"/>
  <c r="AR26" i="70"/>
  <c r="AR25" i="70"/>
  <c r="AH29" i="70"/>
  <c r="AH28" i="70"/>
  <c r="AH27" i="70"/>
  <c r="AH26" i="70"/>
  <c r="AH25" i="70"/>
  <c r="H22" i="70" s="1"/>
  <c r="J23" i="73" l="1"/>
  <c r="N31" i="73"/>
  <c r="N32" i="73" s="1"/>
  <c r="S24" i="78"/>
  <c r="S24" i="89"/>
  <c r="S21" i="106"/>
  <c r="S24" i="109"/>
  <c r="S28" i="73"/>
  <c r="S28" i="74"/>
  <c r="S21" i="104"/>
  <c r="S24" i="93"/>
  <c r="S24" i="90"/>
  <c r="S21" i="88"/>
  <c r="S21" i="82"/>
  <c r="I26" i="72"/>
  <c r="J23" i="72" s="1"/>
  <c r="N31" i="72"/>
  <c r="N32" i="74"/>
  <c r="C32" i="74"/>
  <c r="Q27" i="73"/>
  <c r="J19" i="73"/>
  <c r="P10" i="70"/>
  <c r="P10" i="71"/>
  <c r="C32" i="73" l="1"/>
  <c r="N27" i="72"/>
  <c r="N32" i="72"/>
  <c r="P12" i="71"/>
  <c r="P13" i="71"/>
  <c r="P14" i="71"/>
  <c r="P15" i="71"/>
  <c r="AH18" i="71" l="1"/>
  <c r="AG18" i="71"/>
  <c r="AF18" i="71"/>
  <c r="AE18" i="71"/>
  <c r="AD18" i="71"/>
  <c r="AH17" i="71"/>
  <c r="AG17" i="71"/>
  <c r="AF17" i="71"/>
  <c r="AE17" i="71"/>
  <c r="AD17" i="71"/>
  <c r="AH16" i="71"/>
  <c r="AG16" i="71"/>
  <c r="AF16" i="71"/>
  <c r="AE16" i="71"/>
  <c r="AH11" i="71"/>
  <c r="AG11" i="71"/>
  <c r="AF11" i="71"/>
  <c r="AE11" i="71"/>
  <c r="AD11" i="71"/>
  <c r="AH29" i="71"/>
  <c r="AH28" i="71"/>
  <c r="AH27" i="71"/>
  <c r="H22" i="71" s="1"/>
  <c r="H26" i="71" s="1"/>
  <c r="AH26" i="71"/>
  <c r="AF29" i="71"/>
  <c r="AF25" i="71"/>
  <c r="AI25" i="71" s="1"/>
  <c r="AH25" i="71"/>
  <c r="Q32" i="71"/>
  <c r="F32" i="71"/>
  <c r="AR29" i="71"/>
  <c r="AP29" i="71"/>
  <c r="AS29" i="71" s="1"/>
  <c r="AI29" i="71"/>
  <c r="AR28" i="71"/>
  <c r="AP28" i="71"/>
  <c r="AS28" i="71" s="1"/>
  <c r="AF28" i="71"/>
  <c r="AI28" i="71" s="1"/>
  <c r="I28" i="71"/>
  <c r="AR27" i="71"/>
  <c r="AP27" i="71"/>
  <c r="AF27" i="71"/>
  <c r="AI27" i="71" s="1"/>
  <c r="I27" i="71"/>
  <c r="AR26" i="71"/>
  <c r="H21" i="71" s="1"/>
  <c r="P32" i="71" s="1"/>
  <c r="AP26" i="71"/>
  <c r="AS26" i="71" s="1"/>
  <c r="AF26" i="71"/>
  <c r="AI26" i="71" s="1"/>
  <c r="B26" i="71"/>
  <c r="AR25" i="71"/>
  <c r="AP25" i="71"/>
  <c r="AS25" i="71" s="1"/>
  <c r="P25" i="71"/>
  <c r="Q25" i="71" s="1"/>
  <c r="F25" i="71"/>
  <c r="I25" i="71" s="1"/>
  <c r="B25" i="71"/>
  <c r="P24" i="71"/>
  <c r="Q24" i="71" s="1"/>
  <c r="B24" i="71"/>
  <c r="Q23" i="71"/>
  <c r="O23" i="71"/>
  <c r="E23" i="71"/>
  <c r="D23" i="71"/>
  <c r="B23" i="71"/>
  <c r="Q22" i="71"/>
  <c r="G22" i="71"/>
  <c r="Q21" i="71"/>
  <c r="G21" i="71"/>
  <c r="F21" i="71"/>
  <c r="I21" i="71" s="1"/>
  <c r="Q20" i="71"/>
  <c r="H24" i="71"/>
  <c r="Q19" i="71"/>
  <c r="O19" i="71"/>
  <c r="AB18" i="71"/>
  <c r="AA18" i="71"/>
  <c r="Z18" i="71"/>
  <c r="Y18" i="71"/>
  <c r="X18" i="71"/>
  <c r="I18" i="71"/>
  <c r="H18" i="71"/>
  <c r="AB17" i="71"/>
  <c r="AA17" i="71"/>
  <c r="Z17" i="71"/>
  <c r="P17" i="71" s="1"/>
  <c r="Q17" i="71" s="1"/>
  <c r="Y17" i="71"/>
  <c r="X17" i="71"/>
  <c r="I17" i="71"/>
  <c r="H17" i="71"/>
  <c r="AB16" i="71"/>
  <c r="AA16" i="71"/>
  <c r="Z16" i="71"/>
  <c r="Y16" i="71"/>
  <c r="O16" i="71"/>
  <c r="I16" i="71"/>
  <c r="H16" i="71"/>
  <c r="Q15" i="71"/>
  <c r="O15" i="71"/>
  <c r="I15" i="71"/>
  <c r="H15" i="71"/>
  <c r="J15" i="71" s="1"/>
  <c r="Q14" i="71"/>
  <c r="O14" i="71"/>
  <c r="I14" i="71"/>
  <c r="H14" i="71"/>
  <c r="J14" i="71" s="1"/>
  <c r="Q13" i="71"/>
  <c r="O13" i="71"/>
  <c r="I13" i="71"/>
  <c r="H13" i="71"/>
  <c r="Q12" i="71"/>
  <c r="O12" i="71"/>
  <c r="I12" i="71"/>
  <c r="H12" i="71"/>
  <c r="AB11" i="71"/>
  <c r="AA11" i="71"/>
  <c r="Z11" i="71"/>
  <c r="P11" i="71" s="1"/>
  <c r="Y11" i="71"/>
  <c r="X11" i="71"/>
  <c r="O11" i="71"/>
  <c r="I11" i="71"/>
  <c r="H11" i="71"/>
  <c r="Q10" i="71"/>
  <c r="O10" i="71"/>
  <c r="I10" i="71"/>
  <c r="H10" i="71"/>
  <c r="P18" i="71" l="1"/>
  <c r="Q18" i="71" s="1"/>
  <c r="F23" i="71"/>
  <c r="I23" i="71" s="1"/>
  <c r="J10" i="71"/>
  <c r="H23" i="71"/>
  <c r="H28" i="71"/>
  <c r="H27" i="71"/>
  <c r="J27" i="71" s="1"/>
  <c r="J16" i="71"/>
  <c r="J12" i="71"/>
  <c r="O32" i="71"/>
  <c r="P29" i="71" s="1"/>
  <c r="Q29" i="71" s="1"/>
  <c r="P16" i="71"/>
  <c r="Q16" i="71" s="1"/>
  <c r="Q11" i="71"/>
  <c r="P26" i="71"/>
  <c r="Q26" i="71" s="1"/>
  <c r="S20" i="71"/>
  <c r="F20" i="71"/>
  <c r="S17" i="71"/>
  <c r="H25" i="71"/>
  <c r="S21" i="71" s="1"/>
  <c r="F19" i="71"/>
  <c r="F24" i="71"/>
  <c r="I24" i="71" s="1"/>
  <c r="AS27" i="71"/>
  <c r="D32" i="71"/>
  <c r="F22" i="71"/>
  <c r="I22" i="71" s="1"/>
  <c r="J28" i="71"/>
  <c r="E32" i="71"/>
  <c r="F26" i="71"/>
  <c r="I26" i="71" s="1"/>
  <c r="S27" i="71" l="1"/>
  <c r="J23" i="71"/>
  <c r="P28" i="71"/>
  <c r="Q28" i="71" s="1"/>
  <c r="I19" i="71"/>
  <c r="N31" i="71"/>
  <c r="C31" i="71"/>
  <c r="I20" i="71"/>
  <c r="N32" i="71" l="1"/>
  <c r="C32" i="71"/>
  <c r="J19" i="71"/>
  <c r="S16" i="71"/>
  <c r="S28" i="71" s="1"/>
  <c r="P27" i="71"/>
  <c r="Q27" i="71" s="1"/>
  <c r="P12" i="70" l="1"/>
  <c r="P13" i="70"/>
  <c r="P14" i="70"/>
  <c r="P15" i="70"/>
  <c r="G22" i="70"/>
  <c r="F32" i="70" l="1"/>
  <c r="Q32" i="70"/>
  <c r="E23" i="70"/>
  <c r="D23" i="70"/>
  <c r="G21" i="70"/>
  <c r="AE18" i="70"/>
  <c r="AF18" i="70"/>
  <c r="AG18" i="70"/>
  <c r="AH18" i="70"/>
  <c r="AD18" i="70"/>
  <c r="Y18" i="70"/>
  <c r="Z18" i="70"/>
  <c r="AA18" i="70"/>
  <c r="AB18" i="70"/>
  <c r="X18" i="70"/>
  <c r="AE17" i="70"/>
  <c r="AF17" i="70"/>
  <c r="AG17" i="70"/>
  <c r="AH17" i="70"/>
  <c r="AD17" i="70"/>
  <c r="Y17" i="70"/>
  <c r="P17" i="70" s="1"/>
  <c r="Z17" i="70"/>
  <c r="AA17" i="70"/>
  <c r="AB17" i="70"/>
  <c r="X17" i="70"/>
  <c r="AE16" i="70"/>
  <c r="AF16" i="70"/>
  <c r="AG16" i="70"/>
  <c r="AH16" i="70"/>
  <c r="AD16" i="70"/>
  <c r="Z16" i="70"/>
  <c r="AA16" i="70"/>
  <c r="AB16" i="70"/>
  <c r="Y16" i="70"/>
  <c r="X11" i="70"/>
  <c r="AH11" i="70"/>
  <c r="AG11" i="70"/>
  <c r="AF11" i="70"/>
  <c r="AE11" i="70"/>
  <c r="AD11" i="70"/>
  <c r="AB11" i="70"/>
  <c r="AA11" i="70"/>
  <c r="Z11" i="70"/>
  <c r="Y11" i="70"/>
  <c r="P16" i="70" l="1"/>
  <c r="P11" i="70"/>
  <c r="P18" i="70"/>
  <c r="H26" i="70"/>
  <c r="E32" i="70"/>
  <c r="H13" i="32"/>
  <c r="H7" i="32"/>
  <c r="H6" i="32"/>
  <c r="H16" i="32" l="1"/>
  <c r="AR29" i="70"/>
  <c r="AR28" i="70"/>
  <c r="H21" i="70" s="1"/>
  <c r="AR27" i="70"/>
  <c r="AP29" i="70"/>
  <c r="AS29" i="70" s="1"/>
  <c r="AP26" i="70"/>
  <c r="AP27" i="70"/>
  <c r="AS27" i="70" s="1"/>
  <c r="AP28" i="70"/>
  <c r="AS28" i="70" s="1"/>
  <c r="AP25" i="70"/>
  <c r="Q27" i="67"/>
  <c r="Q32" i="67"/>
  <c r="I28" i="70"/>
  <c r="I27" i="70"/>
  <c r="B25" i="70"/>
  <c r="P25" i="70"/>
  <c r="Q25" i="70" s="1"/>
  <c r="B26" i="70"/>
  <c r="P24" i="70"/>
  <c r="Q24" i="70" s="1"/>
  <c r="B23" i="70"/>
  <c r="Q23" i="70"/>
  <c r="O23" i="70"/>
  <c r="B24" i="70"/>
  <c r="Q22" i="70"/>
  <c r="Q21" i="70"/>
  <c r="AF29" i="70"/>
  <c r="AI29" i="70" s="1"/>
  <c r="Q20" i="70"/>
  <c r="AF28" i="70"/>
  <c r="AI28" i="70" s="1"/>
  <c r="Q19" i="70"/>
  <c r="O19" i="70"/>
  <c r="AF27" i="70"/>
  <c r="AI27" i="70" s="1"/>
  <c r="I18" i="70"/>
  <c r="H18" i="70"/>
  <c r="AF26" i="70"/>
  <c r="F20" i="70" s="1"/>
  <c r="I17" i="70"/>
  <c r="H17" i="70"/>
  <c r="AF25" i="70"/>
  <c r="AI25" i="70" s="1"/>
  <c r="O16" i="70"/>
  <c r="I16" i="70"/>
  <c r="H16" i="70"/>
  <c r="O15" i="70"/>
  <c r="I15" i="70"/>
  <c r="H15" i="70"/>
  <c r="O14" i="70"/>
  <c r="I14" i="70"/>
  <c r="H14" i="70"/>
  <c r="O13" i="70"/>
  <c r="I13" i="70"/>
  <c r="H13" i="70"/>
  <c r="O12" i="70"/>
  <c r="I12" i="70"/>
  <c r="H12" i="70"/>
  <c r="Q11" i="70"/>
  <c r="O11" i="70"/>
  <c r="I11" i="70"/>
  <c r="H11" i="70"/>
  <c r="O10" i="70"/>
  <c r="I10" i="70"/>
  <c r="H10" i="70"/>
  <c r="G22" i="67"/>
  <c r="H28" i="70" l="1"/>
  <c r="H27" i="70"/>
  <c r="P26" i="70"/>
  <c r="Q26" i="70" s="1"/>
  <c r="O32" i="70"/>
  <c r="H23" i="70"/>
  <c r="D32" i="70"/>
  <c r="H24" i="70"/>
  <c r="AI26" i="70"/>
  <c r="F26" i="70"/>
  <c r="I26" i="70" s="1"/>
  <c r="F24" i="70"/>
  <c r="F22" i="70"/>
  <c r="I22" i="70" s="1"/>
  <c r="AS26" i="70"/>
  <c r="F21" i="70"/>
  <c r="F25" i="70"/>
  <c r="I25" i="70" s="1"/>
  <c r="F19" i="70"/>
  <c r="F23" i="70"/>
  <c r="P32" i="70"/>
  <c r="H25" i="70"/>
  <c r="J14" i="70"/>
  <c r="AS25" i="70"/>
  <c r="J15" i="70"/>
  <c r="J16" i="70"/>
  <c r="J10" i="70"/>
  <c r="J12" i="70"/>
  <c r="J28" i="70"/>
  <c r="J27" i="70"/>
  <c r="D23" i="67"/>
  <c r="E23" i="67"/>
  <c r="I29" i="67"/>
  <c r="P28" i="70" l="1"/>
  <c r="Q28" i="70" s="1"/>
  <c r="N31" i="70"/>
  <c r="N32" i="70" s="1"/>
  <c r="C31" i="70"/>
  <c r="I19" i="70"/>
  <c r="S16" i="70" s="1"/>
  <c r="I23" i="70"/>
  <c r="S20" i="70" s="1"/>
  <c r="I24" i="70"/>
  <c r="Q14" i="70"/>
  <c r="Q18" i="70"/>
  <c r="Q16" i="70"/>
  <c r="I20" i="70"/>
  <c r="Q15" i="70"/>
  <c r="Q13" i="70"/>
  <c r="Q12" i="70"/>
  <c r="Q17" i="70"/>
  <c r="Q10" i="70"/>
  <c r="I21" i="70"/>
  <c r="S21" i="70"/>
  <c r="P29" i="70"/>
  <c r="Q29" i="70" s="1"/>
  <c r="S27" i="70"/>
  <c r="H10" i="67"/>
  <c r="C32" i="70" l="1"/>
  <c r="J19" i="70"/>
  <c r="P27" i="70"/>
  <c r="Q27" i="70" s="1"/>
  <c r="J23" i="70"/>
  <c r="S17" i="70"/>
  <c r="S28" i="70" s="1"/>
  <c r="B26" i="67"/>
  <c r="B24" i="67"/>
  <c r="B25" i="67"/>
  <c r="B23" i="67"/>
  <c r="I13" i="67"/>
  <c r="I11" i="67"/>
  <c r="I18" i="67"/>
  <c r="H18" i="67"/>
  <c r="H17" i="67"/>
  <c r="H13" i="67"/>
  <c r="H12" i="67"/>
  <c r="H11" i="67"/>
  <c r="H4" i="67"/>
  <c r="AI23" i="67"/>
  <c r="AG23" i="67"/>
  <c r="AG24" i="67"/>
  <c r="AG25" i="67"/>
  <c r="AG26" i="67"/>
  <c r="AG27" i="67"/>
  <c r="G21" i="67" l="1"/>
  <c r="AS34" i="67"/>
  <c r="AQ34" i="67"/>
  <c r="AT34" i="67" s="1"/>
  <c r="AS33" i="67"/>
  <c r="AQ33" i="67"/>
  <c r="AT33" i="67" s="1"/>
  <c r="AS32" i="67"/>
  <c r="AQ32" i="67"/>
  <c r="AT32" i="67" s="1"/>
  <c r="AS31" i="67"/>
  <c r="AQ31" i="67"/>
  <c r="AT31" i="67" s="1"/>
  <c r="AS30" i="67"/>
  <c r="AQ30" i="67"/>
  <c r="AT30" i="67" s="1"/>
  <c r="AI31" i="67"/>
  <c r="AI32" i="67"/>
  <c r="AI33" i="67"/>
  <c r="AI34" i="67"/>
  <c r="AI30" i="67"/>
  <c r="AG34" i="67"/>
  <c r="AJ34" i="67" s="1"/>
  <c r="AG33" i="67"/>
  <c r="AJ33" i="67" s="1"/>
  <c r="AG32" i="67"/>
  <c r="AG31" i="67"/>
  <c r="AJ31" i="67" s="1"/>
  <c r="AG30" i="67"/>
  <c r="AS27" i="67"/>
  <c r="AQ27" i="67"/>
  <c r="AT27" i="67" s="1"/>
  <c r="AS26" i="67"/>
  <c r="AQ26" i="67"/>
  <c r="AT26" i="67" s="1"/>
  <c r="AS25" i="67"/>
  <c r="AQ25" i="67"/>
  <c r="AT25" i="67" s="1"/>
  <c r="AS24" i="67"/>
  <c r="AQ24" i="67"/>
  <c r="AT24" i="67" s="1"/>
  <c r="AS23" i="67"/>
  <c r="AQ23" i="67"/>
  <c r="AT23" i="67" s="1"/>
  <c r="AS20" i="67"/>
  <c r="AQ20" i="67"/>
  <c r="AT20" i="67" s="1"/>
  <c r="AS19" i="67"/>
  <c r="AQ19" i="67"/>
  <c r="AS18" i="67"/>
  <c r="AQ18" i="67"/>
  <c r="AT18" i="67" s="1"/>
  <c r="AS17" i="67"/>
  <c r="AQ17" i="67"/>
  <c r="AT17" i="67" s="1"/>
  <c r="AS16" i="67"/>
  <c r="AQ16" i="67"/>
  <c r="AT16" i="67" s="1"/>
  <c r="AI27" i="67"/>
  <c r="AI26" i="67"/>
  <c r="AI25" i="67"/>
  <c r="H21" i="67" s="1"/>
  <c r="AI24" i="67"/>
  <c r="AJ27" i="67"/>
  <c r="AJ26" i="67"/>
  <c r="AJ25" i="67"/>
  <c r="AJ24" i="67"/>
  <c r="AJ23" i="67"/>
  <c r="AI20" i="67"/>
  <c r="AI19" i="67"/>
  <c r="AI18" i="67"/>
  <c r="AI17" i="67"/>
  <c r="AI16" i="67"/>
  <c r="AG20" i="67"/>
  <c r="AJ20" i="67" s="1"/>
  <c r="AG17" i="67"/>
  <c r="AJ17" i="67" s="1"/>
  <c r="AG18" i="67"/>
  <c r="F21" i="67" s="1"/>
  <c r="AG19" i="67"/>
  <c r="AJ19" i="67" s="1"/>
  <c r="AG16" i="67"/>
  <c r="AJ16" i="67" s="1"/>
  <c r="I27" i="67"/>
  <c r="Q19" i="67"/>
  <c r="O19" i="67"/>
  <c r="I28" i="67"/>
  <c r="O16" i="67"/>
  <c r="O15" i="67"/>
  <c r="I17" i="67"/>
  <c r="O14" i="67"/>
  <c r="I16" i="67"/>
  <c r="H16" i="67"/>
  <c r="O13" i="67"/>
  <c r="I15" i="67"/>
  <c r="H15" i="67"/>
  <c r="O12" i="67"/>
  <c r="I14" i="67"/>
  <c r="H14" i="67"/>
  <c r="P11" i="67"/>
  <c r="Q11" i="67" s="1"/>
  <c r="O11" i="67"/>
  <c r="I12" i="67"/>
  <c r="J12" i="67" s="1"/>
  <c r="O10" i="67"/>
  <c r="I10" i="67"/>
  <c r="J10" i="67" s="1"/>
  <c r="F22" i="67" l="1"/>
  <c r="F26" i="67" s="1"/>
  <c r="I26" i="67" s="1"/>
  <c r="P27" i="67"/>
  <c r="H24" i="67"/>
  <c r="O32" i="67"/>
  <c r="H29" i="67"/>
  <c r="H27" i="67"/>
  <c r="H28" i="67"/>
  <c r="J28" i="67" s="1"/>
  <c r="O27" i="67"/>
  <c r="F25" i="67"/>
  <c r="I25" i="67" s="1"/>
  <c r="I21" i="67"/>
  <c r="J29" i="67"/>
  <c r="H23" i="67"/>
  <c r="F19" i="67"/>
  <c r="H25" i="67"/>
  <c r="H22" i="67"/>
  <c r="I22" i="67"/>
  <c r="J16" i="67"/>
  <c r="AJ18" i="67"/>
  <c r="AJ32" i="67"/>
  <c r="AT19" i="67"/>
  <c r="F20" i="67"/>
  <c r="F24" i="67" s="1"/>
  <c r="I24" i="67" s="1"/>
  <c r="J27" i="67"/>
  <c r="AJ30" i="67"/>
  <c r="J15" i="67"/>
  <c r="J14" i="67"/>
  <c r="Q28" i="66"/>
  <c r="P21" i="66"/>
  <c r="Q21" i="66" s="1"/>
  <c r="P20" i="66"/>
  <c r="Q20" i="66" s="1"/>
  <c r="Q19" i="66"/>
  <c r="O19" i="66"/>
  <c r="Q18" i="66"/>
  <c r="Q17" i="66"/>
  <c r="Q16" i="66"/>
  <c r="I16" i="66"/>
  <c r="B16" i="66"/>
  <c r="Q15" i="66"/>
  <c r="O15" i="66"/>
  <c r="I15" i="66"/>
  <c r="E15" i="66"/>
  <c r="D15" i="66"/>
  <c r="B15" i="66"/>
  <c r="Q14" i="66"/>
  <c r="I14" i="66"/>
  <c r="Q13" i="66"/>
  <c r="I13" i="66"/>
  <c r="H13" i="66"/>
  <c r="P28" i="66" s="1"/>
  <c r="S12" i="66"/>
  <c r="Q12" i="66"/>
  <c r="O12" i="66"/>
  <c r="I12" i="66"/>
  <c r="Q11" i="66"/>
  <c r="O11" i="66"/>
  <c r="I11" i="66"/>
  <c r="H11" i="66"/>
  <c r="Q10" i="66"/>
  <c r="O10" i="66"/>
  <c r="I10" i="66"/>
  <c r="H10" i="66"/>
  <c r="Q9" i="66"/>
  <c r="O9" i="66"/>
  <c r="I9" i="66"/>
  <c r="H9" i="66"/>
  <c r="Q8" i="66"/>
  <c r="O8" i="66"/>
  <c r="I8" i="66"/>
  <c r="H8" i="66"/>
  <c r="P7" i="66"/>
  <c r="Q7" i="66" s="1"/>
  <c r="O7" i="66"/>
  <c r="I7" i="66"/>
  <c r="H7" i="66"/>
  <c r="Q6" i="66"/>
  <c r="O6" i="66"/>
  <c r="I6" i="66"/>
  <c r="H6" i="66"/>
  <c r="J6" i="66" s="1"/>
  <c r="Q25" i="65"/>
  <c r="O25" i="65"/>
  <c r="I16" i="65"/>
  <c r="B16" i="65"/>
  <c r="I15" i="65"/>
  <c r="E15" i="65"/>
  <c r="D15" i="65"/>
  <c r="B15" i="65"/>
  <c r="Q14" i="65"/>
  <c r="I14" i="65"/>
  <c r="Q13" i="65"/>
  <c r="I13" i="65"/>
  <c r="H13" i="65"/>
  <c r="P25" i="65" s="1"/>
  <c r="Q12" i="65"/>
  <c r="O12" i="65"/>
  <c r="I12" i="65"/>
  <c r="S12" i="65" s="1"/>
  <c r="J14" i="65"/>
  <c r="Q11" i="65"/>
  <c r="O11" i="65"/>
  <c r="I11" i="65"/>
  <c r="H11" i="65"/>
  <c r="Q10" i="65"/>
  <c r="O10" i="65"/>
  <c r="I10" i="65"/>
  <c r="H10" i="65"/>
  <c r="Q9" i="65"/>
  <c r="O9" i="65"/>
  <c r="I9" i="65"/>
  <c r="H9" i="65"/>
  <c r="J9" i="65" s="1"/>
  <c r="Q8" i="65"/>
  <c r="O8" i="65"/>
  <c r="I8" i="65"/>
  <c r="H8" i="65"/>
  <c r="J8" i="65" s="1"/>
  <c r="P7" i="65"/>
  <c r="Q7" i="65" s="1"/>
  <c r="O7" i="65"/>
  <c r="I7" i="65"/>
  <c r="H7" i="65"/>
  <c r="Q6" i="65"/>
  <c r="O6" i="65"/>
  <c r="I6" i="65"/>
  <c r="H6" i="65"/>
  <c r="P7" i="64"/>
  <c r="Q7" i="64" s="1"/>
  <c r="P7" i="59"/>
  <c r="Q7" i="59" s="1"/>
  <c r="H13" i="64"/>
  <c r="Q28" i="64"/>
  <c r="O28" i="64"/>
  <c r="P21" i="64"/>
  <c r="Q21" i="64" s="1"/>
  <c r="P20" i="64"/>
  <c r="Q20" i="64" s="1"/>
  <c r="Q19" i="64"/>
  <c r="O19" i="64"/>
  <c r="Q18" i="64"/>
  <c r="Q17" i="64"/>
  <c r="Q16" i="64"/>
  <c r="I16" i="64"/>
  <c r="B16" i="64"/>
  <c r="Q15" i="64"/>
  <c r="O15" i="64"/>
  <c r="I15" i="64"/>
  <c r="E15" i="64"/>
  <c r="D15" i="64"/>
  <c r="B15" i="64"/>
  <c r="Q14" i="64"/>
  <c r="I14" i="64"/>
  <c r="Q13" i="64"/>
  <c r="I13" i="64"/>
  <c r="Q12" i="64"/>
  <c r="O12" i="64"/>
  <c r="I12" i="64"/>
  <c r="Q11" i="64"/>
  <c r="O11" i="64"/>
  <c r="I11" i="64"/>
  <c r="H11" i="64"/>
  <c r="Q10" i="64"/>
  <c r="O10" i="64"/>
  <c r="I10" i="64"/>
  <c r="H10" i="64"/>
  <c r="Q9" i="64"/>
  <c r="O9" i="64"/>
  <c r="I9" i="64"/>
  <c r="H9" i="64"/>
  <c r="J9" i="64" s="1"/>
  <c r="Q8" i="64"/>
  <c r="O8" i="64"/>
  <c r="I8" i="64"/>
  <c r="H8" i="64"/>
  <c r="O7" i="64"/>
  <c r="I7" i="64"/>
  <c r="H7" i="64"/>
  <c r="Q6" i="64"/>
  <c r="O6" i="64"/>
  <c r="I6" i="64"/>
  <c r="H6" i="64"/>
  <c r="J6" i="64" s="1"/>
  <c r="P7" i="63"/>
  <c r="H13" i="63"/>
  <c r="P25" i="63" s="1"/>
  <c r="Q25" i="63"/>
  <c r="O25" i="63"/>
  <c r="I16" i="63"/>
  <c r="B16" i="63"/>
  <c r="I15" i="63"/>
  <c r="E15" i="63"/>
  <c r="D15" i="63"/>
  <c r="B15" i="63"/>
  <c r="Q14" i="63"/>
  <c r="I14" i="63"/>
  <c r="J14" i="63" s="1"/>
  <c r="Q13" i="63"/>
  <c r="I13" i="63"/>
  <c r="Q12" i="63"/>
  <c r="O12" i="63"/>
  <c r="I12" i="63"/>
  <c r="Q11" i="63"/>
  <c r="O11" i="63"/>
  <c r="I11" i="63"/>
  <c r="H11" i="63"/>
  <c r="Q10" i="63"/>
  <c r="O10" i="63"/>
  <c r="I10" i="63"/>
  <c r="H10" i="63"/>
  <c r="Q9" i="63"/>
  <c r="O9" i="63"/>
  <c r="I9" i="63"/>
  <c r="H9" i="63"/>
  <c r="Q8" i="63"/>
  <c r="O8" i="63"/>
  <c r="I8" i="63"/>
  <c r="H8" i="63"/>
  <c r="J8" i="63" s="1"/>
  <c r="Q7" i="63"/>
  <c r="O7" i="63"/>
  <c r="I7" i="63"/>
  <c r="H7" i="63"/>
  <c r="Q6" i="63"/>
  <c r="O6" i="63"/>
  <c r="I6" i="63"/>
  <c r="H6" i="63"/>
  <c r="Q28" i="62"/>
  <c r="Q20" i="62"/>
  <c r="P20" i="62"/>
  <c r="P19" i="62"/>
  <c r="Q19" i="62" s="1"/>
  <c r="Q18" i="62"/>
  <c r="Q17" i="62"/>
  <c r="I17" i="62"/>
  <c r="B17" i="62"/>
  <c r="Q16" i="62"/>
  <c r="I16" i="62"/>
  <c r="E16" i="62"/>
  <c r="D16" i="62"/>
  <c r="B16" i="62"/>
  <c r="Q15" i="62"/>
  <c r="O15" i="62"/>
  <c r="I15" i="62"/>
  <c r="Q14" i="62"/>
  <c r="I14" i="62"/>
  <c r="Q13" i="62"/>
  <c r="I13" i="62"/>
  <c r="H13" i="62"/>
  <c r="P28" i="62" s="1"/>
  <c r="Q12" i="62"/>
  <c r="O12" i="62"/>
  <c r="I12" i="62"/>
  <c r="Q11" i="62"/>
  <c r="O11" i="62"/>
  <c r="I11" i="62"/>
  <c r="H11" i="62"/>
  <c r="Q10" i="62"/>
  <c r="O10" i="62"/>
  <c r="I10" i="62"/>
  <c r="H10" i="62"/>
  <c r="Q9" i="62"/>
  <c r="O9" i="62"/>
  <c r="I9" i="62"/>
  <c r="J9" i="62" s="1"/>
  <c r="H9" i="62"/>
  <c r="Q8" i="62"/>
  <c r="O8" i="62"/>
  <c r="I8" i="62"/>
  <c r="H8" i="62"/>
  <c r="P7" i="62"/>
  <c r="Q7" i="62" s="1"/>
  <c r="O7" i="62"/>
  <c r="I7" i="62"/>
  <c r="H7" i="62"/>
  <c r="J7" i="62" s="1"/>
  <c r="Q6" i="62"/>
  <c r="O6" i="62"/>
  <c r="I6" i="62"/>
  <c r="H6" i="62"/>
  <c r="J6" i="62" s="1"/>
  <c r="P7" i="61"/>
  <c r="Q7" i="61" s="1"/>
  <c r="H13" i="61"/>
  <c r="P28" i="61" s="1"/>
  <c r="Q28" i="61"/>
  <c r="P20" i="61"/>
  <c r="Q20" i="61" s="1"/>
  <c r="P19" i="61"/>
  <c r="Q19" i="61" s="1"/>
  <c r="Q18" i="61"/>
  <c r="Q17" i="61"/>
  <c r="I17" i="61"/>
  <c r="B17" i="61"/>
  <c r="Q16" i="61"/>
  <c r="I16" i="61"/>
  <c r="E16" i="61"/>
  <c r="D16" i="61"/>
  <c r="B16" i="61"/>
  <c r="Q15" i="61"/>
  <c r="O15" i="61"/>
  <c r="I15" i="61"/>
  <c r="Q14" i="61"/>
  <c r="I14" i="61"/>
  <c r="Q13" i="61"/>
  <c r="I13" i="61"/>
  <c r="Q12" i="61"/>
  <c r="O12" i="61"/>
  <c r="I12" i="61"/>
  <c r="O28" i="61"/>
  <c r="Q11" i="61"/>
  <c r="O11" i="61"/>
  <c r="I11" i="61"/>
  <c r="H11" i="61"/>
  <c r="Q10" i="61"/>
  <c r="O10" i="61"/>
  <c r="I10" i="61"/>
  <c r="H10" i="61"/>
  <c r="Q9" i="61"/>
  <c r="O9" i="61"/>
  <c r="I9" i="61"/>
  <c r="H9" i="61"/>
  <c r="J9" i="61" s="1"/>
  <c r="Q8" i="61"/>
  <c r="O8" i="61"/>
  <c r="I8" i="61"/>
  <c r="H8" i="61"/>
  <c r="O7" i="61"/>
  <c r="I7" i="61"/>
  <c r="H7" i="61"/>
  <c r="Q6" i="61"/>
  <c r="O6" i="61"/>
  <c r="J6" i="61"/>
  <c r="I6" i="61"/>
  <c r="H6" i="61"/>
  <c r="P7" i="60"/>
  <c r="H13" i="60"/>
  <c r="P28" i="60" s="1"/>
  <c r="Q28" i="60"/>
  <c r="P20" i="60"/>
  <c r="Q20" i="60" s="1"/>
  <c r="P19" i="60"/>
  <c r="Q19" i="60" s="1"/>
  <c r="Q18" i="60"/>
  <c r="Q17" i="60"/>
  <c r="I17" i="60"/>
  <c r="B17" i="60"/>
  <c r="Q16" i="60"/>
  <c r="I16" i="60"/>
  <c r="E16" i="60"/>
  <c r="D16" i="60"/>
  <c r="B16" i="60"/>
  <c r="Q15" i="60"/>
  <c r="O15" i="60"/>
  <c r="I15" i="60"/>
  <c r="Q14" i="60"/>
  <c r="I14" i="60"/>
  <c r="Q13" i="60"/>
  <c r="I13" i="60"/>
  <c r="Q12" i="60"/>
  <c r="O12" i="60"/>
  <c r="I12" i="60"/>
  <c r="Q11" i="60"/>
  <c r="O11" i="60"/>
  <c r="I11" i="60"/>
  <c r="H11" i="60"/>
  <c r="Q10" i="60"/>
  <c r="O10" i="60"/>
  <c r="I10" i="60"/>
  <c r="H10" i="60"/>
  <c r="Q9" i="60"/>
  <c r="O9" i="60"/>
  <c r="I9" i="60"/>
  <c r="H9" i="60"/>
  <c r="Q8" i="60"/>
  <c r="O8" i="60"/>
  <c r="I8" i="60"/>
  <c r="H8" i="60"/>
  <c r="Q7" i="60"/>
  <c r="O7" i="60"/>
  <c r="I7" i="60"/>
  <c r="H7" i="60"/>
  <c r="Q6" i="60"/>
  <c r="O6" i="60"/>
  <c r="I6" i="60"/>
  <c r="J6" i="60" s="1"/>
  <c r="H6" i="60"/>
  <c r="H13" i="59"/>
  <c r="P28" i="59" s="1"/>
  <c r="Q28" i="59"/>
  <c r="P22" i="59"/>
  <c r="Q22" i="59" s="1"/>
  <c r="P21" i="59"/>
  <c r="Q21" i="59" s="1"/>
  <c r="P20" i="59"/>
  <c r="Q20" i="59" s="1"/>
  <c r="Q19" i="59"/>
  <c r="O19" i="59"/>
  <c r="Q18" i="59"/>
  <c r="Q17" i="59"/>
  <c r="Q16" i="59"/>
  <c r="I16" i="59"/>
  <c r="B16" i="59"/>
  <c r="Q15" i="59"/>
  <c r="O15" i="59"/>
  <c r="I15" i="59"/>
  <c r="E15" i="59"/>
  <c r="D15" i="59"/>
  <c r="B15" i="59"/>
  <c r="Q14" i="59"/>
  <c r="I14" i="59"/>
  <c r="Q13" i="59"/>
  <c r="I13" i="59"/>
  <c r="Q12" i="59"/>
  <c r="O12" i="59"/>
  <c r="I12" i="59"/>
  <c r="S12" i="59" s="1"/>
  <c r="Q11" i="59"/>
  <c r="O11" i="59"/>
  <c r="I11" i="59"/>
  <c r="H11" i="59"/>
  <c r="Q10" i="59"/>
  <c r="O10" i="59"/>
  <c r="I10" i="59"/>
  <c r="H10" i="59"/>
  <c r="Q9" i="59"/>
  <c r="O9" i="59"/>
  <c r="I9" i="59"/>
  <c r="H9" i="59"/>
  <c r="Q8" i="59"/>
  <c r="O8" i="59"/>
  <c r="I8" i="59"/>
  <c r="H8" i="59"/>
  <c r="O7" i="59"/>
  <c r="I7" i="59"/>
  <c r="H7" i="59"/>
  <c r="Q6" i="59"/>
  <c r="O6" i="59"/>
  <c r="I6" i="59"/>
  <c r="H6" i="59"/>
  <c r="P7" i="58"/>
  <c r="Q7" i="58" s="1"/>
  <c r="H13" i="58"/>
  <c r="H16" i="58" s="1"/>
  <c r="Q25" i="58"/>
  <c r="I16" i="58"/>
  <c r="B16" i="58"/>
  <c r="I15" i="58"/>
  <c r="H15" i="58"/>
  <c r="E15" i="58"/>
  <c r="D15" i="58"/>
  <c r="B15" i="58"/>
  <c r="Q14" i="58"/>
  <c r="I14" i="58"/>
  <c r="J14" i="58" s="1"/>
  <c r="Q13" i="58"/>
  <c r="I13" i="58"/>
  <c r="J12" i="58" s="1"/>
  <c r="Q12" i="58"/>
  <c r="O12" i="58"/>
  <c r="I12" i="58"/>
  <c r="Q11" i="58"/>
  <c r="O11" i="58"/>
  <c r="I11" i="58"/>
  <c r="H11" i="58"/>
  <c r="Q10" i="58"/>
  <c r="O10" i="58"/>
  <c r="I10" i="58"/>
  <c r="H10" i="58"/>
  <c r="J10" i="58" s="1"/>
  <c r="Q9" i="58"/>
  <c r="O9" i="58"/>
  <c r="I9" i="58"/>
  <c r="H9" i="58"/>
  <c r="Q8" i="58"/>
  <c r="O8" i="58"/>
  <c r="I8" i="58"/>
  <c r="H8" i="58"/>
  <c r="O7" i="58"/>
  <c r="I7" i="58"/>
  <c r="H7" i="58"/>
  <c r="J7" i="58" s="1"/>
  <c r="Q6" i="58"/>
  <c r="O6" i="58"/>
  <c r="I6" i="58"/>
  <c r="H6" i="58"/>
  <c r="J6" i="58" s="1"/>
  <c r="Q28" i="57"/>
  <c r="P20" i="57"/>
  <c r="Q20" i="57" s="1"/>
  <c r="P19" i="57"/>
  <c r="Q19" i="57" s="1"/>
  <c r="Q18" i="57"/>
  <c r="Q17" i="57"/>
  <c r="I17" i="57"/>
  <c r="B17" i="57"/>
  <c r="Q16" i="57"/>
  <c r="I16" i="57"/>
  <c r="E16" i="57"/>
  <c r="D16" i="57"/>
  <c r="B16" i="57"/>
  <c r="Q15" i="57"/>
  <c r="O15" i="57"/>
  <c r="I15" i="57"/>
  <c r="Q14" i="57"/>
  <c r="I14" i="57"/>
  <c r="Q13" i="57"/>
  <c r="I13" i="57"/>
  <c r="H13" i="57"/>
  <c r="H17" i="57" s="1"/>
  <c r="S17" i="57" s="1"/>
  <c r="Q12" i="57"/>
  <c r="O12" i="57"/>
  <c r="I12" i="57"/>
  <c r="H16" i="57"/>
  <c r="Q11" i="57"/>
  <c r="O11" i="57"/>
  <c r="I11" i="57"/>
  <c r="H11" i="57"/>
  <c r="Q10" i="57"/>
  <c r="O10" i="57"/>
  <c r="I10" i="57"/>
  <c r="H10" i="57"/>
  <c r="Q9" i="57"/>
  <c r="O9" i="57"/>
  <c r="I9" i="57"/>
  <c r="H9" i="57"/>
  <c r="J9" i="57" s="1"/>
  <c r="Q8" i="57"/>
  <c r="O8" i="57"/>
  <c r="I8" i="57"/>
  <c r="H8" i="57"/>
  <c r="Q7" i="57"/>
  <c r="O7" i="57"/>
  <c r="I7" i="57"/>
  <c r="H7" i="57"/>
  <c r="Q6" i="57"/>
  <c r="O6" i="57"/>
  <c r="I6" i="57"/>
  <c r="H6" i="57"/>
  <c r="J6" i="57" s="1"/>
  <c r="P7" i="56"/>
  <c r="Q7" i="56" s="1"/>
  <c r="H13" i="56"/>
  <c r="P28" i="56" s="1"/>
  <c r="Q28" i="56"/>
  <c r="P20" i="56"/>
  <c r="Q20" i="56" s="1"/>
  <c r="Q19" i="56"/>
  <c r="P19" i="56"/>
  <c r="Q18" i="56"/>
  <c r="Q17" i="56"/>
  <c r="I17" i="56"/>
  <c r="B17" i="56"/>
  <c r="Q16" i="56"/>
  <c r="I16" i="56"/>
  <c r="E16" i="56"/>
  <c r="D16" i="56"/>
  <c r="B16" i="56"/>
  <c r="Q15" i="56"/>
  <c r="O15" i="56"/>
  <c r="I15" i="56"/>
  <c r="Q14" i="56"/>
  <c r="I14" i="56"/>
  <c r="Q13" i="56"/>
  <c r="I13" i="56"/>
  <c r="Q12" i="56"/>
  <c r="O12" i="56"/>
  <c r="I12" i="56"/>
  <c r="Q11" i="56"/>
  <c r="O11" i="56"/>
  <c r="I11" i="56"/>
  <c r="H11" i="56"/>
  <c r="Q10" i="56"/>
  <c r="O10" i="56"/>
  <c r="I10" i="56"/>
  <c r="H10" i="56"/>
  <c r="Q9" i="56"/>
  <c r="O9" i="56"/>
  <c r="I9" i="56"/>
  <c r="H9" i="56"/>
  <c r="Q8" i="56"/>
  <c r="O8" i="56"/>
  <c r="I8" i="56"/>
  <c r="H8" i="56"/>
  <c r="J8" i="56" s="1"/>
  <c r="O7" i="56"/>
  <c r="I7" i="56"/>
  <c r="H7" i="56"/>
  <c r="J7" i="56" s="1"/>
  <c r="Q6" i="56"/>
  <c r="O6" i="56"/>
  <c r="I6" i="56"/>
  <c r="H6" i="56"/>
  <c r="J6" i="56" s="1"/>
  <c r="Q7" i="55"/>
  <c r="H13" i="55"/>
  <c r="P28" i="55" s="1"/>
  <c r="Q28" i="55"/>
  <c r="P21" i="55"/>
  <c r="Q21" i="55" s="1"/>
  <c r="P20" i="55"/>
  <c r="Q20" i="55" s="1"/>
  <c r="Q19" i="55"/>
  <c r="O19" i="55"/>
  <c r="Q18" i="55"/>
  <c r="Q17" i="55"/>
  <c r="Q16" i="55"/>
  <c r="I16" i="55"/>
  <c r="B16" i="55"/>
  <c r="Q15" i="55"/>
  <c r="O15" i="55"/>
  <c r="I15" i="55"/>
  <c r="E15" i="55"/>
  <c r="D15" i="55"/>
  <c r="B15" i="55"/>
  <c r="Q14" i="55"/>
  <c r="I14" i="55"/>
  <c r="Q13" i="55"/>
  <c r="I13" i="55"/>
  <c r="Q12" i="55"/>
  <c r="O12" i="55"/>
  <c r="I12" i="55"/>
  <c r="Q11" i="55"/>
  <c r="O11" i="55"/>
  <c r="I11" i="55"/>
  <c r="H11" i="55"/>
  <c r="Q10" i="55"/>
  <c r="O10" i="55"/>
  <c r="I10" i="55"/>
  <c r="H10" i="55"/>
  <c r="Q9" i="55"/>
  <c r="O9" i="55"/>
  <c r="I9" i="55"/>
  <c r="H9" i="55"/>
  <c r="Q8" i="55"/>
  <c r="O8" i="55"/>
  <c r="I8" i="55"/>
  <c r="H8" i="55"/>
  <c r="O7" i="55"/>
  <c r="I7" i="55"/>
  <c r="H7" i="55"/>
  <c r="J7" i="55" s="1"/>
  <c r="U7" i="55" s="1"/>
  <c r="Q6" i="55"/>
  <c r="O6" i="55"/>
  <c r="I6" i="55"/>
  <c r="H6" i="55"/>
  <c r="P7" i="54"/>
  <c r="Q7" i="54" s="1"/>
  <c r="H13" i="54"/>
  <c r="H16" i="54" s="1"/>
  <c r="S17" i="54" s="1"/>
  <c r="Q25" i="54"/>
  <c r="I16" i="54"/>
  <c r="B16" i="54"/>
  <c r="I15" i="54"/>
  <c r="E15" i="54"/>
  <c r="D15" i="54"/>
  <c r="B15" i="54"/>
  <c r="Q14" i="54"/>
  <c r="I14" i="54"/>
  <c r="Q13" i="54"/>
  <c r="I13" i="54"/>
  <c r="Q12" i="54"/>
  <c r="O12" i="54"/>
  <c r="I12" i="54"/>
  <c r="Q11" i="54"/>
  <c r="O11" i="54"/>
  <c r="I11" i="54"/>
  <c r="H11" i="54"/>
  <c r="Q10" i="54"/>
  <c r="O10" i="54"/>
  <c r="I10" i="54"/>
  <c r="H10" i="54"/>
  <c r="Q9" i="54"/>
  <c r="O9" i="54"/>
  <c r="I9" i="54"/>
  <c r="H9" i="54"/>
  <c r="Q8" i="54"/>
  <c r="O8" i="54"/>
  <c r="I8" i="54"/>
  <c r="H8" i="54"/>
  <c r="O7" i="54"/>
  <c r="I7" i="54"/>
  <c r="H7" i="54"/>
  <c r="Q6" i="54"/>
  <c r="O6" i="54"/>
  <c r="I6" i="54"/>
  <c r="H6" i="54"/>
  <c r="Q25" i="53"/>
  <c r="P7" i="53"/>
  <c r="Q7" i="53" s="1"/>
  <c r="H13" i="53"/>
  <c r="H16" i="53" s="1"/>
  <c r="I16" i="53"/>
  <c r="B16" i="53"/>
  <c r="I15" i="53"/>
  <c r="E15" i="53"/>
  <c r="D15" i="53"/>
  <c r="B15" i="53"/>
  <c r="Q14" i="53"/>
  <c r="I14" i="53"/>
  <c r="Q13" i="53"/>
  <c r="I13" i="53"/>
  <c r="Q12" i="53"/>
  <c r="O12" i="53"/>
  <c r="I12" i="53"/>
  <c r="O25" i="53"/>
  <c r="Q11" i="53"/>
  <c r="O11" i="53"/>
  <c r="I11" i="53"/>
  <c r="H11" i="53"/>
  <c r="Q10" i="53"/>
  <c r="O10" i="53"/>
  <c r="I10" i="53"/>
  <c r="H10" i="53"/>
  <c r="Q9" i="53"/>
  <c r="O9" i="53"/>
  <c r="I9" i="53"/>
  <c r="H9" i="53"/>
  <c r="Q8" i="53"/>
  <c r="O8" i="53"/>
  <c r="I8" i="53"/>
  <c r="H8" i="53"/>
  <c r="O7" i="53"/>
  <c r="I7" i="53"/>
  <c r="H7" i="53"/>
  <c r="J7" i="53" s="1"/>
  <c r="Q6" i="53"/>
  <c r="O6" i="53"/>
  <c r="I6" i="53"/>
  <c r="H6" i="53"/>
  <c r="J7" i="65" l="1"/>
  <c r="J10" i="62"/>
  <c r="J8" i="61"/>
  <c r="S16" i="57"/>
  <c r="S13" i="63"/>
  <c r="J10" i="65"/>
  <c r="J6" i="54"/>
  <c r="J10" i="60"/>
  <c r="J8" i="66"/>
  <c r="J9" i="58"/>
  <c r="J9" i="59"/>
  <c r="J10" i="54"/>
  <c r="J9" i="53"/>
  <c r="J10" i="61"/>
  <c r="J7" i="64"/>
  <c r="J8" i="53"/>
  <c r="P21" i="57"/>
  <c r="Q21" i="57" s="1"/>
  <c r="S7" i="55"/>
  <c r="S8" i="55"/>
  <c r="S10" i="55"/>
  <c r="S12" i="55"/>
  <c r="S9" i="55"/>
  <c r="J6" i="55"/>
  <c r="U6" i="55" s="1"/>
  <c r="S6" i="55"/>
  <c r="S13" i="55"/>
  <c r="S11" i="55"/>
  <c r="S12" i="60"/>
  <c r="J15" i="60"/>
  <c r="J7" i="54"/>
  <c r="J9" i="54"/>
  <c r="J10" i="56"/>
  <c r="S12" i="56"/>
  <c r="J15" i="56"/>
  <c r="P21" i="56"/>
  <c r="Q21" i="56" s="1"/>
  <c r="S12" i="57"/>
  <c r="S12" i="58"/>
  <c r="P16" i="58"/>
  <c r="Q16" i="58" s="1"/>
  <c r="J9" i="63"/>
  <c r="H16" i="65"/>
  <c r="S17" i="65" s="1"/>
  <c r="J7" i="66"/>
  <c r="J9" i="66"/>
  <c r="S12" i="61"/>
  <c r="J15" i="61"/>
  <c r="J10" i="53"/>
  <c r="H15" i="53"/>
  <c r="S16" i="53" s="1"/>
  <c r="J14" i="53"/>
  <c r="J14" i="54"/>
  <c r="O25" i="54"/>
  <c r="J9" i="55"/>
  <c r="U9" i="55" s="1"/>
  <c r="J7" i="57"/>
  <c r="O25" i="58"/>
  <c r="J7" i="59"/>
  <c r="H16" i="60"/>
  <c r="S16" i="60" s="1"/>
  <c r="H16" i="61"/>
  <c r="P18" i="65"/>
  <c r="Q18" i="65" s="1"/>
  <c r="J8" i="54"/>
  <c r="J9" i="56"/>
  <c r="P21" i="60"/>
  <c r="Q21" i="60" s="1"/>
  <c r="P21" i="61"/>
  <c r="Q21" i="61" s="1"/>
  <c r="J10" i="63"/>
  <c r="J10" i="66"/>
  <c r="O28" i="66"/>
  <c r="P24" i="66" s="1"/>
  <c r="Q24" i="66" s="1"/>
  <c r="P15" i="63"/>
  <c r="Q15" i="63" s="1"/>
  <c r="S13" i="56"/>
  <c r="J8" i="58"/>
  <c r="J6" i="59"/>
  <c r="J8" i="59"/>
  <c r="J10" i="59"/>
  <c r="O28" i="59"/>
  <c r="P25" i="59" s="1"/>
  <c r="Q25" i="59" s="1"/>
  <c r="J7" i="61"/>
  <c r="J8" i="62"/>
  <c r="P15" i="65"/>
  <c r="Q15" i="65" s="1"/>
  <c r="H15" i="65"/>
  <c r="S16" i="65" s="1"/>
  <c r="O28" i="62"/>
  <c r="S23" i="62" s="1"/>
  <c r="J15" i="62"/>
  <c r="J14" i="62"/>
  <c r="S13" i="65"/>
  <c r="P15" i="53"/>
  <c r="Q15" i="53" s="1"/>
  <c r="J8" i="60"/>
  <c r="J8" i="57"/>
  <c r="J10" i="57"/>
  <c r="O28" i="57"/>
  <c r="J15" i="57"/>
  <c r="J14" i="57"/>
  <c r="J9" i="60"/>
  <c r="S12" i="62"/>
  <c r="H16" i="62"/>
  <c r="S16" i="62" s="1"/>
  <c r="J7" i="63"/>
  <c r="J8" i="64"/>
  <c r="J10" i="64"/>
  <c r="H15" i="64"/>
  <c r="S16" i="64" s="1"/>
  <c r="J14" i="64"/>
  <c r="P22" i="64"/>
  <c r="Q22" i="64" s="1"/>
  <c r="J8" i="55"/>
  <c r="U8" i="55" s="1"/>
  <c r="J10" i="55"/>
  <c r="U10" i="55" s="1"/>
  <c r="O28" i="55"/>
  <c r="S23" i="55" s="1"/>
  <c r="J14" i="55"/>
  <c r="U13" i="55" s="1"/>
  <c r="S21" i="67"/>
  <c r="H26" i="67"/>
  <c r="P32" i="67"/>
  <c r="P22" i="67" s="1"/>
  <c r="Q22" i="67" s="1"/>
  <c r="I19" i="67"/>
  <c r="P20" i="67" s="1"/>
  <c r="Q20" i="67" s="1"/>
  <c r="F23" i="67"/>
  <c r="I23" i="67" s="1"/>
  <c r="P18" i="67"/>
  <c r="Q18" i="67" s="1"/>
  <c r="P17" i="67"/>
  <c r="Q17" i="67" s="1"/>
  <c r="P12" i="67"/>
  <c r="Q12" i="67" s="1"/>
  <c r="P10" i="67"/>
  <c r="Q10" i="67" s="1"/>
  <c r="P16" i="67"/>
  <c r="Q16" i="67" s="1"/>
  <c r="P13" i="67"/>
  <c r="Q13" i="67" s="1"/>
  <c r="P14" i="67"/>
  <c r="Q14" i="67" s="1"/>
  <c r="P15" i="67"/>
  <c r="Q15" i="67" s="1"/>
  <c r="I20" i="67"/>
  <c r="S17" i="67"/>
  <c r="P22" i="66"/>
  <c r="Q22" i="66" s="1"/>
  <c r="S13" i="66"/>
  <c r="H15" i="66"/>
  <c r="H16" i="66"/>
  <c r="S17" i="66" s="1"/>
  <c r="J12" i="66"/>
  <c r="J14" i="66"/>
  <c r="P17" i="65"/>
  <c r="Q17" i="65" s="1"/>
  <c r="J12" i="65"/>
  <c r="J15" i="65"/>
  <c r="P16" i="65"/>
  <c r="Q16" i="65" s="1"/>
  <c r="S20" i="65"/>
  <c r="S21" i="65" s="1"/>
  <c r="J6" i="65"/>
  <c r="P28" i="64"/>
  <c r="P24" i="64" s="1"/>
  <c r="Q24" i="64" s="1"/>
  <c r="P23" i="64"/>
  <c r="Q23" i="64" s="1"/>
  <c r="S12" i="64"/>
  <c r="S13" i="64"/>
  <c r="H16" i="64"/>
  <c r="S17" i="64" s="1"/>
  <c r="J12" i="64"/>
  <c r="H16" i="63"/>
  <c r="P17" i="63"/>
  <c r="Q17" i="63" s="1"/>
  <c r="S17" i="63"/>
  <c r="J12" i="63"/>
  <c r="P18" i="63"/>
  <c r="Q18" i="63" s="1"/>
  <c r="P16" i="63"/>
  <c r="Q16" i="63" s="1"/>
  <c r="S20" i="63"/>
  <c r="J6" i="63"/>
  <c r="H15" i="63"/>
  <c r="S12" i="63"/>
  <c r="P21" i="62"/>
  <c r="Q21" i="62" s="1"/>
  <c r="H17" i="62"/>
  <c r="S17" i="62" s="1"/>
  <c r="S13" i="62"/>
  <c r="J12" i="62"/>
  <c r="S16" i="61"/>
  <c r="S13" i="61"/>
  <c r="J12" i="61"/>
  <c r="J14" i="61"/>
  <c r="H17" i="61"/>
  <c r="S17" i="61" s="1"/>
  <c r="H17" i="60"/>
  <c r="S13" i="60"/>
  <c r="J12" i="60"/>
  <c r="J14" i="60"/>
  <c r="J7" i="60"/>
  <c r="O28" i="60"/>
  <c r="P23" i="59"/>
  <c r="Q23" i="59" s="1"/>
  <c r="S13" i="59"/>
  <c r="H15" i="59"/>
  <c r="H16" i="59"/>
  <c r="S17" i="59" s="1"/>
  <c r="J12" i="59"/>
  <c r="J14" i="59"/>
  <c r="P15" i="58"/>
  <c r="Q15" i="58" s="1"/>
  <c r="S17" i="58"/>
  <c r="S13" i="58"/>
  <c r="P25" i="58"/>
  <c r="N24" i="58" s="1"/>
  <c r="N25" i="58" s="1"/>
  <c r="S20" i="58"/>
  <c r="J15" i="58"/>
  <c r="S16" i="58"/>
  <c r="J16" i="57"/>
  <c r="S13" i="57"/>
  <c r="J12" i="57"/>
  <c r="P28" i="57"/>
  <c r="H16" i="56"/>
  <c r="H17" i="56"/>
  <c r="J12" i="56"/>
  <c r="J14" i="56"/>
  <c r="O28" i="56"/>
  <c r="P22" i="55"/>
  <c r="Q22" i="55" s="1"/>
  <c r="H15" i="55"/>
  <c r="S16" i="55" s="1"/>
  <c r="H16" i="55"/>
  <c r="S17" i="55" s="1"/>
  <c r="J12" i="55"/>
  <c r="U12" i="55" s="1"/>
  <c r="P25" i="54"/>
  <c r="S13" i="54"/>
  <c r="H15" i="54"/>
  <c r="N24" i="54" s="1"/>
  <c r="N25" i="54" s="1"/>
  <c r="J12" i="54"/>
  <c r="P16" i="54"/>
  <c r="Q16" i="54" s="1"/>
  <c r="P15" i="54"/>
  <c r="Q15" i="54" s="1"/>
  <c r="S12" i="54"/>
  <c r="S17" i="53"/>
  <c r="P16" i="53"/>
  <c r="Q16" i="53" s="1"/>
  <c r="J12" i="53"/>
  <c r="J6" i="53"/>
  <c r="S12" i="53"/>
  <c r="P25" i="53"/>
  <c r="P18" i="53" s="1"/>
  <c r="Q18" i="53" s="1"/>
  <c r="S13" i="53"/>
  <c r="H13" i="52"/>
  <c r="P25" i="52" s="1"/>
  <c r="Q7" i="52"/>
  <c r="Q25" i="52"/>
  <c r="I16" i="52"/>
  <c r="B16" i="52"/>
  <c r="I15" i="52"/>
  <c r="E15" i="52"/>
  <c r="D15" i="52"/>
  <c r="B15" i="52"/>
  <c r="Q14" i="52"/>
  <c r="I14" i="52"/>
  <c r="Q13" i="52"/>
  <c r="I13" i="52"/>
  <c r="Q12" i="52"/>
  <c r="O12" i="52"/>
  <c r="I12" i="52"/>
  <c r="Q11" i="52"/>
  <c r="O11" i="52"/>
  <c r="I11" i="52"/>
  <c r="H11" i="52"/>
  <c r="Q10" i="52"/>
  <c r="O10" i="52"/>
  <c r="I10" i="52"/>
  <c r="H10" i="52"/>
  <c r="Q9" i="52"/>
  <c r="O9" i="52"/>
  <c r="I9" i="52"/>
  <c r="H9" i="52"/>
  <c r="Q8" i="52"/>
  <c r="O8" i="52"/>
  <c r="I8" i="52"/>
  <c r="H8" i="52"/>
  <c r="O7" i="52"/>
  <c r="I7" i="52"/>
  <c r="H7" i="52"/>
  <c r="Q6" i="52"/>
  <c r="O6" i="52"/>
  <c r="I6" i="52"/>
  <c r="H6" i="52"/>
  <c r="N27" i="66" l="1"/>
  <c r="N28" i="66" s="1"/>
  <c r="S23" i="64"/>
  <c r="P24" i="59"/>
  <c r="Q24" i="59" s="1"/>
  <c r="P24" i="62"/>
  <c r="Q24" i="62" s="1"/>
  <c r="P25" i="64"/>
  <c r="Q25" i="64" s="1"/>
  <c r="N24" i="65"/>
  <c r="N25" i="65" s="1"/>
  <c r="S23" i="66"/>
  <c r="P17" i="54"/>
  <c r="Q17" i="54" s="1"/>
  <c r="S23" i="59"/>
  <c r="P25" i="66"/>
  <c r="Q25" i="66" s="1"/>
  <c r="S23" i="57"/>
  <c r="S24" i="57" s="1"/>
  <c r="P24" i="57"/>
  <c r="Q24" i="57" s="1"/>
  <c r="P25" i="55"/>
  <c r="Q25" i="55" s="1"/>
  <c r="P24" i="55"/>
  <c r="Q24" i="55" s="1"/>
  <c r="S22" i="55"/>
  <c r="T22" i="55" s="1"/>
  <c r="P23" i="62"/>
  <c r="Q23" i="62" s="1"/>
  <c r="N24" i="63"/>
  <c r="N25" i="63" s="1"/>
  <c r="P22" i="57"/>
  <c r="Q22" i="57" s="1"/>
  <c r="J7" i="52"/>
  <c r="P23" i="57"/>
  <c r="Q23" i="57" s="1"/>
  <c r="P22" i="62"/>
  <c r="Q22" i="62" s="1"/>
  <c r="J15" i="53"/>
  <c r="N27" i="57"/>
  <c r="N28" i="57" s="1"/>
  <c r="J8" i="52"/>
  <c r="N27" i="64"/>
  <c r="N28" i="64" s="1"/>
  <c r="O25" i="52"/>
  <c r="S20" i="52" s="1"/>
  <c r="P16" i="52"/>
  <c r="Q16" i="52" s="1"/>
  <c r="S24" i="62"/>
  <c r="S21" i="58"/>
  <c r="S16" i="67"/>
  <c r="S27" i="67"/>
  <c r="N31" i="67"/>
  <c r="N32" i="67" s="1"/>
  <c r="P21" i="67"/>
  <c r="Q21" i="67" s="1"/>
  <c r="J23" i="67"/>
  <c r="J19" i="67"/>
  <c r="S20" i="67"/>
  <c r="N26" i="67"/>
  <c r="P23" i="66"/>
  <c r="Q23" i="66" s="1"/>
  <c r="S16" i="66"/>
  <c r="S24" i="66" s="1"/>
  <c r="J15" i="66"/>
  <c r="S24" i="64"/>
  <c r="J15" i="64"/>
  <c r="S16" i="63"/>
  <c r="S21" i="63" s="1"/>
  <c r="J15" i="63"/>
  <c r="N27" i="62"/>
  <c r="N28" i="62" s="1"/>
  <c r="J16" i="62"/>
  <c r="N27" i="61"/>
  <c r="N28" i="61" s="1"/>
  <c r="J16" i="61"/>
  <c r="P22" i="61"/>
  <c r="Q22" i="61" s="1"/>
  <c r="S23" i="61"/>
  <c r="S24" i="61" s="1"/>
  <c r="P23" i="61"/>
  <c r="Q23" i="61" s="1"/>
  <c r="P24" i="61"/>
  <c r="Q24" i="61" s="1"/>
  <c r="S17" i="60"/>
  <c r="N27" i="60"/>
  <c r="N28" i="60" s="1"/>
  <c r="J16" i="60"/>
  <c r="S23" i="60"/>
  <c r="P23" i="60"/>
  <c r="Q23" i="60" s="1"/>
  <c r="P24" i="60"/>
  <c r="Q24" i="60" s="1"/>
  <c r="P22" i="60"/>
  <c r="Q22" i="60" s="1"/>
  <c r="N27" i="59"/>
  <c r="N28" i="59" s="1"/>
  <c r="S16" i="59"/>
  <c r="S24" i="59" s="1"/>
  <c r="J15" i="59"/>
  <c r="P17" i="58"/>
  <c r="Q17" i="58" s="1"/>
  <c r="P18" i="58"/>
  <c r="Q18" i="58" s="1"/>
  <c r="S17" i="56"/>
  <c r="N27" i="56"/>
  <c r="N28" i="56" s="1"/>
  <c r="P22" i="56"/>
  <c r="Q22" i="56" s="1"/>
  <c r="J16" i="56"/>
  <c r="S16" i="56"/>
  <c r="S23" i="56"/>
  <c r="P23" i="56"/>
  <c r="Q23" i="56" s="1"/>
  <c r="P24" i="56"/>
  <c r="Q24" i="56" s="1"/>
  <c r="N27" i="55"/>
  <c r="N28" i="55" s="1"/>
  <c r="J15" i="55"/>
  <c r="U14" i="55" s="1"/>
  <c r="U22" i="55" s="1"/>
  <c r="P23" i="55"/>
  <c r="Q23" i="55" s="1"/>
  <c r="P18" i="54"/>
  <c r="Q18" i="54" s="1"/>
  <c r="S20" i="54"/>
  <c r="S16" i="54"/>
  <c r="J15" i="54"/>
  <c r="P17" i="53"/>
  <c r="Q17" i="53" s="1"/>
  <c r="N24" i="53"/>
  <c r="N25" i="53" s="1"/>
  <c r="S20" i="53"/>
  <c r="S21" i="53" s="1"/>
  <c r="J9" i="52"/>
  <c r="H15" i="52"/>
  <c r="S16" i="52" s="1"/>
  <c r="J10" i="52"/>
  <c r="S12" i="52"/>
  <c r="H16" i="52"/>
  <c r="S17" i="52" s="1"/>
  <c r="J6" i="52"/>
  <c r="S13" i="52"/>
  <c r="J12" i="52"/>
  <c r="P18" i="52" l="1"/>
  <c r="Q18" i="52" s="1"/>
  <c r="P17" i="52"/>
  <c r="Q17" i="52" s="1"/>
  <c r="J14" i="52"/>
  <c r="P15" i="52"/>
  <c r="Q15" i="52" s="1"/>
  <c r="S21" i="54"/>
  <c r="S24" i="60"/>
  <c r="S28" i="67"/>
  <c r="N27" i="67"/>
  <c r="S24" i="56"/>
  <c r="J15" i="52"/>
  <c r="S21" i="52"/>
  <c r="N24" i="52"/>
  <c r="N25" i="52" s="1"/>
  <c r="P21" i="49"/>
  <c r="Q21" i="49" s="1"/>
  <c r="P20" i="49"/>
  <c r="Q20" i="49" s="1"/>
  <c r="P20" i="42"/>
  <c r="Q20" i="42" s="1"/>
  <c r="P19" i="42"/>
  <c r="Q19" i="42" s="1"/>
  <c r="P20" i="38"/>
  <c r="Q20" i="38" s="1"/>
  <c r="P19" i="38"/>
  <c r="Q19" i="38" s="1"/>
  <c r="P21" i="48"/>
  <c r="Q21" i="48" s="1"/>
  <c r="P20" i="48"/>
  <c r="Q20" i="48" s="1"/>
  <c r="P20" i="41"/>
  <c r="Q20" i="41" s="1"/>
  <c r="P19" i="41"/>
  <c r="Q19" i="41" s="1"/>
  <c r="P20" i="37"/>
  <c r="Q20" i="37" s="1"/>
  <c r="P19" i="37"/>
  <c r="Q19" i="37" s="1"/>
  <c r="P21" i="47"/>
  <c r="Q21" i="47" s="1"/>
  <c r="P20" i="47"/>
  <c r="Q20" i="47" s="1"/>
  <c r="P19" i="50"/>
  <c r="Q19" i="50" s="1"/>
  <c r="P20" i="50"/>
  <c r="Q20" i="50" s="1"/>
  <c r="P19" i="40"/>
  <c r="Q19" i="40" s="1"/>
  <c r="P20" i="40"/>
  <c r="Q20" i="40" s="1"/>
  <c r="P20" i="36"/>
  <c r="Q20" i="36" s="1"/>
  <c r="P19" i="36"/>
  <c r="Q19" i="36" s="1"/>
  <c r="P21" i="46"/>
  <c r="Q21" i="46" s="1"/>
  <c r="P20" i="46"/>
  <c r="Q20" i="46" s="1"/>
  <c r="P21" i="39"/>
  <c r="Q21" i="39" s="1"/>
  <c r="P20" i="39"/>
  <c r="Q20" i="39" s="1"/>
  <c r="P19" i="35"/>
  <c r="Q19" i="35" s="1"/>
  <c r="P20" i="35"/>
  <c r="Q20" i="35" s="1"/>
  <c r="Q19" i="39"/>
  <c r="O19" i="39"/>
  <c r="P7" i="50" l="1"/>
  <c r="Q7" i="50" s="1"/>
  <c r="P7" i="40"/>
  <c r="Q28" i="50"/>
  <c r="Q18" i="50"/>
  <c r="Q17" i="50"/>
  <c r="I17" i="50"/>
  <c r="B17" i="50"/>
  <c r="Q16" i="50"/>
  <c r="I16" i="50"/>
  <c r="E16" i="50"/>
  <c r="D16" i="50"/>
  <c r="B16" i="50"/>
  <c r="Q15" i="50"/>
  <c r="O15" i="50"/>
  <c r="I15" i="50"/>
  <c r="Q14" i="50"/>
  <c r="I14" i="50"/>
  <c r="Q13" i="50"/>
  <c r="I13" i="50"/>
  <c r="H13" i="50"/>
  <c r="Q12" i="50"/>
  <c r="O12" i="50"/>
  <c r="I12" i="50"/>
  <c r="Q11" i="50"/>
  <c r="O11" i="50"/>
  <c r="I11" i="50"/>
  <c r="H11" i="50"/>
  <c r="Q10" i="50"/>
  <c r="O10" i="50"/>
  <c r="I10" i="50"/>
  <c r="H10" i="50"/>
  <c r="Q9" i="50"/>
  <c r="O9" i="50"/>
  <c r="I9" i="50"/>
  <c r="H9" i="50"/>
  <c r="Q8" i="50"/>
  <c r="O8" i="50"/>
  <c r="I8" i="50"/>
  <c r="H8" i="50"/>
  <c r="J8" i="50" s="1"/>
  <c r="O7" i="50"/>
  <c r="I7" i="50"/>
  <c r="H7" i="50"/>
  <c r="Q6" i="50"/>
  <c r="O6" i="50"/>
  <c r="I6" i="50"/>
  <c r="H6" i="50"/>
  <c r="P7" i="49"/>
  <c r="Q7" i="49" s="1"/>
  <c r="Q28" i="49"/>
  <c r="H13" i="49"/>
  <c r="P28" i="49" s="1"/>
  <c r="Q19" i="49"/>
  <c r="O19" i="49"/>
  <c r="Q18" i="49"/>
  <c r="Q17" i="49"/>
  <c r="Q16" i="49"/>
  <c r="I16" i="49"/>
  <c r="B16" i="49"/>
  <c r="Q15" i="49"/>
  <c r="O15" i="49"/>
  <c r="I15" i="49"/>
  <c r="E15" i="49"/>
  <c r="D15" i="49"/>
  <c r="B15" i="49"/>
  <c r="Q14" i="49"/>
  <c r="I14" i="49"/>
  <c r="Q13" i="49"/>
  <c r="I13" i="49"/>
  <c r="Q12" i="49"/>
  <c r="O12" i="49"/>
  <c r="I12" i="49"/>
  <c r="Q11" i="49"/>
  <c r="O11" i="49"/>
  <c r="I11" i="49"/>
  <c r="H11" i="49"/>
  <c r="Q10" i="49"/>
  <c r="O10" i="49"/>
  <c r="I10" i="49"/>
  <c r="H10" i="49"/>
  <c r="Q9" i="49"/>
  <c r="O9" i="49"/>
  <c r="I9" i="49"/>
  <c r="H9" i="49"/>
  <c r="Q8" i="49"/>
  <c r="O8" i="49"/>
  <c r="I8" i="49"/>
  <c r="H8" i="49"/>
  <c r="O7" i="49"/>
  <c r="I7" i="49"/>
  <c r="H7" i="49"/>
  <c r="Q6" i="49"/>
  <c r="O6" i="49"/>
  <c r="I6" i="49"/>
  <c r="H6" i="49"/>
  <c r="J9" i="49" l="1"/>
  <c r="J15" i="50"/>
  <c r="J7" i="50"/>
  <c r="J7" i="49"/>
  <c r="J10" i="50"/>
  <c r="P22" i="49"/>
  <c r="Q22" i="49" s="1"/>
  <c r="H17" i="50"/>
  <c r="S17" i="50" s="1"/>
  <c r="P21" i="50"/>
  <c r="Q21" i="50" s="1"/>
  <c r="J10" i="49"/>
  <c r="O28" i="49"/>
  <c r="P24" i="49" s="1"/>
  <c r="Q24" i="49" s="1"/>
  <c r="J6" i="49"/>
  <c r="J8" i="49"/>
  <c r="S13" i="50"/>
  <c r="H16" i="50"/>
  <c r="S16" i="50" s="1"/>
  <c r="J6" i="50"/>
  <c r="J12" i="50"/>
  <c r="J14" i="50"/>
  <c r="O28" i="50"/>
  <c r="P28" i="50"/>
  <c r="J9" i="50"/>
  <c r="S12" i="50"/>
  <c r="S12" i="49"/>
  <c r="S13" i="49"/>
  <c r="H15" i="49"/>
  <c r="H16" i="49"/>
  <c r="S17" i="49" s="1"/>
  <c r="J12" i="49"/>
  <c r="J14" i="49"/>
  <c r="P7" i="48"/>
  <c r="Q7" i="48" s="1"/>
  <c r="H13" i="48"/>
  <c r="P28" i="48" s="1"/>
  <c r="Q28" i="48"/>
  <c r="Q19" i="48"/>
  <c r="O19" i="48"/>
  <c r="Q18" i="48"/>
  <c r="Q17" i="48"/>
  <c r="Q16" i="48"/>
  <c r="I16" i="48"/>
  <c r="B16" i="48"/>
  <c r="Q15" i="48"/>
  <c r="O15" i="48"/>
  <c r="I15" i="48"/>
  <c r="E15" i="48"/>
  <c r="D15" i="48"/>
  <c r="B15" i="48"/>
  <c r="Q14" i="48"/>
  <c r="I14" i="48"/>
  <c r="Q13" i="48"/>
  <c r="I13" i="48"/>
  <c r="Q12" i="48"/>
  <c r="O12" i="48"/>
  <c r="I12" i="48"/>
  <c r="Q11" i="48"/>
  <c r="O11" i="48"/>
  <c r="I11" i="48"/>
  <c r="H11" i="48"/>
  <c r="Q10" i="48"/>
  <c r="O10" i="48"/>
  <c r="I10" i="48"/>
  <c r="H10" i="48"/>
  <c r="J10" i="48" s="1"/>
  <c r="Q9" i="48"/>
  <c r="O9" i="48"/>
  <c r="I9" i="48"/>
  <c r="H9" i="48"/>
  <c r="Q8" i="48"/>
  <c r="O8" i="48"/>
  <c r="I8" i="48"/>
  <c r="H8" i="48"/>
  <c r="J8" i="48" s="1"/>
  <c r="O7" i="48"/>
  <c r="I7" i="48"/>
  <c r="H7" i="48"/>
  <c r="Q6" i="48"/>
  <c r="O6" i="48"/>
  <c r="I6" i="48"/>
  <c r="H6" i="48"/>
  <c r="P7" i="47"/>
  <c r="Q7" i="47" s="1"/>
  <c r="H13" i="47"/>
  <c r="H16" i="47" s="1"/>
  <c r="Q28" i="47"/>
  <c r="Q19" i="47"/>
  <c r="O19" i="47"/>
  <c r="Q18" i="47"/>
  <c r="Q17" i="47"/>
  <c r="Q16" i="47"/>
  <c r="I16" i="47"/>
  <c r="B16" i="47"/>
  <c r="Q15" i="47"/>
  <c r="O15" i="47"/>
  <c r="I15" i="47"/>
  <c r="E15" i="47"/>
  <c r="D15" i="47"/>
  <c r="B15" i="47"/>
  <c r="Q14" i="47"/>
  <c r="I14" i="47"/>
  <c r="Q13" i="47"/>
  <c r="I13" i="47"/>
  <c r="Q12" i="47"/>
  <c r="O12" i="47"/>
  <c r="I12" i="47"/>
  <c r="Q11" i="47"/>
  <c r="O11" i="47"/>
  <c r="I11" i="47"/>
  <c r="H11" i="47"/>
  <c r="Q10" i="47"/>
  <c r="O10" i="47"/>
  <c r="I10" i="47"/>
  <c r="H10" i="47"/>
  <c r="Q9" i="47"/>
  <c r="O9" i="47"/>
  <c r="I9" i="47"/>
  <c r="H9" i="47"/>
  <c r="Q8" i="47"/>
  <c r="O8" i="47"/>
  <c r="I8" i="47"/>
  <c r="H8" i="47"/>
  <c r="O7" i="47"/>
  <c r="I7" i="47"/>
  <c r="H7" i="47"/>
  <c r="Q6" i="47"/>
  <c r="O6" i="47"/>
  <c r="I6" i="47"/>
  <c r="H6" i="47"/>
  <c r="Q28" i="46"/>
  <c r="Q19" i="46"/>
  <c r="O19" i="46"/>
  <c r="Q18" i="46"/>
  <c r="Q17" i="46"/>
  <c r="Q16" i="46"/>
  <c r="I16" i="46"/>
  <c r="B16" i="46"/>
  <c r="Q15" i="46"/>
  <c r="O15" i="46"/>
  <c r="I15" i="46"/>
  <c r="E15" i="46"/>
  <c r="B15" i="46"/>
  <c r="Q14" i="46"/>
  <c r="I14" i="46"/>
  <c r="Q13" i="46"/>
  <c r="I13" i="46"/>
  <c r="H13" i="46"/>
  <c r="P28" i="46" s="1"/>
  <c r="Q12" i="46"/>
  <c r="O12" i="46"/>
  <c r="I12" i="46"/>
  <c r="Q11" i="46"/>
  <c r="O11" i="46"/>
  <c r="I11" i="46"/>
  <c r="H11" i="46"/>
  <c r="Q10" i="46"/>
  <c r="O10" i="46"/>
  <c r="I10" i="46"/>
  <c r="H10" i="46"/>
  <c r="Q9" i="46"/>
  <c r="O9" i="46"/>
  <c r="I9" i="46"/>
  <c r="H9" i="46"/>
  <c r="J9" i="46" s="1"/>
  <c r="Q8" i="46"/>
  <c r="O8" i="46"/>
  <c r="I8" i="46"/>
  <c r="H8" i="46"/>
  <c r="P7" i="46"/>
  <c r="Q7" i="46" s="1"/>
  <c r="O7" i="46"/>
  <c r="I7" i="46"/>
  <c r="H7" i="46"/>
  <c r="Q6" i="46"/>
  <c r="O6" i="46"/>
  <c r="I6" i="46"/>
  <c r="H6" i="46"/>
  <c r="P7" i="42"/>
  <c r="Q7" i="42" s="1"/>
  <c r="P7" i="41"/>
  <c r="Q7" i="41" s="1"/>
  <c r="Q28" i="42"/>
  <c r="H13" i="42"/>
  <c r="P28" i="42" s="1"/>
  <c r="Q18" i="42"/>
  <c r="Q17" i="42"/>
  <c r="I17" i="42"/>
  <c r="B17" i="42"/>
  <c r="Q16" i="42"/>
  <c r="I16" i="42"/>
  <c r="E16" i="42"/>
  <c r="D16" i="42"/>
  <c r="B16" i="42"/>
  <c r="Q15" i="42"/>
  <c r="O15" i="42"/>
  <c r="I15" i="42"/>
  <c r="Q14" i="42"/>
  <c r="I14" i="42"/>
  <c r="Q13" i="42"/>
  <c r="I13" i="42"/>
  <c r="Q12" i="42"/>
  <c r="O12" i="42"/>
  <c r="I12" i="42"/>
  <c r="Q11" i="42"/>
  <c r="O11" i="42"/>
  <c r="I11" i="42"/>
  <c r="H11" i="42"/>
  <c r="Q10" i="42"/>
  <c r="O10" i="42"/>
  <c r="I10" i="42"/>
  <c r="H10" i="42"/>
  <c r="Q9" i="42"/>
  <c r="O9" i="42"/>
  <c r="I9" i="42"/>
  <c r="H9" i="42"/>
  <c r="J9" i="42" s="1"/>
  <c r="Q8" i="42"/>
  <c r="O8" i="42"/>
  <c r="I8" i="42"/>
  <c r="H8" i="42"/>
  <c r="J8" i="42" s="1"/>
  <c r="O7" i="42"/>
  <c r="I7" i="42"/>
  <c r="H7" i="42"/>
  <c r="Q6" i="42"/>
  <c r="O6" i="42"/>
  <c r="I6" i="42"/>
  <c r="H6" i="42"/>
  <c r="Q28" i="41"/>
  <c r="H13" i="41"/>
  <c r="P28" i="41" s="1"/>
  <c r="Q18" i="41"/>
  <c r="Q17" i="41"/>
  <c r="I17" i="41"/>
  <c r="B17" i="41"/>
  <c r="Q16" i="41"/>
  <c r="I16" i="41"/>
  <c r="E16" i="41"/>
  <c r="D16" i="41"/>
  <c r="B16" i="41"/>
  <c r="Q15" i="41"/>
  <c r="O15" i="41"/>
  <c r="I15" i="41"/>
  <c r="Q14" i="41"/>
  <c r="I14" i="41"/>
  <c r="Q13" i="41"/>
  <c r="I13" i="41"/>
  <c r="Q12" i="41"/>
  <c r="O12" i="41"/>
  <c r="I12" i="41"/>
  <c r="S12" i="41" s="1"/>
  <c r="Q11" i="41"/>
  <c r="O11" i="41"/>
  <c r="I11" i="41"/>
  <c r="H11" i="41"/>
  <c r="Q10" i="41"/>
  <c r="O10" i="41"/>
  <c r="I10" i="41"/>
  <c r="H10" i="41"/>
  <c r="Q9" i="41"/>
  <c r="O9" i="41"/>
  <c r="I9" i="41"/>
  <c r="H9" i="41"/>
  <c r="Q8" i="41"/>
  <c r="O8" i="41"/>
  <c r="I8" i="41"/>
  <c r="H8" i="41"/>
  <c r="J8" i="41" s="1"/>
  <c r="O7" i="41"/>
  <c r="I7" i="41"/>
  <c r="H7" i="41"/>
  <c r="J7" i="41" s="1"/>
  <c r="Q6" i="41"/>
  <c r="O6" i="41"/>
  <c r="I6" i="41"/>
  <c r="H6" i="41"/>
  <c r="Q7" i="40"/>
  <c r="P7" i="39"/>
  <c r="Q28" i="40"/>
  <c r="H13" i="40"/>
  <c r="Q18" i="40"/>
  <c r="Q17" i="40"/>
  <c r="I17" i="40"/>
  <c r="B17" i="40"/>
  <c r="Q16" i="40"/>
  <c r="I16" i="40"/>
  <c r="E16" i="40"/>
  <c r="D16" i="40"/>
  <c r="B16" i="40"/>
  <c r="Q15" i="40"/>
  <c r="O15" i="40"/>
  <c r="I15" i="40"/>
  <c r="Q14" i="40"/>
  <c r="I14" i="40"/>
  <c r="Q13" i="40"/>
  <c r="I13" i="40"/>
  <c r="Q12" i="40"/>
  <c r="O12" i="40"/>
  <c r="I12" i="40"/>
  <c r="Q11" i="40"/>
  <c r="O11" i="40"/>
  <c r="I11" i="40"/>
  <c r="H11" i="40"/>
  <c r="Q10" i="40"/>
  <c r="O10" i="40"/>
  <c r="I10" i="40"/>
  <c r="H10" i="40"/>
  <c r="Q9" i="40"/>
  <c r="O9" i="40"/>
  <c r="I9" i="40"/>
  <c r="H9" i="40"/>
  <c r="J9" i="40" s="1"/>
  <c r="Q8" i="40"/>
  <c r="O8" i="40"/>
  <c r="I8" i="40"/>
  <c r="H8" i="40"/>
  <c r="O7" i="40"/>
  <c r="I7" i="40"/>
  <c r="H7" i="40"/>
  <c r="Q6" i="40"/>
  <c r="O6" i="40"/>
  <c r="I6" i="40"/>
  <c r="H6" i="40"/>
  <c r="I15" i="39"/>
  <c r="H13" i="39"/>
  <c r="J6" i="46" l="1"/>
  <c r="P25" i="49"/>
  <c r="Q25" i="49" s="1"/>
  <c r="S23" i="49"/>
  <c r="J6" i="41"/>
  <c r="N27" i="49"/>
  <c r="N28" i="49" s="1"/>
  <c r="J7" i="47"/>
  <c r="J6" i="40"/>
  <c r="P22" i="48"/>
  <c r="Q22" i="48" s="1"/>
  <c r="P22" i="47"/>
  <c r="J15" i="42"/>
  <c r="P21" i="42"/>
  <c r="Q21" i="42" s="1"/>
  <c r="J6" i="48"/>
  <c r="P23" i="47"/>
  <c r="Q23" i="47" s="1"/>
  <c r="O28" i="41"/>
  <c r="P23" i="41" s="1"/>
  <c r="Q23" i="41" s="1"/>
  <c r="J12" i="47"/>
  <c r="J9" i="48"/>
  <c r="P23" i="49"/>
  <c r="Q23" i="49" s="1"/>
  <c r="P24" i="50"/>
  <c r="Q24" i="50" s="1"/>
  <c r="P23" i="50"/>
  <c r="Q23" i="50" s="1"/>
  <c r="J16" i="50"/>
  <c r="N27" i="50"/>
  <c r="N28" i="50" s="1"/>
  <c r="P21" i="40"/>
  <c r="Q21" i="40" s="1"/>
  <c r="J10" i="40"/>
  <c r="P22" i="46"/>
  <c r="Q22" i="46" s="1"/>
  <c r="J14" i="42"/>
  <c r="O28" i="42"/>
  <c r="J6" i="42"/>
  <c r="J10" i="42"/>
  <c r="J7" i="48"/>
  <c r="O28" i="48"/>
  <c r="P24" i="48" s="1"/>
  <c r="Q24" i="48" s="1"/>
  <c r="S12" i="48"/>
  <c r="J9" i="41"/>
  <c r="J14" i="41"/>
  <c r="J10" i="41"/>
  <c r="H16" i="41"/>
  <c r="P21" i="41"/>
  <c r="Q21" i="41" s="1"/>
  <c r="J8" i="47"/>
  <c r="O28" i="47"/>
  <c r="Q22" i="47"/>
  <c r="J14" i="47"/>
  <c r="J10" i="47"/>
  <c r="S17" i="47"/>
  <c r="J9" i="47"/>
  <c r="S23" i="50"/>
  <c r="S24" i="50" s="1"/>
  <c r="P22" i="50"/>
  <c r="Q22" i="50" s="1"/>
  <c r="J8" i="40"/>
  <c r="S12" i="40"/>
  <c r="J8" i="46"/>
  <c r="J10" i="46"/>
  <c r="O28" i="46"/>
  <c r="P24" i="46" s="1"/>
  <c r="Q24" i="46" s="1"/>
  <c r="J7" i="46"/>
  <c r="S16" i="49"/>
  <c r="S24" i="49" s="1"/>
  <c r="J15" i="49"/>
  <c r="S13" i="48"/>
  <c r="H15" i="48"/>
  <c r="H16" i="48"/>
  <c r="S17" i="48" s="1"/>
  <c r="J12" i="48"/>
  <c r="J14" i="48"/>
  <c r="P28" i="47"/>
  <c r="S13" i="47"/>
  <c r="S12" i="47"/>
  <c r="J6" i="47"/>
  <c r="H15" i="47"/>
  <c r="N27" i="47" s="1"/>
  <c r="N28" i="47" s="1"/>
  <c r="S23" i="46"/>
  <c r="H15" i="46"/>
  <c r="H16" i="46"/>
  <c r="J12" i="46"/>
  <c r="J14" i="46"/>
  <c r="H17" i="42"/>
  <c r="S17" i="42" s="1"/>
  <c r="J7" i="42"/>
  <c r="S12" i="42"/>
  <c r="S13" i="42"/>
  <c r="J12" i="42"/>
  <c r="S23" i="42"/>
  <c r="H16" i="42"/>
  <c r="N27" i="42" s="1"/>
  <c r="N28" i="42" s="1"/>
  <c r="P23" i="42"/>
  <c r="Q23" i="42" s="1"/>
  <c r="P24" i="42"/>
  <c r="Q24" i="42" s="1"/>
  <c r="S13" i="41"/>
  <c r="H17" i="41"/>
  <c r="S17" i="41" s="1"/>
  <c r="J15" i="41"/>
  <c r="J12" i="41"/>
  <c r="S13" i="40"/>
  <c r="P28" i="40"/>
  <c r="J7" i="40"/>
  <c r="J15" i="40"/>
  <c r="H16" i="40"/>
  <c r="H17" i="40"/>
  <c r="S17" i="40" s="1"/>
  <c r="O28" i="40"/>
  <c r="J12" i="40"/>
  <c r="J14" i="40"/>
  <c r="Q28" i="39"/>
  <c r="P28" i="39"/>
  <c r="Q18" i="39"/>
  <c r="Q17" i="39"/>
  <c r="Q16" i="39"/>
  <c r="I17" i="39"/>
  <c r="H17" i="39"/>
  <c r="B17" i="39"/>
  <c r="Q15" i="39"/>
  <c r="O15" i="39"/>
  <c r="I16" i="39"/>
  <c r="E16" i="39"/>
  <c r="D16" i="39"/>
  <c r="B16" i="39"/>
  <c r="Q14" i="39"/>
  <c r="I14" i="39"/>
  <c r="Q13" i="39"/>
  <c r="I13" i="39"/>
  <c r="S13" i="39" s="1"/>
  <c r="Q12" i="39"/>
  <c r="O12" i="39"/>
  <c r="I12" i="39"/>
  <c r="Q11" i="39"/>
  <c r="O11" i="39"/>
  <c r="I11" i="39"/>
  <c r="H11" i="39"/>
  <c r="Q10" i="39"/>
  <c r="O10" i="39"/>
  <c r="I10" i="39"/>
  <c r="H10" i="39"/>
  <c r="Q9" i="39"/>
  <c r="O9" i="39"/>
  <c r="I9" i="39"/>
  <c r="H9" i="39"/>
  <c r="Q8" i="39"/>
  <c r="O8" i="39"/>
  <c r="I8" i="39"/>
  <c r="H8" i="39"/>
  <c r="Q7" i="39"/>
  <c r="O7" i="39"/>
  <c r="I7" i="39"/>
  <c r="H7" i="39"/>
  <c r="Q6" i="39"/>
  <c r="O6" i="39"/>
  <c r="I6" i="39"/>
  <c r="H6" i="39"/>
  <c r="N27" i="48" l="1"/>
  <c r="N28" i="48" s="1"/>
  <c r="N27" i="41"/>
  <c r="N28" i="41" s="1"/>
  <c r="S23" i="41"/>
  <c r="S16" i="41"/>
  <c r="P24" i="41"/>
  <c r="Q24" i="41" s="1"/>
  <c r="J16" i="41"/>
  <c r="S23" i="47"/>
  <c r="P25" i="46"/>
  <c r="Q25" i="46" s="1"/>
  <c r="N27" i="40"/>
  <c r="N28" i="40" s="1"/>
  <c r="P22" i="40"/>
  <c r="Q22" i="40" s="1"/>
  <c r="N27" i="46"/>
  <c r="N28" i="46" s="1"/>
  <c r="P22" i="39"/>
  <c r="Q22" i="39" s="1"/>
  <c r="P22" i="42"/>
  <c r="Q22" i="42" s="1"/>
  <c r="S23" i="48"/>
  <c r="P25" i="48"/>
  <c r="Q25" i="48" s="1"/>
  <c r="P22" i="41"/>
  <c r="Q22" i="41" s="1"/>
  <c r="P24" i="47"/>
  <c r="Q24" i="47" s="1"/>
  <c r="P25" i="47"/>
  <c r="Q25" i="47" s="1"/>
  <c r="O28" i="39"/>
  <c r="S23" i="39" s="1"/>
  <c r="J15" i="39"/>
  <c r="S16" i="48"/>
  <c r="J15" i="48"/>
  <c r="P23" i="48"/>
  <c r="Q23" i="48" s="1"/>
  <c r="J15" i="47"/>
  <c r="S16" i="47"/>
  <c r="S24" i="47" s="1"/>
  <c r="S24" i="46"/>
  <c r="J15" i="46"/>
  <c r="P23" i="46"/>
  <c r="Q23" i="46" s="1"/>
  <c r="J16" i="42"/>
  <c r="S16" i="42"/>
  <c r="S24" i="42" s="1"/>
  <c r="S24" i="41"/>
  <c r="S16" i="40"/>
  <c r="J16" i="40"/>
  <c r="P23" i="40"/>
  <c r="Q23" i="40" s="1"/>
  <c r="S23" i="40"/>
  <c r="P24" i="40"/>
  <c r="Q24" i="40" s="1"/>
  <c r="J10" i="39"/>
  <c r="J8" i="39"/>
  <c r="S17" i="39"/>
  <c r="J7" i="39"/>
  <c r="J9" i="39"/>
  <c r="J14" i="39"/>
  <c r="H16" i="39"/>
  <c r="N27" i="39" s="1"/>
  <c r="N28" i="39" s="1"/>
  <c r="J12" i="39"/>
  <c r="J6" i="39"/>
  <c r="S12" i="39"/>
  <c r="P24" i="39" l="1"/>
  <c r="Q24" i="39" s="1"/>
  <c r="S24" i="48"/>
  <c r="P25" i="39"/>
  <c r="Q25" i="39" s="1"/>
  <c r="P23" i="39"/>
  <c r="Q23" i="39" s="1"/>
  <c r="S24" i="40"/>
  <c r="S16" i="39"/>
  <c r="S24" i="39" s="1"/>
  <c r="J16" i="39"/>
  <c r="P7" i="38" l="1"/>
  <c r="Q7" i="38" s="1"/>
  <c r="H13" i="38"/>
  <c r="P28" i="38" s="1"/>
  <c r="Q28" i="38"/>
  <c r="Q18" i="38"/>
  <c r="Q17" i="38"/>
  <c r="Q16" i="38"/>
  <c r="I16" i="38"/>
  <c r="B16" i="38"/>
  <c r="Q15" i="38"/>
  <c r="O15" i="38"/>
  <c r="I15" i="38"/>
  <c r="E15" i="38"/>
  <c r="D15" i="38"/>
  <c r="B15" i="38"/>
  <c r="Q14" i="38"/>
  <c r="I14" i="38"/>
  <c r="Q13" i="38"/>
  <c r="I13" i="38"/>
  <c r="Q12" i="38"/>
  <c r="O12" i="38"/>
  <c r="I12" i="38"/>
  <c r="Q11" i="38"/>
  <c r="O11" i="38"/>
  <c r="I11" i="38"/>
  <c r="H11" i="38"/>
  <c r="Q10" i="38"/>
  <c r="O10" i="38"/>
  <c r="I10" i="38"/>
  <c r="H10" i="38"/>
  <c r="Q9" i="38"/>
  <c r="O9" i="38"/>
  <c r="I9" i="38"/>
  <c r="H9" i="38"/>
  <c r="Q8" i="38"/>
  <c r="O8" i="38"/>
  <c r="I8" i="38"/>
  <c r="H8" i="38"/>
  <c r="O7" i="38"/>
  <c r="I7" i="38"/>
  <c r="H7" i="38"/>
  <c r="Q6" i="38"/>
  <c r="O6" i="38"/>
  <c r="I6" i="38"/>
  <c r="H6" i="38"/>
  <c r="P7" i="37"/>
  <c r="Q7" i="37" s="1"/>
  <c r="Q28" i="37"/>
  <c r="H13" i="37"/>
  <c r="P28" i="37" s="1"/>
  <c r="Q18" i="37"/>
  <c r="Q17" i="37"/>
  <c r="Q16" i="37"/>
  <c r="I16" i="37"/>
  <c r="B16" i="37"/>
  <c r="Q15" i="37"/>
  <c r="O15" i="37"/>
  <c r="I15" i="37"/>
  <c r="E15" i="37"/>
  <c r="D15" i="37"/>
  <c r="B15" i="37"/>
  <c r="Q14" i="37"/>
  <c r="I14" i="37"/>
  <c r="Q13" i="37"/>
  <c r="I13" i="37"/>
  <c r="Q12" i="37"/>
  <c r="O12" i="37"/>
  <c r="I12" i="37"/>
  <c r="Q11" i="37"/>
  <c r="O11" i="37"/>
  <c r="I11" i="37"/>
  <c r="H11" i="37"/>
  <c r="Q10" i="37"/>
  <c r="O10" i="37"/>
  <c r="I10" i="37"/>
  <c r="H10" i="37"/>
  <c r="Q9" i="37"/>
  <c r="O9" i="37"/>
  <c r="I9" i="37"/>
  <c r="H9" i="37"/>
  <c r="Q8" i="37"/>
  <c r="O8" i="37"/>
  <c r="I8" i="37"/>
  <c r="H8" i="37"/>
  <c r="O7" i="37"/>
  <c r="I7" i="37"/>
  <c r="H7" i="37"/>
  <c r="Q6" i="37"/>
  <c r="O6" i="37"/>
  <c r="I6" i="37"/>
  <c r="H6" i="37"/>
  <c r="J9" i="37" l="1"/>
  <c r="J7" i="37"/>
  <c r="J8" i="38"/>
  <c r="J10" i="38"/>
  <c r="J8" i="37"/>
  <c r="J10" i="37"/>
  <c r="P21" i="37"/>
  <c r="Q21" i="37" s="1"/>
  <c r="N27" i="38"/>
  <c r="N28" i="38" s="1"/>
  <c r="P21" i="38"/>
  <c r="Q21" i="38" s="1"/>
  <c r="J14" i="38"/>
  <c r="S12" i="38"/>
  <c r="J6" i="38"/>
  <c r="J7" i="38"/>
  <c r="J9" i="38"/>
  <c r="H15" i="37"/>
  <c r="N27" i="37" s="1"/>
  <c r="N28" i="37" s="1"/>
  <c r="J14" i="37"/>
  <c r="O28" i="37"/>
  <c r="P23" i="37" s="1"/>
  <c r="Q23" i="37" s="1"/>
  <c r="P22" i="38"/>
  <c r="Q22" i="38" s="1"/>
  <c r="O28" i="38"/>
  <c r="S13" i="38"/>
  <c r="H15" i="38"/>
  <c r="H16" i="38"/>
  <c r="S17" i="38" s="1"/>
  <c r="J12" i="38"/>
  <c r="J12" i="37"/>
  <c r="H16" i="37"/>
  <c r="S13" i="37"/>
  <c r="P22" i="37"/>
  <c r="Q22" i="37" s="1"/>
  <c r="J6" i="37"/>
  <c r="S12" i="37"/>
  <c r="Q28" i="36"/>
  <c r="H13" i="36"/>
  <c r="P7" i="36"/>
  <c r="Q7" i="36" s="1"/>
  <c r="Q18" i="36"/>
  <c r="Q17" i="36"/>
  <c r="Q16" i="36"/>
  <c r="I16" i="36"/>
  <c r="B16" i="36"/>
  <c r="Q15" i="36"/>
  <c r="O15" i="36"/>
  <c r="I15" i="36"/>
  <c r="E15" i="36"/>
  <c r="D15" i="36"/>
  <c r="B15" i="36"/>
  <c r="Q14" i="36"/>
  <c r="I14" i="36"/>
  <c r="Q13" i="36"/>
  <c r="I13" i="36"/>
  <c r="Q12" i="36"/>
  <c r="O12" i="36"/>
  <c r="I12" i="36"/>
  <c r="H15" i="36"/>
  <c r="Q11" i="36"/>
  <c r="O11" i="36"/>
  <c r="I11" i="36"/>
  <c r="H11" i="36"/>
  <c r="Q10" i="36"/>
  <c r="O10" i="36"/>
  <c r="I10" i="36"/>
  <c r="H10" i="36"/>
  <c r="Q9" i="36"/>
  <c r="O9" i="36"/>
  <c r="I9" i="36"/>
  <c r="H9" i="36"/>
  <c r="Q8" i="36"/>
  <c r="O8" i="36"/>
  <c r="I8" i="36"/>
  <c r="H8" i="36"/>
  <c r="O7" i="36"/>
  <c r="I7" i="36"/>
  <c r="H7" i="36"/>
  <c r="Q6" i="36"/>
  <c r="O6" i="36"/>
  <c r="I6" i="36"/>
  <c r="H6" i="36"/>
  <c r="Q15" i="35"/>
  <c r="Q16" i="35"/>
  <c r="Q17" i="35"/>
  <c r="Q18" i="35"/>
  <c r="O7" i="30"/>
  <c r="O8" i="30"/>
  <c r="O9" i="30"/>
  <c r="O10" i="30"/>
  <c r="O11" i="30"/>
  <c r="O12" i="30"/>
  <c r="O7" i="31"/>
  <c r="O8" i="31"/>
  <c r="O9" i="31"/>
  <c r="O10" i="31"/>
  <c r="O11" i="31"/>
  <c r="O12" i="31"/>
  <c r="O6" i="31"/>
  <c r="O7" i="32"/>
  <c r="O8" i="32"/>
  <c r="O9" i="32"/>
  <c r="O10" i="32"/>
  <c r="O11" i="32"/>
  <c r="O12" i="32"/>
  <c r="O7" i="33"/>
  <c r="O8" i="33"/>
  <c r="O9" i="33"/>
  <c r="O10" i="33"/>
  <c r="O11" i="33"/>
  <c r="O12" i="33"/>
  <c r="O6" i="33"/>
  <c r="O6" i="34"/>
  <c r="O7" i="34"/>
  <c r="O8" i="34"/>
  <c r="O9" i="34"/>
  <c r="O10" i="34"/>
  <c r="O11" i="34"/>
  <c r="O12" i="34"/>
  <c r="O6" i="32"/>
  <c r="O6" i="30"/>
  <c r="O15" i="35"/>
  <c r="O7" i="35"/>
  <c r="O8" i="35"/>
  <c r="O9" i="35"/>
  <c r="O10" i="35"/>
  <c r="O11" i="35"/>
  <c r="O12" i="35"/>
  <c r="O6" i="35"/>
  <c r="S16" i="37" l="1"/>
  <c r="J15" i="37"/>
  <c r="P21" i="36"/>
  <c r="Q21" i="36" s="1"/>
  <c r="J14" i="36"/>
  <c r="S17" i="37"/>
  <c r="P24" i="37"/>
  <c r="Q24" i="37" s="1"/>
  <c r="S23" i="37"/>
  <c r="S12" i="36"/>
  <c r="J7" i="36"/>
  <c r="H16" i="36"/>
  <c r="S17" i="36" s="1"/>
  <c r="O28" i="36"/>
  <c r="J15" i="38"/>
  <c r="S16" i="38"/>
  <c r="P23" i="38"/>
  <c r="Q23" i="38" s="1"/>
  <c r="P24" i="38"/>
  <c r="Q24" i="38" s="1"/>
  <c r="S23" i="38"/>
  <c r="S16" i="36"/>
  <c r="P28" i="36"/>
  <c r="S13" i="36"/>
  <c r="J8" i="36"/>
  <c r="J10" i="36"/>
  <c r="J9" i="36"/>
  <c r="J12" i="36"/>
  <c r="J6" i="36"/>
  <c r="H13" i="35"/>
  <c r="P28" i="35" s="1"/>
  <c r="Q28" i="35"/>
  <c r="I16" i="35"/>
  <c r="B16" i="35"/>
  <c r="I15" i="35"/>
  <c r="E15" i="35"/>
  <c r="D15" i="35"/>
  <c r="B15" i="35"/>
  <c r="Q14" i="35"/>
  <c r="I14" i="35"/>
  <c r="Q13" i="35"/>
  <c r="I13" i="35"/>
  <c r="Q12" i="35"/>
  <c r="I12" i="35"/>
  <c r="Q11" i="35"/>
  <c r="I11" i="35"/>
  <c r="H11" i="35"/>
  <c r="Q10" i="35"/>
  <c r="I10" i="35"/>
  <c r="H10" i="35"/>
  <c r="Q9" i="35"/>
  <c r="I9" i="35"/>
  <c r="H9" i="35"/>
  <c r="Q8" i="35"/>
  <c r="I8" i="35"/>
  <c r="H8" i="35"/>
  <c r="Q7" i="35"/>
  <c r="I7" i="35"/>
  <c r="H7" i="35"/>
  <c r="Q6" i="35"/>
  <c r="I6" i="35"/>
  <c r="H6" i="35"/>
  <c r="Q25" i="34"/>
  <c r="P7" i="34"/>
  <c r="Q7" i="34" s="1"/>
  <c r="H13" i="34"/>
  <c r="I17" i="34"/>
  <c r="B17" i="34"/>
  <c r="I16" i="34"/>
  <c r="E16" i="34"/>
  <c r="D16" i="34"/>
  <c r="B16" i="34"/>
  <c r="I15" i="34"/>
  <c r="H15" i="34"/>
  <c r="J15" i="34" s="1"/>
  <c r="Q14" i="34"/>
  <c r="I14" i="34"/>
  <c r="Q13" i="34"/>
  <c r="I13" i="34"/>
  <c r="Q12" i="34"/>
  <c r="I12" i="34"/>
  <c r="Q11" i="34"/>
  <c r="I11" i="34"/>
  <c r="H11" i="34"/>
  <c r="Q10" i="34"/>
  <c r="I10" i="34"/>
  <c r="H10" i="34"/>
  <c r="Q9" i="34"/>
  <c r="I9" i="34"/>
  <c r="H9" i="34"/>
  <c r="Q8" i="34"/>
  <c r="I8" i="34"/>
  <c r="H8" i="34"/>
  <c r="I7" i="34"/>
  <c r="H7" i="34"/>
  <c r="J7" i="34" s="1"/>
  <c r="Q6" i="34"/>
  <c r="I6" i="34"/>
  <c r="H6" i="34"/>
  <c r="J6" i="34" s="1"/>
  <c r="Q25" i="33"/>
  <c r="Q25" i="32"/>
  <c r="H13" i="33"/>
  <c r="P25" i="33" s="1"/>
  <c r="P7" i="33"/>
  <c r="Q7" i="33" s="1"/>
  <c r="I17" i="33"/>
  <c r="B17" i="33"/>
  <c r="I16" i="33"/>
  <c r="E16" i="33"/>
  <c r="D16" i="33"/>
  <c r="B16" i="33"/>
  <c r="I15" i="33"/>
  <c r="H15" i="33"/>
  <c r="J15" i="33" s="1"/>
  <c r="Q14" i="33"/>
  <c r="I14" i="33"/>
  <c r="Q13" i="33"/>
  <c r="I13" i="33"/>
  <c r="Q12" i="33"/>
  <c r="I12" i="33"/>
  <c r="Q11" i="33"/>
  <c r="I11" i="33"/>
  <c r="H11" i="33"/>
  <c r="J10" i="33" s="1"/>
  <c r="Q10" i="33"/>
  <c r="I10" i="33"/>
  <c r="H10" i="33"/>
  <c r="Q9" i="33"/>
  <c r="I9" i="33"/>
  <c r="H9" i="33"/>
  <c r="J9" i="33" s="1"/>
  <c r="Q8" i="33"/>
  <c r="I8" i="33"/>
  <c r="H8" i="33"/>
  <c r="I7" i="33"/>
  <c r="H7" i="33"/>
  <c r="Q6" i="33"/>
  <c r="I6" i="33"/>
  <c r="H6" i="33"/>
  <c r="J6" i="33" s="1"/>
  <c r="P22" i="36" l="1"/>
  <c r="Q22" i="36" s="1"/>
  <c r="N27" i="36"/>
  <c r="N28" i="36" s="1"/>
  <c r="J15" i="36"/>
  <c r="O25" i="33"/>
  <c r="P16" i="33"/>
  <c r="Q16" i="33" s="1"/>
  <c r="J8" i="34"/>
  <c r="J7" i="35"/>
  <c r="S24" i="37"/>
  <c r="O25" i="34"/>
  <c r="S20" i="34" s="1"/>
  <c r="P16" i="34"/>
  <c r="Q16" i="34" s="1"/>
  <c r="H16" i="34"/>
  <c r="S16" i="34" s="1"/>
  <c r="P24" i="36"/>
  <c r="Q24" i="36" s="1"/>
  <c r="S23" i="36"/>
  <c r="S24" i="36" s="1"/>
  <c r="P23" i="36"/>
  <c r="Q23" i="36" s="1"/>
  <c r="O28" i="35"/>
  <c r="S23" i="35" s="1"/>
  <c r="P21" i="35"/>
  <c r="Q21" i="35" s="1"/>
  <c r="S24" i="38"/>
  <c r="S12" i="34"/>
  <c r="J10" i="34"/>
  <c r="J12" i="33"/>
  <c r="J7" i="33"/>
  <c r="J8" i="33"/>
  <c r="J9" i="35"/>
  <c r="J10" i="35"/>
  <c r="J14" i="35"/>
  <c r="S13" i="35"/>
  <c r="H16" i="35"/>
  <c r="J8" i="35"/>
  <c r="J6" i="35"/>
  <c r="J12" i="35"/>
  <c r="S12" i="35"/>
  <c r="H15" i="35"/>
  <c r="J12" i="34"/>
  <c r="P15" i="34"/>
  <c r="Q15" i="34" s="1"/>
  <c r="P25" i="34"/>
  <c r="P15" i="33"/>
  <c r="Q15" i="33" s="1"/>
  <c r="J14" i="34"/>
  <c r="J9" i="34"/>
  <c r="H17" i="34"/>
  <c r="S13" i="34"/>
  <c r="S13" i="33"/>
  <c r="S12" i="33"/>
  <c r="H16" i="33"/>
  <c r="S20" i="33"/>
  <c r="J14" i="33"/>
  <c r="H17" i="33"/>
  <c r="P7" i="32"/>
  <c r="Q7" i="32" s="1"/>
  <c r="I17" i="32"/>
  <c r="B17" i="32"/>
  <c r="I16" i="32"/>
  <c r="E16" i="32"/>
  <c r="D16" i="32"/>
  <c r="B16" i="32"/>
  <c r="I15" i="32"/>
  <c r="H15" i="32"/>
  <c r="P16" i="32" s="1"/>
  <c r="Q16" i="32" s="1"/>
  <c r="Q14" i="32"/>
  <c r="I14" i="32"/>
  <c r="Q13" i="32"/>
  <c r="I13" i="32"/>
  <c r="Q12" i="32"/>
  <c r="I12" i="32"/>
  <c r="Q11" i="32"/>
  <c r="I11" i="32"/>
  <c r="H11" i="32"/>
  <c r="Q10" i="32"/>
  <c r="I10" i="32"/>
  <c r="H10" i="32"/>
  <c r="Q9" i="32"/>
  <c r="I9" i="32"/>
  <c r="H9" i="32"/>
  <c r="J9" i="32" s="1"/>
  <c r="Q8" i="32"/>
  <c r="I8" i="32"/>
  <c r="H8" i="32"/>
  <c r="J8" i="32" s="1"/>
  <c r="I7" i="32"/>
  <c r="J7" i="32"/>
  <c r="Q6" i="32"/>
  <c r="I6" i="32"/>
  <c r="J6" i="32"/>
  <c r="P7" i="31"/>
  <c r="Q7" i="31" s="1"/>
  <c r="I9" i="31"/>
  <c r="H13" i="31"/>
  <c r="H17" i="31" s="1"/>
  <c r="P7" i="30"/>
  <c r="Q12" i="31"/>
  <c r="H13" i="30"/>
  <c r="Q25" i="31"/>
  <c r="I17" i="31"/>
  <c r="B17" i="31"/>
  <c r="I16" i="31"/>
  <c r="E16" i="31"/>
  <c r="D16" i="31"/>
  <c r="B16" i="31"/>
  <c r="I15" i="31"/>
  <c r="H15" i="31"/>
  <c r="Q14" i="31"/>
  <c r="I14" i="31"/>
  <c r="Q13" i="31"/>
  <c r="I13" i="31"/>
  <c r="I12" i="31"/>
  <c r="Q11" i="31"/>
  <c r="I11" i="31"/>
  <c r="H11" i="31"/>
  <c r="Q10" i="31"/>
  <c r="I10" i="31"/>
  <c r="H10" i="31"/>
  <c r="Q9" i="31"/>
  <c r="H9" i="31"/>
  <c r="J9" i="31" s="1"/>
  <c r="Q8" i="31"/>
  <c r="I8" i="31"/>
  <c r="H8" i="31"/>
  <c r="I7" i="31"/>
  <c r="H7" i="31"/>
  <c r="Q6" i="31"/>
  <c r="I6" i="31"/>
  <c r="H6" i="31"/>
  <c r="H15" i="30"/>
  <c r="I14" i="30"/>
  <c r="I15" i="30"/>
  <c r="Q14" i="30"/>
  <c r="Q25" i="30"/>
  <c r="N24" i="33" l="1"/>
  <c r="N25" i="33" s="1"/>
  <c r="J15" i="31"/>
  <c r="J14" i="31"/>
  <c r="J7" i="31"/>
  <c r="N24" i="34"/>
  <c r="N25" i="34" s="1"/>
  <c r="P18" i="33"/>
  <c r="Q18" i="33" s="1"/>
  <c r="P17" i="33"/>
  <c r="Q17" i="33" s="1"/>
  <c r="J10" i="32"/>
  <c r="P25" i="32"/>
  <c r="P18" i="34"/>
  <c r="Q18" i="34" s="1"/>
  <c r="J16" i="34"/>
  <c r="J8" i="31"/>
  <c r="N27" i="35"/>
  <c r="N28" i="35" s="1"/>
  <c r="P23" i="35"/>
  <c r="Q23" i="35" s="1"/>
  <c r="P24" i="35"/>
  <c r="Q24" i="35" s="1"/>
  <c r="P22" i="35"/>
  <c r="Q22" i="35" s="1"/>
  <c r="P17" i="34"/>
  <c r="Q17" i="34" s="1"/>
  <c r="S16" i="33"/>
  <c r="J16" i="33"/>
  <c r="O25" i="32"/>
  <c r="J12" i="32"/>
  <c r="J15" i="32"/>
  <c r="H16" i="31"/>
  <c r="J12" i="31"/>
  <c r="J6" i="31"/>
  <c r="J10" i="31"/>
  <c r="S17" i="35"/>
  <c r="J15" i="35"/>
  <c r="S16" i="35"/>
  <c r="S17" i="34"/>
  <c r="S21" i="34" s="1"/>
  <c r="S17" i="33"/>
  <c r="S21" i="33" s="1"/>
  <c r="S13" i="32"/>
  <c r="P15" i="32"/>
  <c r="Q15" i="32" s="1"/>
  <c r="S12" i="32"/>
  <c r="J14" i="32"/>
  <c r="H17" i="32"/>
  <c r="S13" i="31"/>
  <c r="S17" i="31"/>
  <c r="S12" i="31"/>
  <c r="O25" i="31"/>
  <c r="P25" i="31"/>
  <c r="J15" i="30"/>
  <c r="E16" i="30"/>
  <c r="D16" i="30"/>
  <c r="B17" i="30"/>
  <c r="B16" i="30"/>
  <c r="N24" i="32" l="1"/>
  <c r="N25" i="32" s="1"/>
  <c r="N24" i="31"/>
  <c r="N25" i="31" s="1"/>
  <c r="S16" i="31"/>
  <c r="P16" i="31"/>
  <c r="Q16" i="31" s="1"/>
  <c r="P15" i="31"/>
  <c r="Q15" i="31" s="1"/>
  <c r="J16" i="32"/>
  <c r="J16" i="31"/>
  <c r="P18" i="32"/>
  <c r="Q18" i="32" s="1"/>
  <c r="P17" i="32"/>
  <c r="Q17" i="32" s="1"/>
  <c r="S20" i="32"/>
  <c r="P17" i="31"/>
  <c r="Q17" i="31" s="1"/>
  <c r="P18" i="31"/>
  <c r="Q18" i="31" s="1"/>
  <c r="S24" i="35"/>
  <c r="S17" i="32"/>
  <c r="S16" i="32"/>
  <c r="S20" i="31"/>
  <c r="S21" i="31" s="1"/>
  <c r="S21" i="32" l="1"/>
  <c r="H17" i="30"/>
  <c r="Q12" i="30"/>
  <c r="Q13" i="30"/>
  <c r="Q11" i="30"/>
  <c r="Q10" i="30"/>
  <c r="Q9" i="30"/>
  <c r="Q8" i="30"/>
  <c r="Q7" i="30"/>
  <c r="Q6" i="30"/>
  <c r="I17" i="30"/>
  <c r="I16" i="30"/>
  <c r="I13" i="30"/>
  <c r="S13" i="30" s="1"/>
  <c r="I12" i="30"/>
  <c r="I11" i="30"/>
  <c r="H11" i="30"/>
  <c r="I10" i="30"/>
  <c r="H10" i="30"/>
  <c r="I9" i="30"/>
  <c r="H9" i="30"/>
  <c r="I8" i="30"/>
  <c r="H8" i="30"/>
  <c r="I7" i="30"/>
  <c r="H7" i="30"/>
  <c r="I6" i="30"/>
  <c r="H6" i="30"/>
  <c r="P16" i="30" l="1"/>
  <c r="Q16" i="30" s="1"/>
  <c r="J14" i="30"/>
  <c r="O25" i="30"/>
  <c r="P15" i="30"/>
  <c r="Q15" i="30" s="1"/>
  <c r="S17" i="30"/>
  <c r="J12" i="30"/>
  <c r="J10" i="30"/>
  <c r="S12" i="30"/>
  <c r="H16" i="30"/>
  <c r="P25" i="30"/>
  <c r="J6" i="30"/>
  <c r="J8" i="30"/>
  <c r="J9" i="30"/>
  <c r="J7" i="30"/>
  <c r="N24" i="30" l="1"/>
  <c r="N25" i="30" s="1"/>
  <c r="S20" i="30"/>
  <c r="P18" i="30"/>
  <c r="Q18" i="30" s="1"/>
  <c r="P17" i="30"/>
  <c r="Q17" i="30" s="1"/>
  <c r="S16" i="30"/>
  <c r="J16" i="30"/>
  <c r="S21" i="30" l="1"/>
</calcChain>
</file>

<file path=xl/sharedStrings.xml><?xml version="1.0" encoding="utf-8"?>
<sst xmlns="http://schemas.openxmlformats.org/spreadsheetml/2006/main" count="7883" uniqueCount="268">
  <si>
    <t>H</t>
  </si>
  <si>
    <t>-</t>
  </si>
  <si>
    <t>Quantity</t>
  </si>
  <si>
    <t>W</t>
  </si>
  <si>
    <t>ระยะตัด</t>
  </si>
  <si>
    <t>ชื่อ</t>
  </si>
  <si>
    <t>สูตรตัด</t>
  </si>
  <si>
    <t>รวม</t>
  </si>
  <si>
    <t>No.</t>
  </si>
  <si>
    <t>เบอร์ดาย</t>
  </si>
  <si>
    <t>W-18-18</t>
  </si>
  <si>
    <t>H-55-6-6-25</t>
  </si>
  <si>
    <t>หน้าดาย</t>
  </si>
  <si>
    <t>F7935</t>
  </si>
  <si>
    <t>น้ำหนัก</t>
  </si>
  <si>
    <t>ตบปิดเฟรม (ตั้ง)</t>
  </si>
  <si>
    <t>ตบปิดเฟรม (นอน)</t>
  </si>
  <si>
    <t>W-20-20</t>
  </si>
  <si>
    <t>H-75-45</t>
  </si>
  <si>
    <t>SH-80-80</t>
  </si>
  <si>
    <t>จำนวน</t>
  </si>
  <si>
    <t>สี</t>
  </si>
  <si>
    <t>HD-474 มือจับกลอนรุ่นก้านโยก</t>
  </si>
  <si>
    <t>HD-312 ตลับกลอนก้านโยกมัลติล็อค</t>
  </si>
  <si>
    <t>HD-640 บานพับล้อบนเฟี้ยม</t>
  </si>
  <si>
    <t>HD-641 บานพับเฟี้ยม</t>
  </si>
  <si>
    <t>HD-642 บานพับมือจับเฟี้ยม</t>
  </si>
  <si>
    <t>HD-643 บานพับไกด์ล่างเฟี้ยม</t>
  </si>
  <si>
    <t>HD-481A มือจับก้านโยกกุญแจ</t>
  </si>
  <si>
    <t>HD-1180 ก้าน AL สไลด์ 19.5 mm</t>
  </si>
  <si>
    <t>ดำ</t>
  </si>
  <si>
    <t>คิ้วตบเฟรมข้าง</t>
  </si>
  <si>
    <t>เฟรมบนบานเฟี้ยม</t>
  </si>
  <si>
    <t>เฟรมล่างบานเฟี้ยม</t>
  </si>
  <si>
    <t>เฟรมข้างบานเฟี้ยม</t>
  </si>
  <si>
    <t>HD-213 ฉากเข้ามุมปรับได้</t>
  </si>
  <si>
    <t>HD-200 ฉากประคองมุม</t>
  </si>
  <si>
    <t>HD-850 ตลับกุญแจมัลติล็อค (L35)</t>
  </si>
  <si>
    <t>HD-803 ไส้กุญแจ1หน้า คาบ้า (L75)</t>
  </si>
  <si>
    <t>กระจก</t>
  </si>
  <si>
    <t>HS-130</t>
  </si>
  <si>
    <t>WS-130</t>
  </si>
  <si>
    <t>บาท/ชิ้น</t>
  </si>
  <si>
    <t>F7968</t>
  </si>
  <si>
    <t>F7969</t>
  </si>
  <si>
    <t>F7970</t>
  </si>
  <si>
    <t>F7971</t>
  </si>
  <si>
    <t>F7972</t>
  </si>
  <si>
    <t>F7973</t>
  </si>
  <si>
    <t>กรอบบานเฟี้ยม (ขวาง)</t>
  </si>
  <si>
    <t>จำนวน
/ชุด</t>
  </si>
  <si>
    <t>เส้น 
6.4</t>
  </si>
  <si>
    <t>รูป</t>
  </si>
  <si>
    <t>GLASS กระจก</t>
  </si>
  <si>
    <t>Die list  รายการดาย</t>
  </si>
  <si>
    <t>F7949</t>
  </si>
  <si>
    <t>SW-60-60</t>
  </si>
  <si>
    <t>คิ้วกระจก14-20มิล (ตั้ง)</t>
  </si>
  <si>
    <t>คิ้วกระจก14-20มิล (นอน)</t>
  </si>
  <si>
    <t>คิ้วกระจก5-12มิล (ตั้ง)</t>
  </si>
  <si>
    <t>คิ้วกระจก5-12มิล (นอน)</t>
  </si>
  <si>
    <t>กรอบบานเฟี้ยม (ตั้ง)</t>
  </si>
  <si>
    <t>F7853</t>
  </si>
  <si>
    <t>คิ้วสำหรับกระจกมู่ลี่ (ตั้ง)</t>
  </si>
  <si>
    <t>คิ้วสำหรับกระจกมู่ลี่ (นอน)</t>
  </si>
  <si>
    <t>ยางอัด</t>
  </si>
  <si>
    <t>ยางรอง</t>
  </si>
  <si>
    <t>ยางลูกโป่ง 6mm</t>
  </si>
  <si>
    <t>F7974</t>
  </si>
  <si>
    <t>ชนกลางบานคู่</t>
  </si>
  <si>
    <t>F7961</t>
  </si>
  <si>
    <t>รับล็อคเฟรมข้างบานคู่</t>
  </si>
  <si>
    <t>H-55-25</t>
  </si>
  <si>
    <t>(W-18-9.5-(8x1)-50-18)/2</t>
  </si>
  <si>
    <t>(W-18-9.5-(8x3)-50-18)/4</t>
  </si>
  <si>
    <t>สักหลาด 5mm</t>
  </si>
  <si>
    <t>(W-18-9.5-(8x5)-50-18)/6</t>
  </si>
  <si>
    <t>(W-18-9.5-(8x7)-50-18)/8</t>
  </si>
  <si>
    <t>(W-18-9.5-(8x9)-50-18)/10</t>
  </si>
  <si>
    <t>F7975</t>
  </si>
  <si>
    <t>บังใบ</t>
  </si>
  <si>
    <t>(W-18-9.5-(8x2)-18-18)/3</t>
  </si>
  <si>
    <t>สีฮาร์ดแวร์</t>
  </si>
  <si>
    <t>ขาว</t>
  </si>
  <si>
    <t>Parts list รายการฮาร์ดแวร์</t>
  </si>
  <si>
    <t>(W-18-9.5-(8x4)-18-18)/5</t>
  </si>
  <si>
    <t>(W-18-9.5-(8x6)-18-18)/7</t>
  </si>
  <si>
    <t>จำนวน
รวม</t>
  </si>
  <si>
    <t>(W-18-9.5-(8x8)-18-18)/9</t>
  </si>
  <si>
    <t>F7962</t>
  </si>
  <si>
    <t>รับล็อคบานคู่+บานคี่</t>
  </si>
  <si>
    <t>(W-18-9.5-(8x1)
-58-9.5-18)/3</t>
  </si>
  <si>
    <t>(W-18-9.5-(8x3)
-58-9.5-18)/5</t>
  </si>
  <si>
    <t>(W-18-9.5-(8x5)
-58-9.5-18)/7</t>
  </si>
  <si>
    <t>(W-18-9.5-(8x7)
-58-9.5-18)/9</t>
  </si>
  <si>
    <t>(W-18-9.5-(8x2)
-23-9.5-18)/4</t>
  </si>
  <si>
    <t>HD-305  กลอนบานเฟี้ยม</t>
  </si>
  <si>
    <t>(W-18-9.5-(8x4)
-23-9.5-18)/6</t>
  </si>
  <si>
    <t>(W-18-9.5-(8x6)
-23-9.5-18)/8</t>
  </si>
  <si>
    <t>(W-18-9.5-(8x8)
-23-9.5-18)/10</t>
  </si>
  <si>
    <t>HD-1115 แป้นรับล็อคบานเปิด</t>
  </si>
  <si>
    <t>【2 Panel - 2 บาน】</t>
  </si>
  <si>
    <t>【3 Panel - 3 บาน】</t>
  </si>
  <si>
    <t>【4 Panel - 4 บาน】</t>
  </si>
  <si>
    <t>【5 Panel - 5 บาน】</t>
  </si>
  <si>
    <t>【6 Panel - 6 บาน】</t>
  </si>
  <si>
    <t>【7 Panel - 7 บาน】</t>
  </si>
  <si>
    <t>【8 Panel - 8 บาน】</t>
  </si>
  <si>
    <t>【9 Panel - 9 บาน】</t>
  </si>
  <si>
    <t>【10 Panel - 10 บาน】</t>
  </si>
  <si>
    <t>หมุดล็อค 9 x 9 (KIN LONG)</t>
  </si>
  <si>
    <t>ก้านสไลด์มัลติพ้อย (F7800 ฟูจิ) 
หรือตลาด</t>
  </si>
  <si>
    <t>จุดรับล็อค แบบเจาะ</t>
  </si>
  <si>
    <t>จุดรับล็อค แบบสกรู</t>
  </si>
  <si>
    <t>น้ำหนักรวม
ต่อ บาน</t>
  </si>
  <si>
    <t>น้ำหนักรวม</t>
  </si>
  <si>
    <t>(W-18-9.5-(8x2)-71
-9.5-18)/4</t>
  </si>
  <si>
    <t>(W-18-9.5-(8x6)-71
-9.5-18)/8</t>
  </si>
  <si>
    <t xml:space="preserve">ใบงาน : </t>
  </si>
  <si>
    <t>(W-18-9.5-(8x4)-71
-9.5-18)/6</t>
  </si>
  <si>
    <t>(W-18-9.5-(8x8)-71
-9.5-18)/10</t>
  </si>
  <si>
    <t>กรอบบานเฟี้ยม (ตั้ง) A</t>
  </si>
  <si>
    <t>กรอบบานเฟี้ยม (ตั้ง) B</t>
  </si>
  <si>
    <t>กรอบบานเฟี้ยม (ขวาง) A</t>
  </si>
  <si>
    <t>กรอบบานเฟี้ยม (ขวาง) B</t>
  </si>
  <si>
    <t>จำนวนบาน</t>
  </si>
  <si>
    <t>คู่ปิด A</t>
  </si>
  <si>
    <t>(W-18-9.5-(8x1)-62)/2</t>
  </si>
  <si>
    <t>(W-18-9.5-(8x3)-62)/4</t>
  </si>
  <si>
    <t>(W-18-9.5-(8x9)-62)/10</t>
  </si>
  <si>
    <t>(W-18-9.5-(8x7)-62)/8</t>
  </si>
  <si>
    <t>(W-18-9.5-(8x5)-62)/6</t>
  </si>
  <si>
    <t>คู่เปิด A</t>
  </si>
  <si>
    <t>(W-18-9.5-(8x1)-102)/2</t>
  </si>
  <si>
    <t>(W-18-9.5-(8x3)-102)/4</t>
  </si>
  <si>
    <t>(W-18-9.5-(8x5)-102)/6</t>
  </si>
  <si>
    <t>(W-18-9.5-(8x7)-102)/8</t>
  </si>
  <si>
    <t>(W-18-9.5-(8x9)-102)/10</t>
  </si>
  <si>
    <t>รางยู</t>
  </si>
  <si>
    <t>F7932</t>
  </si>
  <si>
    <t>H-75</t>
  </si>
  <si>
    <t>คู่ปิด B</t>
  </si>
  <si>
    <t>คู่เปิด B</t>
  </si>
  <si>
    <t>นอน</t>
  </si>
  <si>
    <t>ตั้ง A</t>
  </si>
  <si>
    <t>ตั้ง B</t>
  </si>
  <si>
    <t>เปิดบาน B</t>
  </si>
  <si>
    <t>ปิดบาน B</t>
  </si>
  <si>
    <t>เปิดบาน A</t>
  </si>
  <si>
    <t>ปิดบาน A</t>
  </si>
  <si>
    <t>เฟรมบนบานเฟี้ยม A</t>
  </si>
  <si>
    <t>เฟรมบนบานเฟี้ยม B</t>
  </si>
  <si>
    <t>เฟรมล่างบานเฟี้ยม A</t>
  </si>
  <si>
    <t>เฟรมล่างบานเฟี้ยม B</t>
  </si>
  <si>
    <t>ตบปิดเฟรม (นอน) A</t>
  </si>
  <si>
    <t>ตบปิดเฟรม (นอน) B</t>
  </si>
  <si>
    <t>W A</t>
  </si>
  <si>
    <t>W B</t>
  </si>
  <si>
    <t>W A-18</t>
  </si>
  <si>
    <t>W B-18</t>
  </si>
  <si>
    <t>W A-18-58</t>
  </si>
  <si>
    <t>W B-18-58</t>
  </si>
  <si>
    <t>รับล็อคเสาเข้ามุมบานคู่</t>
  </si>
  <si>
    <t>F7963</t>
  </si>
  <si>
    <t>A</t>
  </si>
  <si>
    <t>B</t>
  </si>
  <si>
    <t>คิ้วกระจก5-12มิล (ตั้ง) A</t>
  </si>
  <si>
    <t>คิ้วกระจก5-12มิล (นอน) B</t>
  </si>
  <si>
    <t>คิ้วกระจก14-20มิล (ตั้ง) A</t>
  </si>
  <si>
    <t xml:space="preserve"> </t>
  </si>
  <si>
    <t>คิ้วกระจก14-20มิล (นอน) A</t>
  </si>
  <si>
    <t>คิ้วสำหรับกระจกมู่ลี่ (ตั้ง) A</t>
  </si>
  <si>
    <t>คิ้วสำหรับกระจกมู่ลี่ (นอน) A</t>
  </si>
  <si>
    <t>คิ้วกระจก14-20มิล (ตั้ง) B</t>
  </si>
  <si>
    <t>คิ้วกระจก14-20มิล (นอน) B</t>
  </si>
  <si>
    <t>คิ้วสำหรับกระจกมู่ลี่ (ตั้ง) B</t>
  </si>
  <si>
    <t>คิ้วสำหรับกระจกมู่ลี่ (นอน) B</t>
  </si>
  <si>
    <t>คิ้วกระจก5-12มิล (นอน) A</t>
  </si>
  <si>
    <t>คิ้วกระจก5-12มิล (ตั้ง) B</t>
  </si>
  <si>
    <t>เสาเข้ามุม</t>
  </si>
  <si>
    <t>F7964</t>
  </si>
  <si>
    <t>น้ำหนักรวม
ต่อ บาน B</t>
  </si>
  <si>
    <t>ด้าน B</t>
  </si>
  <si>
    <t>ด้าน A</t>
  </si>
  <si>
    <t>กระจก A</t>
  </si>
  <si>
    <t>กระจก B</t>
  </si>
  <si>
    <t>W-18-9.5-77</t>
  </si>
  <si>
    <t>(W-18-9.5-(8x2)-77)/3</t>
  </si>
  <si>
    <t>(W-18-9.5-(8x4)-77)/5</t>
  </si>
  <si>
    <t>(W-18-9.5-(8x6)-77)/7</t>
  </si>
  <si>
    <t>(W-18-9.5-(8x8)-77)/9</t>
  </si>
  <si>
    <t>บานคี่</t>
  </si>
  <si>
    <t>บานคู่</t>
  </si>
  <si>
    <t>เฟรมบนบานเฟี้ยม  (บานคี่)</t>
  </si>
  <si>
    <t>เฟรมบนบานเฟี้ยม (บานคี่)</t>
  </si>
  <si>
    <t>เฟรมล่างบานเฟี้ยม (บานคี่)</t>
  </si>
  <si>
    <t>ตบปิดเฟรม (นอน) (บานคี่)</t>
  </si>
  <si>
    <t>กรอบบานเฟี้ยม (ตั้ง) (บานคี่)</t>
  </si>
  <si>
    <t>กรอบบานเฟี้ยม (ขวาง) (บานคี่)</t>
  </si>
  <si>
    <t>คิ้วกระจก5-12มิล (ตั้ง) (บานคี่)</t>
  </si>
  <si>
    <t>คิ้วกระจก14-20มิล (ตั้ง) (บานคี่)</t>
  </si>
  <si>
    <t>คิ้วสำหรับกระจกมู่ลี่ (ตั้ง) (บานคี่)</t>
  </si>
  <si>
    <t>คิ้วกระจก5-12มิล (ตั้ง) (บานคู่)</t>
  </si>
  <si>
    <t>คิ้วกระจก14-20มิล (ตั้ง) (บานคู่)</t>
  </si>
  <si>
    <t>คิ้วสำหรับกระจกมู่ลี่ (ตั้ง) (บานคู่)</t>
  </si>
  <si>
    <t>เฟรมล่างบานเฟี้ยม (บานคู่)</t>
  </si>
  <si>
    <t>ตบปิดเฟรม (นอน) (บานคู่)</t>
  </si>
  <si>
    <t>กรอบบานเฟี้ยม (ตั้ง) (บานคู่)</t>
  </si>
  <si>
    <t>กรอบบานเฟี้ยม (ขวาง) (บานคู่)</t>
  </si>
  <si>
    <t>คิ้ว</t>
  </si>
  <si>
    <t>ขวาง</t>
  </si>
  <si>
    <t>กรอบบานเฟี้ยม (บานคู่)</t>
  </si>
  <si>
    <t>กรอบบานเฟี้ยม (บานคี่)</t>
  </si>
  <si>
    <t>คิ้วกระจก14-20มิล (ขวาง) (บานคู่)</t>
  </si>
  <si>
    <t>คิ้วสำหรับกระจกมู่ลี่ (ขวาง) (บานคู่)</t>
  </si>
  <si>
    <t>คิ้วกระจก5-12มิล (ขวาง) (บานคู่)</t>
  </si>
  <si>
    <t>คิ้วกระจก5-12มิล (ขวาง) (บานคี่)</t>
  </si>
  <si>
    <t>คิ้วกระจก14-20มิล (ขวาง) (บานคี่)</t>
  </si>
  <si>
    <t>คิ้วสำหรับกระจกมู่ลี่ (ขวาง) (บานคี่)</t>
  </si>
  <si>
    <t>บานคี่ ปิด</t>
  </si>
  <si>
    <t>บานคี่ เปิด</t>
  </si>
  <si>
    <t>W-18-9.5-62</t>
  </si>
  <si>
    <t>(W-18-9.5-(8x2)-62)/3</t>
  </si>
  <si>
    <t>(W-18-9.5-(8x4)-62)/5</t>
  </si>
  <si>
    <t>(W-18-9.5-(8x6)-62)/7</t>
  </si>
  <si>
    <t>(W-18-9.5-(8x8)-62)/9</t>
  </si>
  <si>
    <t>บานคู่ ปิด</t>
  </si>
  <si>
    <t>ตบปิดเฟรม (นอน) (บานคี่ ปิด)</t>
  </si>
  <si>
    <t>กรอบบานเฟี้ยม (ตั้ง) (บานคี่ ปิด)</t>
  </si>
  <si>
    <t>กรอบบานเฟี้ยม (ขวาง) (บานคี่ ปิด)</t>
  </si>
  <si>
    <t>เฟรมล่างบานเฟี้ยม (บานคี่ ปิด)</t>
  </si>
  <si>
    <t>เฟรมบนบานเฟี้ยม (บานคี่ เปิด)</t>
  </si>
  <si>
    <t>เฟรมบนบานเฟี้ยม  (บานคี่ ปิด)</t>
  </si>
  <si>
    <t>เฟรมล่างบานเฟี้ยม (บานคี่ เปิด)</t>
  </si>
  <si>
    <t>ตบปิดเฟรม (นอน) (บานคี่ เปิด)</t>
  </si>
  <si>
    <t>กรอบบานเฟี้ยม (ตั้ง) (บานคี่ เปิด)</t>
  </si>
  <si>
    <t>กรอบบานเฟี้ยม (ขวาง) (บานคี่ เปิด)</t>
  </si>
  <si>
    <t>คิ้วกระจก5-12มิล (ตั้ง) (บานคี่ เปิด)</t>
  </si>
  <si>
    <t>คิ้วกระจก5-12มิล (ขวาง) (บานคี่ เปิด)</t>
  </si>
  <si>
    <t>คิ้วกระจก14-20มิล (ตั้ง) (บานคี่ เปิด)</t>
  </si>
  <si>
    <t>คิ้วกระจก14-20มิล (ขวาง) (บานคี่ เปิด)</t>
  </si>
  <si>
    <t>คิ้วสำหรับกระจกมู่ลี่ (ตั้ง) (บานคี่ เปิด)</t>
  </si>
  <si>
    <t>คิ้วสำหรับกระจกมู่ลี่ (ขวาง) (บานคี่ เปิด)</t>
  </si>
  <si>
    <t>คิ้วกระจก5-12มิล (ตั้ง) (บานคี่ ปิด)</t>
  </si>
  <si>
    <t>คิ้วกระจก5-12มิล (ขวาง) (บานคี่ ปิด)</t>
  </si>
  <si>
    <t>คิ้วกระจก14-20มิล (ตั้ง) (บานคี่ ปิด)</t>
  </si>
  <si>
    <t>คิ้วกระจก14-20มิล (ขวาง) (บานคี่ ปิด)</t>
  </si>
  <si>
    <t>คิ้วสำหรับกระจกมู่ลี่ (ตั้ง) (บานคี่ ปิด)</t>
  </si>
  <si>
    <t>คิ้วสำหรับกระจกมู่ลี่ (ขวาง) (บานคี่ ปิด)</t>
  </si>
  <si>
    <t>【บานเฟื้ยมเข้ามุม】</t>
  </si>
  <si>
    <t>รางยู A</t>
  </si>
  <si>
    <t>รางยู B</t>
  </si>
  <si>
    <t>รางยู (บานคี่)</t>
  </si>
  <si>
    <t>รางยู (บานคู่)</t>
  </si>
  <si>
    <t>รางยู (บานคี่ เปิด)</t>
  </si>
  <si>
    <t>รางยู (บานคี่ ปิด)</t>
  </si>
  <si>
    <t>HS+4</t>
  </si>
  <si>
    <t>H-55-7-7-25</t>
  </si>
  <si>
    <t>ใบงาน : คุณหลิว D1</t>
  </si>
  <si>
    <t>ก้านสไลด์มัลติพ้อย
หรือตลาด</t>
  </si>
  <si>
    <t>ใบงาน : คุณหลิว  WA-01.2</t>
  </si>
  <si>
    <t>HS</t>
  </si>
  <si>
    <t>H-55-7-7</t>
  </si>
  <si>
    <t xml:space="preserve">ใบงาน : ช่างยุทธ </t>
  </si>
  <si>
    <t>ใบงาน : คุณจิว</t>
  </si>
  <si>
    <t>ใบงาน :  ซิตี้กาลส สุพรรณ</t>
  </si>
  <si>
    <t>ใบงาน :  เฟื้ยมเข้ามุม3+2 บูทเชียงใหม่</t>
  </si>
  <si>
    <t>ใบงาน :  ไทยรุ่งกิจ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</si>
</sst>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7" formatCode="0.0"/>
    <numFmt numFmtId="188" formatCode="#,##0\ &quot;mm&quot;"/>
    <numFmt numFmtId="189" formatCode="#,##0\ &quot;M&quot;"/>
    <numFmt numFmtId="190" formatCode="#,##0.0\ &quot;M&quot;"/>
    <numFmt numFmtId="191" formatCode="#,##0\ &quot;kg.&quot;\ &quot; / บาน&quot;"/>
    <numFmt numFmtId="192" formatCode="&quot;รวม&quot;\ #,##0\ &quot;kg.&quot;"/>
  </numFmts>
  <fonts count="17" x14ac:knownFonts="1">
    <font>
      <sz val="11"/>
      <color theme="1"/>
      <name val="Tahoma"/>
      <family val="2"/>
      <charset val="222"/>
      <scheme val="minor"/>
    </font>
    <font>
      <b/>
      <sz val="28"/>
      <color theme="1"/>
      <name val="Tahoma"/>
      <family val="2"/>
      <scheme val="minor"/>
    </font>
    <font>
      <b/>
      <sz val="11"/>
      <color rgb="FF000000"/>
      <name val="Tahoma"/>
      <family val="2"/>
    </font>
    <font>
      <sz val="16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6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sz val="14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20"/>
      <color theme="1"/>
      <name val="Tahoma"/>
      <family val="2"/>
      <charset val="222"/>
      <scheme val="minor"/>
    </font>
    <font>
      <sz val="12"/>
      <name val="Tahoma"/>
      <family val="2"/>
      <charset val="222"/>
      <scheme val="minor"/>
    </font>
    <font>
      <b/>
      <sz val="26"/>
      <color theme="1"/>
      <name val="Tahoma"/>
      <family val="2"/>
      <scheme val="minor"/>
    </font>
    <font>
      <sz val="24"/>
      <color theme="1"/>
      <name val="Tahoma"/>
      <family val="2"/>
      <charset val="222"/>
      <scheme val="minor"/>
    </font>
    <font>
      <b/>
      <sz val="14"/>
      <color theme="1"/>
      <name val="Tahoma"/>
      <family val="2"/>
      <scheme val="minor"/>
    </font>
    <font>
      <sz val="12.5"/>
      <color theme="1"/>
      <name val="Tahoma"/>
      <family val="2"/>
      <charset val="22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5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187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0" borderId="0" xfId="0" applyFont="1" applyProtection="1"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187" fontId="0" fillId="2" borderId="0" xfId="0" applyNumberForma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187" fontId="0" fillId="0" borderId="0" xfId="0" applyNumberForma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187" fontId="3" fillId="2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187" fontId="4" fillId="0" borderId="1" xfId="0" applyNumberFormat="1" applyFont="1" applyBorder="1" applyAlignment="1" applyProtection="1">
      <alignment horizontal="center" vertical="center"/>
    </xf>
    <xf numFmtId="0" fontId="0" fillId="0" borderId="0" xfId="0" applyProtection="1"/>
    <xf numFmtId="0" fontId="4" fillId="0" borderId="2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 vertical="center"/>
    </xf>
    <xf numFmtId="187" fontId="0" fillId="0" borderId="0" xfId="0" applyNumberFormat="1" applyBorder="1" applyAlignment="1" applyProtection="1">
      <alignment horizontal="center" vertical="center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" vertical="center"/>
    </xf>
    <xf numFmtId="187" fontId="0" fillId="0" borderId="0" xfId="0" applyNumberFormat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187" fontId="4" fillId="0" borderId="1" xfId="0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4" fillId="5" borderId="2" xfId="0" applyFont="1" applyFill="1" applyBorder="1" applyAlignment="1" applyProtection="1">
      <alignment horizontal="left" vertical="center"/>
    </xf>
    <xf numFmtId="0" fontId="0" fillId="5" borderId="1" xfId="0" applyFill="1" applyBorder="1" applyProtection="1"/>
    <xf numFmtId="189" fontId="4" fillId="5" borderId="1" xfId="0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left" vertical="center"/>
    </xf>
    <xf numFmtId="187" fontId="4" fillId="5" borderId="1" xfId="0" applyNumberFormat="1" applyFont="1" applyFill="1" applyBorder="1" applyAlignment="1" applyProtection="1">
      <alignment horizontal="center" vertical="center"/>
    </xf>
    <xf numFmtId="187" fontId="4" fillId="0" borderId="0" xfId="0" applyNumberFormat="1" applyFont="1" applyAlignment="1" applyProtection="1">
      <alignment horizontal="center" vertical="center"/>
      <protection locked="0"/>
    </xf>
    <xf numFmtId="187" fontId="4" fillId="3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188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</xf>
    <xf numFmtId="187" fontId="4" fillId="0" borderId="6" xfId="0" applyNumberFormat="1" applyFont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Protection="1"/>
    <xf numFmtId="0" fontId="4" fillId="5" borderId="1" xfId="0" applyFont="1" applyFill="1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1" xfId="0" applyBorder="1" applyAlignment="1" applyProtection="1">
      <alignment horizontal="left" vertical="center"/>
    </xf>
    <xf numFmtId="0" fontId="0" fillId="7" borderId="0" xfId="0" applyFill="1"/>
    <xf numFmtId="0" fontId="1" fillId="7" borderId="0" xfId="0" applyFont="1" applyFill="1" applyBorder="1"/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0" fillId="7" borderId="0" xfId="0" applyFill="1" applyBorder="1"/>
    <xf numFmtId="0" fontId="2" fillId="7" borderId="0" xfId="0" applyFont="1" applyFill="1" applyAlignment="1">
      <alignment horizontal="left"/>
    </xf>
    <xf numFmtId="0" fontId="4" fillId="0" borderId="1" xfId="0" applyFont="1" applyBorder="1" applyAlignment="1" applyProtection="1">
      <alignment horizontal="left" vertical="center" wrapText="1"/>
      <protection locked="0"/>
    </xf>
    <xf numFmtId="190" fontId="4" fillId="0" borderId="1" xfId="0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 wrapText="1"/>
    </xf>
    <xf numFmtId="191" fontId="9" fillId="0" borderId="1" xfId="0" applyNumberFormat="1" applyFont="1" applyBorder="1" applyAlignment="1" applyProtection="1">
      <alignment horizontal="center" vertical="center"/>
    </xf>
    <xf numFmtId="192" fontId="4" fillId="0" borderId="1" xfId="0" applyNumberFormat="1" applyFont="1" applyBorder="1" applyAlignment="1" applyProtection="1">
      <alignment horizontal="center" vertical="center"/>
    </xf>
    <xf numFmtId="188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 applyProtection="1">
      <alignment horizontal="center" vertical="center"/>
    </xf>
    <xf numFmtId="0" fontId="0" fillId="0" borderId="0" xfId="0" quotePrefix="1" applyProtection="1">
      <protection locked="0"/>
    </xf>
    <xf numFmtId="187" fontId="12" fillId="0" borderId="1" xfId="0" applyNumberFormat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left" vertical="center"/>
      <protection locked="0"/>
    </xf>
    <xf numFmtId="0" fontId="4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/>
    </xf>
    <xf numFmtId="0" fontId="8" fillId="2" borderId="5" xfId="0" applyFont="1" applyFill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left" vertical="center"/>
      <protection locked="0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/>
    </xf>
    <xf numFmtId="0" fontId="0" fillId="0" borderId="0" xfId="0" applyBorder="1" applyProtection="1"/>
    <xf numFmtId="0" fontId="4" fillId="0" borderId="0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 applyProtection="1">
      <alignment horizontal="left" vertical="center"/>
    </xf>
    <xf numFmtId="187" fontId="4" fillId="0" borderId="6" xfId="0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/>
    </xf>
    <xf numFmtId="0" fontId="8" fillId="0" borderId="5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3" fillId="8" borderId="10" xfId="0" applyFont="1" applyFill="1" applyBorder="1" applyAlignment="1" applyProtection="1">
      <alignment horizontal="center" vertical="center"/>
      <protection locked="0"/>
    </xf>
    <xf numFmtId="0" fontId="3" fillId="8" borderId="11" xfId="0" applyFont="1" applyFill="1" applyBorder="1" applyAlignment="1" applyProtection="1">
      <alignment horizontal="center" vertical="center"/>
      <protection locked="0"/>
    </xf>
    <xf numFmtId="0" fontId="3" fillId="8" borderId="12" xfId="0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4" fillId="5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187" fontId="8" fillId="3" borderId="1" xfId="0" applyNumberFormat="1" applyFont="1" applyFill="1" applyBorder="1" applyAlignment="1" applyProtection="1">
      <alignment horizontal="center" vertical="center"/>
      <protection locked="0"/>
    </xf>
    <xf numFmtId="187" fontId="8" fillId="3" borderId="1" xfId="0" applyNumberFormat="1" applyFont="1" applyFill="1" applyBorder="1" applyAlignment="1" applyProtection="1">
      <alignment horizontal="center" vertical="center"/>
      <protection locked="0"/>
    </xf>
    <xf numFmtId="188" fontId="8" fillId="0" borderId="1" xfId="0" applyNumberFormat="1" applyFont="1" applyBorder="1" applyAlignment="1" applyProtection="1">
      <alignment horizontal="center" vertical="center"/>
      <protection locked="0"/>
    </xf>
    <xf numFmtId="188" fontId="8" fillId="0" borderId="1" xfId="0" applyNumberFormat="1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</xf>
    <xf numFmtId="187" fontId="4" fillId="3" borderId="1" xfId="0" applyNumberFormat="1" applyFont="1" applyFill="1" applyBorder="1" applyAlignment="1" applyProtection="1">
      <alignment horizontal="center" vertical="center"/>
      <protection locked="0"/>
    </xf>
    <xf numFmtId="188" fontId="4" fillId="0" borderId="1" xfId="0" applyNumberFormat="1" applyFont="1" applyBorder="1" applyAlignment="1" applyProtection="1">
      <alignment horizontal="center" vertical="center"/>
      <protection locked="0"/>
    </xf>
    <xf numFmtId="187" fontId="8" fillId="3" borderId="1" xfId="0" applyNumberFormat="1" applyFont="1" applyFill="1" applyBorder="1" applyAlignment="1" applyProtection="1">
      <alignment horizontal="center" vertical="center"/>
      <protection locked="0"/>
    </xf>
    <xf numFmtId="188" fontId="8" fillId="0" borderId="1" xfId="0" applyNumberFormat="1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left" vertical="center"/>
    </xf>
    <xf numFmtId="187" fontId="4" fillId="0" borderId="0" xfId="0" applyNumberFormat="1" applyFont="1" applyBorder="1" applyAlignment="1" applyProtection="1">
      <alignment horizontal="center" vertical="center"/>
    </xf>
    <xf numFmtId="0" fontId="0" fillId="9" borderId="0" xfId="0" applyFill="1"/>
    <xf numFmtId="0" fontId="1" fillId="9" borderId="0" xfId="0" applyFont="1" applyFill="1" applyBorder="1"/>
    <xf numFmtId="0" fontId="0" fillId="9" borderId="0" xfId="0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9" borderId="0" xfId="0" applyFill="1" applyBorder="1"/>
    <xf numFmtId="0" fontId="2" fillId="9" borderId="0" xfId="0" applyFont="1" applyFill="1" applyAlignment="1">
      <alignment horizontal="left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87" fontId="0" fillId="0" borderId="0" xfId="0" applyNumberFormat="1" applyProtection="1"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3" fillId="4" borderId="5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/>
    </xf>
    <xf numFmtId="0" fontId="4" fillId="0" borderId="5" xfId="0" applyFont="1" applyFill="1" applyBorder="1" applyAlignment="1" applyProtection="1">
      <alignment horizontal="center" vertical="center"/>
    </xf>
    <xf numFmtId="0" fontId="4" fillId="5" borderId="4" xfId="0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 applyProtection="1">
      <alignment horizontal="center" vertical="center"/>
    </xf>
    <xf numFmtId="0" fontId="4" fillId="5" borderId="5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187" fontId="4" fillId="3" borderId="1" xfId="0" applyNumberFormat="1" applyFont="1" applyFill="1" applyBorder="1" applyAlignment="1" applyProtection="1">
      <alignment horizontal="center" vertical="center"/>
      <protection locked="0"/>
    </xf>
    <xf numFmtId="188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187" fontId="8" fillId="3" borderId="1" xfId="0" applyNumberFormat="1" applyFont="1" applyFill="1" applyBorder="1" applyAlignment="1" applyProtection="1">
      <alignment horizontal="center" vertical="center"/>
      <protection locked="0"/>
    </xf>
    <xf numFmtId="188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4" fillId="6" borderId="4" xfId="0" applyFont="1" applyFill="1" applyBorder="1" applyAlignment="1" applyProtection="1">
      <alignment horizontal="center" vertical="center"/>
    </xf>
    <xf numFmtId="0" fontId="4" fillId="6" borderId="5" xfId="0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956"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strike val="0"/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INDEX &#3619;&#3634;&#3591;&#3618;&#3641;'!A1"/><Relationship Id="rId2" Type="http://schemas.openxmlformats.org/officeDocument/2006/relationships/image" Target="../media/image1.emf"/><Relationship Id="rId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5.emf"/><Relationship Id="rId21" Type="http://schemas.openxmlformats.org/officeDocument/2006/relationships/hyperlink" Target="#'7P 7-0'!A1"/><Relationship Id="rId42" Type="http://schemas.openxmlformats.org/officeDocument/2006/relationships/image" Target="../media/image23.emf"/><Relationship Id="rId47" Type="http://schemas.openxmlformats.org/officeDocument/2006/relationships/hyperlink" Target="#'7P 5-2'!A1"/><Relationship Id="rId63" Type="http://schemas.openxmlformats.org/officeDocument/2006/relationships/hyperlink" Target="#'10P 6-4'!A1"/><Relationship Id="rId68" Type="http://schemas.openxmlformats.org/officeDocument/2006/relationships/image" Target="../media/image36.emf"/><Relationship Id="rId2" Type="http://schemas.openxmlformats.org/officeDocument/2006/relationships/image" Target="../media/image3.emf"/><Relationship Id="rId16" Type="http://schemas.openxmlformats.org/officeDocument/2006/relationships/image" Target="../media/image10.emf"/><Relationship Id="rId29" Type="http://schemas.openxmlformats.org/officeDocument/2006/relationships/hyperlink" Target="#'9P 9-0'!A1"/><Relationship Id="rId11" Type="http://schemas.openxmlformats.org/officeDocument/2006/relationships/hyperlink" Target="#'5P 5-0'!A1"/><Relationship Id="rId24" Type="http://schemas.openxmlformats.org/officeDocument/2006/relationships/image" Target="../media/image14.emf"/><Relationship Id="rId32" Type="http://schemas.openxmlformats.org/officeDocument/2006/relationships/image" Target="../media/image18.emf"/><Relationship Id="rId37" Type="http://schemas.openxmlformats.org/officeDocument/2006/relationships/hyperlink" Target="#'4P 2-2'!A1"/><Relationship Id="rId40" Type="http://schemas.openxmlformats.org/officeDocument/2006/relationships/image" Target="../media/image22.emf"/><Relationship Id="rId45" Type="http://schemas.openxmlformats.org/officeDocument/2006/relationships/hyperlink" Target="#'7P 4-3'!A1"/><Relationship Id="rId53" Type="http://schemas.openxmlformats.org/officeDocument/2006/relationships/hyperlink" Target="#'9P 5-4'!A1"/><Relationship Id="rId58" Type="http://schemas.openxmlformats.org/officeDocument/2006/relationships/image" Target="../media/image31.emf"/><Relationship Id="rId66" Type="http://schemas.openxmlformats.org/officeDocument/2006/relationships/image" Target="../media/image35.emf"/><Relationship Id="rId5" Type="http://schemas.openxmlformats.org/officeDocument/2006/relationships/hyperlink" Target="#'3P 2-1'!A1"/><Relationship Id="rId61" Type="http://schemas.openxmlformats.org/officeDocument/2006/relationships/hyperlink" Target="#'10P 7-3'!A1"/><Relationship Id="rId19" Type="http://schemas.openxmlformats.org/officeDocument/2006/relationships/hyperlink" Target="#'6P 5-1'!A1"/><Relationship Id="rId14" Type="http://schemas.openxmlformats.org/officeDocument/2006/relationships/image" Target="../media/image9.emf"/><Relationship Id="rId22" Type="http://schemas.openxmlformats.org/officeDocument/2006/relationships/image" Target="../media/image13.emf"/><Relationship Id="rId27" Type="http://schemas.openxmlformats.org/officeDocument/2006/relationships/hyperlink" Target="#'8P 7-1'!A1"/><Relationship Id="rId30" Type="http://schemas.openxmlformats.org/officeDocument/2006/relationships/image" Target="../media/image17.emf"/><Relationship Id="rId35" Type="http://schemas.openxmlformats.org/officeDocument/2006/relationships/hyperlink" Target="#'10P 9-1'!A1"/><Relationship Id="rId43" Type="http://schemas.openxmlformats.org/officeDocument/2006/relationships/hyperlink" Target="#'8P 4-4'!A1"/><Relationship Id="rId48" Type="http://schemas.openxmlformats.org/officeDocument/2006/relationships/image" Target="../media/image26.emf"/><Relationship Id="rId56" Type="http://schemas.openxmlformats.org/officeDocument/2006/relationships/image" Target="../media/image30.emf"/><Relationship Id="rId64" Type="http://schemas.openxmlformats.org/officeDocument/2006/relationships/image" Target="../media/image34.emf"/><Relationship Id="rId69" Type="http://schemas.openxmlformats.org/officeDocument/2006/relationships/hyperlink" Target="#'CORNER &#3588;&#3637;&#3656;+&#3588;&#3641;&#3656;'!A1"/><Relationship Id="rId8" Type="http://schemas.openxmlformats.org/officeDocument/2006/relationships/image" Target="../media/image6.emf"/><Relationship Id="rId51" Type="http://schemas.openxmlformats.org/officeDocument/2006/relationships/hyperlink" Target="#'8P 6-2'!A1"/><Relationship Id="rId72" Type="http://schemas.openxmlformats.org/officeDocument/2006/relationships/image" Target="../media/image38.emf"/><Relationship Id="rId3" Type="http://schemas.openxmlformats.org/officeDocument/2006/relationships/hyperlink" Target="#'3P 3-0'!A1"/><Relationship Id="rId12" Type="http://schemas.openxmlformats.org/officeDocument/2006/relationships/image" Target="../media/image8.emf"/><Relationship Id="rId17" Type="http://schemas.openxmlformats.org/officeDocument/2006/relationships/hyperlink" Target="#'6P 6-0'!A1"/><Relationship Id="rId25" Type="http://schemas.openxmlformats.org/officeDocument/2006/relationships/hyperlink" Target="#'8P 8-0'!A1"/><Relationship Id="rId33" Type="http://schemas.openxmlformats.org/officeDocument/2006/relationships/hyperlink" Target="#'10P 10-0'!A1"/><Relationship Id="rId38" Type="http://schemas.openxmlformats.org/officeDocument/2006/relationships/image" Target="../media/image21.emf"/><Relationship Id="rId46" Type="http://schemas.openxmlformats.org/officeDocument/2006/relationships/image" Target="../media/image25.emf"/><Relationship Id="rId59" Type="http://schemas.openxmlformats.org/officeDocument/2006/relationships/hyperlink" Target="#'10P 8-2'!A1"/><Relationship Id="rId67" Type="http://schemas.openxmlformats.org/officeDocument/2006/relationships/hyperlink" Target="#'CORNER &#3588;&#3641;&#3656;+&#3588;&#3641;&#3656;'!A1"/><Relationship Id="rId20" Type="http://schemas.openxmlformats.org/officeDocument/2006/relationships/image" Target="../media/image12.emf"/><Relationship Id="rId41" Type="http://schemas.openxmlformats.org/officeDocument/2006/relationships/hyperlink" Target="#'6P 3-3'!A1"/><Relationship Id="rId54" Type="http://schemas.openxmlformats.org/officeDocument/2006/relationships/image" Target="../media/image29.emf"/><Relationship Id="rId62" Type="http://schemas.openxmlformats.org/officeDocument/2006/relationships/image" Target="../media/image33.emf"/><Relationship Id="rId70" Type="http://schemas.openxmlformats.org/officeDocument/2006/relationships/image" Target="../media/image37.emf"/><Relationship Id="rId1" Type="http://schemas.openxmlformats.org/officeDocument/2006/relationships/hyperlink" Target="#'2P 2-0'!A1"/><Relationship Id="rId6" Type="http://schemas.openxmlformats.org/officeDocument/2006/relationships/image" Target="../media/image5.emf"/><Relationship Id="rId15" Type="http://schemas.openxmlformats.org/officeDocument/2006/relationships/hyperlink" Target="#'5P 3-2'!A1"/><Relationship Id="rId23" Type="http://schemas.openxmlformats.org/officeDocument/2006/relationships/hyperlink" Target="#'7P 6-1'!A1"/><Relationship Id="rId28" Type="http://schemas.openxmlformats.org/officeDocument/2006/relationships/image" Target="../media/image16.emf"/><Relationship Id="rId36" Type="http://schemas.openxmlformats.org/officeDocument/2006/relationships/image" Target="../media/image20.emf"/><Relationship Id="rId49" Type="http://schemas.openxmlformats.org/officeDocument/2006/relationships/hyperlink" Target="#'8P 5-3'!A1"/><Relationship Id="rId57" Type="http://schemas.openxmlformats.org/officeDocument/2006/relationships/hyperlink" Target="#'9P 7-2'!A1"/><Relationship Id="rId10" Type="http://schemas.openxmlformats.org/officeDocument/2006/relationships/image" Target="../media/image7.emf"/><Relationship Id="rId31" Type="http://schemas.openxmlformats.org/officeDocument/2006/relationships/hyperlink" Target="#'9P 8-1'!A1"/><Relationship Id="rId44" Type="http://schemas.openxmlformats.org/officeDocument/2006/relationships/image" Target="../media/image24.emf"/><Relationship Id="rId52" Type="http://schemas.openxmlformats.org/officeDocument/2006/relationships/image" Target="../media/image28.emf"/><Relationship Id="rId60" Type="http://schemas.openxmlformats.org/officeDocument/2006/relationships/image" Target="../media/image32.emf"/><Relationship Id="rId65" Type="http://schemas.openxmlformats.org/officeDocument/2006/relationships/hyperlink" Target="#'10P 5-5'!A1"/><Relationship Id="rId73" Type="http://schemas.openxmlformats.org/officeDocument/2006/relationships/hyperlink" Target="#INDEX!A1"/><Relationship Id="rId4" Type="http://schemas.openxmlformats.org/officeDocument/2006/relationships/image" Target="../media/image4.emf"/><Relationship Id="rId9" Type="http://schemas.openxmlformats.org/officeDocument/2006/relationships/hyperlink" Target="#'4P 3-1'!A1"/><Relationship Id="rId13" Type="http://schemas.openxmlformats.org/officeDocument/2006/relationships/hyperlink" Target="#'5P 4-1'!A1"/><Relationship Id="rId18" Type="http://schemas.openxmlformats.org/officeDocument/2006/relationships/image" Target="../media/image11.emf"/><Relationship Id="rId39" Type="http://schemas.openxmlformats.org/officeDocument/2006/relationships/hyperlink" Target="#'6P 4-2'!A1"/><Relationship Id="rId34" Type="http://schemas.openxmlformats.org/officeDocument/2006/relationships/image" Target="../media/image19.emf"/><Relationship Id="rId50" Type="http://schemas.openxmlformats.org/officeDocument/2006/relationships/image" Target="../media/image27.emf"/><Relationship Id="rId55" Type="http://schemas.openxmlformats.org/officeDocument/2006/relationships/hyperlink" Target="#'9P 6-3'!A1"/><Relationship Id="rId7" Type="http://schemas.openxmlformats.org/officeDocument/2006/relationships/hyperlink" Target="#'4P 4-0'!A1"/><Relationship Id="rId71" Type="http://schemas.openxmlformats.org/officeDocument/2006/relationships/hyperlink" Target="#'CORNER &#3588;&#3637;&#3656;+&#3588;&#3637;&#3656;'!A1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2.emf"/><Relationship Id="rId21" Type="http://schemas.openxmlformats.org/officeDocument/2006/relationships/hyperlink" Target="#'5P 3-2 (U)'!A1"/><Relationship Id="rId42" Type="http://schemas.openxmlformats.org/officeDocument/2006/relationships/image" Target="../media/image20.emf"/><Relationship Id="rId47" Type="http://schemas.openxmlformats.org/officeDocument/2006/relationships/hyperlink" Target="#'6P 3-3 (U)'!A1"/><Relationship Id="rId63" Type="http://schemas.openxmlformats.org/officeDocument/2006/relationships/hyperlink" Target="#'9P 7-2 (U)'!A1"/><Relationship Id="rId68" Type="http://schemas.openxmlformats.org/officeDocument/2006/relationships/image" Target="../media/image33.emf"/><Relationship Id="rId16" Type="http://schemas.openxmlformats.org/officeDocument/2006/relationships/image" Target="../media/image7.emf"/><Relationship Id="rId11" Type="http://schemas.openxmlformats.org/officeDocument/2006/relationships/hyperlink" Target="#'3P 2-1 (U)'!A1"/><Relationship Id="rId24" Type="http://schemas.openxmlformats.org/officeDocument/2006/relationships/image" Target="../media/image11.emf"/><Relationship Id="rId32" Type="http://schemas.openxmlformats.org/officeDocument/2006/relationships/image" Target="../media/image15.emf"/><Relationship Id="rId37" Type="http://schemas.openxmlformats.org/officeDocument/2006/relationships/hyperlink" Target="#'9P 8-1 (U)'!A1"/><Relationship Id="rId40" Type="http://schemas.openxmlformats.org/officeDocument/2006/relationships/image" Target="../media/image19.emf"/><Relationship Id="rId45" Type="http://schemas.openxmlformats.org/officeDocument/2006/relationships/hyperlink" Target="#'6P 4-2 (U)'!A1"/><Relationship Id="rId53" Type="http://schemas.openxmlformats.org/officeDocument/2006/relationships/hyperlink" Target="#'7P 5-2  (U)'!A1"/><Relationship Id="rId58" Type="http://schemas.openxmlformats.org/officeDocument/2006/relationships/image" Target="../media/image28.emf"/><Relationship Id="rId66" Type="http://schemas.openxmlformats.org/officeDocument/2006/relationships/image" Target="../media/image32.emf"/><Relationship Id="rId74" Type="http://schemas.openxmlformats.org/officeDocument/2006/relationships/image" Target="../media/image36.emf"/><Relationship Id="rId79" Type="http://schemas.openxmlformats.org/officeDocument/2006/relationships/hyperlink" Target="#INDEX!A1"/><Relationship Id="rId5" Type="http://schemas.openxmlformats.org/officeDocument/2006/relationships/image" Target="../media/image43.emf"/><Relationship Id="rId61" Type="http://schemas.openxmlformats.org/officeDocument/2006/relationships/hyperlink" Target="#'9P 6-3 (U)'!A1"/><Relationship Id="rId19" Type="http://schemas.openxmlformats.org/officeDocument/2006/relationships/hyperlink" Target="#'5P 4-1 (U)'!A1"/><Relationship Id="rId14" Type="http://schemas.openxmlformats.org/officeDocument/2006/relationships/image" Target="../media/image6.emf"/><Relationship Id="rId22" Type="http://schemas.openxmlformats.org/officeDocument/2006/relationships/image" Target="../media/image10.emf"/><Relationship Id="rId27" Type="http://schemas.openxmlformats.org/officeDocument/2006/relationships/hyperlink" Target="#'7P 7-0 (U)'!A1"/><Relationship Id="rId30" Type="http://schemas.openxmlformats.org/officeDocument/2006/relationships/image" Target="../media/image14.emf"/><Relationship Id="rId35" Type="http://schemas.openxmlformats.org/officeDocument/2006/relationships/hyperlink" Target="#'9P 9-0 (U)'!A1"/><Relationship Id="rId43" Type="http://schemas.openxmlformats.org/officeDocument/2006/relationships/hyperlink" Target="#'4P 2-2 (U)'!A1"/><Relationship Id="rId48" Type="http://schemas.openxmlformats.org/officeDocument/2006/relationships/image" Target="../media/image23.emf"/><Relationship Id="rId56" Type="http://schemas.openxmlformats.org/officeDocument/2006/relationships/image" Target="../media/image27.emf"/><Relationship Id="rId64" Type="http://schemas.openxmlformats.org/officeDocument/2006/relationships/image" Target="../media/image31.emf"/><Relationship Id="rId69" Type="http://schemas.openxmlformats.org/officeDocument/2006/relationships/hyperlink" Target="#'10P 6-4 (U)'!A1"/><Relationship Id="rId77" Type="http://schemas.openxmlformats.org/officeDocument/2006/relationships/hyperlink" Target="#'CORNER &#3588;&#3637;&#3656;+&#3588;&#3637;&#3656;  (U)'!A1"/><Relationship Id="rId8" Type="http://schemas.openxmlformats.org/officeDocument/2006/relationships/image" Target="../media/image3.emf"/><Relationship Id="rId51" Type="http://schemas.openxmlformats.org/officeDocument/2006/relationships/hyperlink" Target="#'7P 4-3 (U)'!A1"/><Relationship Id="rId72" Type="http://schemas.openxmlformats.org/officeDocument/2006/relationships/image" Target="../media/image35.emf"/><Relationship Id="rId3" Type="http://schemas.openxmlformats.org/officeDocument/2006/relationships/image" Target="../media/image41.emf"/><Relationship Id="rId12" Type="http://schemas.openxmlformats.org/officeDocument/2006/relationships/image" Target="../media/image5.emf"/><Relationship Id="rId17" Type="http://schemas.openxmlformats.org/officeDocument/2006/relationships/hyperlink" Target="#'5P 5-0 (U)'!A1"/><Relationship Id="rId25" Type="http://schemas.openxmlformats.org/officeDocument/2006/relationships/hyperlink" Target="#'6P 5-1 (U)'!A1"/><Relationship Id="rId33" Type="http://schemas.openxmlformats.org/officeDocument/2006/relationships/hyperlink" Target="#'8P 7-1 (U)'!A1"/><Relationship Id="rId38" Type="http://schemas.openxmlformats.org/officeDocument/2006/relationships/image" Target="../media/image18.emf"/><Relationship Id="rId46" Type="http://schemas.openxmlformats.org/officeDocument/2006/relationships/image" Target="../media/image22.emf"/><Relationship Id="rId59" Type="http://schemas.openxmlformats.org/officeDocument/2006/relationships/hyperlink" Target="#'9P 5-4 (U)'!A1"/><Relationship Id="rId67" Type="http://schemas.openxmlformats.org/officeDocument/2006/relationships/hyperlink" Target="#'10P 7-3 (U)'!A1"/><Relationship Id="rId20" Type="http://schemas.openxmlformats.org/officeDocument/2006/relationships/image" Target="../media/image9.emf"/><Relationship Id="rId41" Type="http://schemas.openxmlformats.org/officeDocument/2006/relationships/hyperlink" Target="#'10P 9-1 (U)'!A1"/><Relationship Id="rId54" Type="http://schemas.openxmlformats.org/officeDocument/2006/relationships/image" Target="../media/image26.emf"/><Relationship Id="rId62" Type="http://schemas.openxmlformats.org/officeDocument/2006/relationships/image" Target="../media/image30.emf"/><Relationship Id="rId70" Type="http://schemas.openxmlformats.org/officeDocument/2006/relationships/image" Target="../media/image34.emf"/><Relationship Id="rId75" Type="http://schemas.openxmlformats.org/officeDocument/2006/relationships/hyperlink" Target="#'CORNER &#3588;&#3637;&#3656;+&#3588;&#3641;&#3656; (U)'!A1"/><Relationship Id="rId1" Type="http://schemas.openxmlformats.org/officeDocument/2006/relationships/image" Target="../media/image39.emf"/><Relationship Id="rId6" Type="http://schemas.openxmlformats.org/officeDocument/2006/relationships/image" Target="../media/image44.emf"/><Relationship Id="rId15" Type="http://schemas.openxmlformats.org/officeDocument/2006/relationships/hyperlink" Target="#'4P 3-1 (U)'!A1"/><Relationship Id="rId23" Type="http://schemas.openxmlformats.org/officeDocument/2006/relationships/hyperlink" Target="#'6P 6-0 (U)'!A1"/><Relationship Id="rId28" Type="http://schemas.openxmlformats.org/officeDocument/2006/relationships/image" Target="../media/image13.emf"/><Relationship Id="rId36" Type="http://schemas.openxmlformats.org/officeDocument/2006/relationships/image" Target="../media/image17.emf"/><Relationship Id="rId49" Type="http://schemas.openxmlformats.org/officeDocument/2006/relationships/hyperlink" Target="#'8P 4-4 (U)'!A1"/><Relationship Id="rId57" Type="http://schemas.openxmlformats.org/officeDocument/2006/relationships/hyperlink" Target="#'8P 6-2 (U)'!A1"/><Relationship Id="rId10" Type="http://schemas.openxmlformats.org/officeDocument/2006/relationships/image" Target="../media/image4.emf"/><Relationship Id="rId31" Type="http://schemas.openxmlformats.org/officeDocument/2006/relationships/hyperlink" Target="#'8P 8-0 (U)'!A1"/><Relationship Id="rId44" Type="http://schemas.openxmlformats.org/officeDocument/2006/relationships/image" Target="../media/image21.emf"/><Relationship Id="rId52" Type="http://schemas.openxmlformats.org/officeDocument/2006/relationships/image" Target="../media/image25.emf"/><Relationship Id="rId60" Type="http://schemas.openxmlformats.org/officeDocument/2006/relationships/image" Target="../media/image29.emf"/><Relationship Id="rId65" Type="http://schemas.openxmlformats.org/officeDocument/2006/relationships/hyperlink" Target="#'10P 8-2 (U)'!A1"/><Relationship Id="rId73" Type="http://schemas.openxmlformats.org/officeDocument/2006/relationships/hyperlink" Target="#'CORNER &#3588;&#3641;&#3656;+&#3588;&#3641;&#3656; (U)'!A1"/><Relationship Id="rId78" Type="http://schemas.openxmlformats.org/officeDocument/2006/relationships/image" Target="../media/image38.emf"/><Relationship Id="rId4" Type="http://schemas.openxmlformats.org/officeDocument/2006/relationships/image" Target="../media/image42.emf"/><Relationship Id="rId9" Type="http://schemas.openxmlformats.org/officeDocument/2006/relationships/hyperlink" Target="#'3P 3-0 (U)'!A1"/><Relationship Id="rId13" Type="http://schemas.openxmlformats.org/officeDocument/2006/relationships/hyperlink" Target="#'4P 4-0 (U)'!A1"/><Relationship Id="rId18" Type="http://schemas.openxmlformats.org/officeDocument/2006/relationships/image" Target="../media/image8.emf"/><Relationship Id="rId39" Type="http://schemas.openxmlformats.org/officeDocument/2006/relationships/hyperlink" Target="#'10P 10-0 (U)'!A1"/><Relationship Id="rId34" Type="http://schemas.openxmlformats.org/officeDocument/2006/relationships/image" Target="../media/image16.emf"/><Relationship Id="rId50" Type="http://schemas.openxmlformats.org/officeDocument/2006/relationships/image" Target="../media/image24.emf"/><Relationship Id="rId55" Type="http://schemas.openxmlformats.org/officeDocument/2006/relationships/hyperlink" Target="#'8P 5-3 (U)'!A1"/><Relationship Id="rId76" Type="http://schemas.openxmlformats.org/officeDocument/2006/relationships/image" Target="../media/image37.emf"/><Relationship Id="rId7" Type="http://schemas.openxmlformats.org/officeDocument/2006/relationships/hyperlink" Target="#'2P 2-0 (U)'!A1"/><Relationship Id="rId71" Type="http://schemas.openxmlformats.org/officeDocument/2006/relationships/hyperlink" Target="#'10P 5-5 (U)'!A1"/><Relationship Id="rId2" Type="http://schemas.openxmlformats.org/officeDocument/2006/relationships/image" Target="../media/image40.emf"/><Relationship Id="rId29" Type="http://schemas.openxmlformats.org/officeDocument/2006/relationships/hyperlink" Target="#'7P 6-1 (U)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image" Target="../media/image57.emf"/><Relationship Id="rId18" Type="http://schemas.openxmlformats.org/officeDocument/2006/relationships/image" Target="../media/image62.emf"/><Relationship Id="rId26" Type="http://schemas.openxmlformats.org/officeDocument/2006/relationships/image" Target="../media/image69.emf"/><Relationship Id="rId3" Type="http://schemas.openxmlformats.org/officeDocument/2006/relationships/image" Target="../media/image47.png"/><Relationship Id="rId21" Type="http://schemas.openxmlformats.org/officeDocument/2006/relationships/image" Target="../media/image65.emf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1.emf"/><Relationship Id="rId25" Type="http://schemas.openxmlformats.org/officeDocument/2006/relationships/image" Target="../media/image68.emf"/><Relationship Id="rId2" Type="http://schemas.openxmlformats.org/officeDocument/2006/relationships/image" Target="../media/image46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72.emf"/><Relationship Id="rId1" Type="http://schemas.openxmlformats.org/officeDocument/2006/relationships/image" Target="../media/image45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71.emf"/><Relationship Id="rId10" Type="http://schemas.openxmlformats.org/officeDocument/2006/relationships/image" Target="../media/image54.png"/><Relationship Id="rId19" Type="http://schemas.openxmlformats.org/officeDocument/2006/relationships/image" Target="../media/image63.emf"/><Relationship Id="rId31" Type="http://schemas.openxmlformats.org/officeDocument/2006/relationships/image" Target="../media/image74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hyperlink" Target="#'INDEX &#3648;&#3615;&#3619;&#3617;&#3621;&#3656;&#3634;&#3591;'!A1"/><Relationship Id="rId27" Type="http://schemas.openxmlformats.org/officeDocument/2006/relationships/image" Target="../media/image70.emf"/><Relationship Id="rId30" Type="http://schemas.openxmlformats.org/officeDocument/2006/relationships/image" Target="../media/image73.emf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5.emf"/><Relationship Id="rId26" Type="http://schemas.openxmlformats.org/officeDocument/2006/relationships/image" Target="../media/image81.emf"/><Relationship Id="rId3" Type="http://schemas.openxmlformats.org/officeDocument/2006/relationships/image" Target="../media/image47.png"/><Relationship Id="rId21" Type="http://schemas.openxmlformats.org/officeDocument/2006/relationships/image" Target="../media/image78.png"/><Relationship Id="rId34" Type="http://schemas.openxmlformats.org/officeDocument/2006/relationships/hyperlink" Target="#'INDEX &#3648;&#3615;&#3619;&#3617;&#3621;&#3656;&#3634;&#3591;'!A1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4.emf"/><Relationship Id="rId25" Type="http://schemas.openxmlformats.org/officeDocument/2006/relationships/image" Target="../media/image80.png"/><Relationship Id="rId33" Type="http://schemas.openxmlformats.org/officeDocument/2006/relationships/image" Target="../media/image84.emf"/><Relationship Id="rId2" Type="http://schemas.openxmlformats.org/officeDocument/2006/relationships/image" Target="../media/image46.png"/><Relationship Id="rId16" Type="http://schemas.openxmlformats.org/officeDocument/2006/relationships/image" Target="../media/image63.emf"/><Relationship Id="rId20" Type="http://schemas.openxmlformats.org/officeDocument/2006/relationships/image" Target="../media/image77.png"/><Relationship Id="rId29" Type="http://schemas.openxmlformats.org/officeDocument/2006/relationships/image" Target="../media/image70.emf"/><Relationship Id="rId1" Type="http://schemas.openxmlformats.org/officeDocument/2006/relationships/image" Target="../media/image75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32" Type="http://schemas.openxmlformats.org/officeDocument/2006/relationships/image" Target="../media/image83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68.emf"/><Relationship Id="rId10" Type="http://schemas.openxmlformats.org/officeDocument/2006/relationships/image" Target="../media/image54.png"/><Relationship Id="rId19" Type="http://schemas.openxmlformats.org/officeDocument/2006/relationships/image" Target="../media/image76.png"/><Relationship Id="rId31" Type="http://schemas.openxmlformats.org/officeDocument/2006/relationships/image" Target="../media/image74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image" Target="../media/image79.png"/><Relationship Id="rId27" Type="http://schemas.openxmlformats.org/officeDocument/2006/relationships/image" Target="../media/image82.png"/><Relationship Id="rId30" Type="http://schemas.openxmlformats.org/officeDocument/2006/relationships/image" Target="../media/image71.emf"/><Relationship Id="rId8" Type="http://schemas.openxmlformats.org/officeDocument/2006/relationships/image" Target="../media/image52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5.emf"/><Relationship Id="rId26" Type="http://schemas.openxmlformats.org/officeDocument/2006/relationships/image" Target="../media/image81.emf"/><Relationship Id="rId3" Type="http://schemas.openxmlformats.org/officeDocument/2006/relationships/image" Target="../media/image47.png"/><Relationship Id="rId21" Type="http://schemas.openxmlformats.org/officeDocument/2006/relationships/image" Target="../media/image78.png"/><Relationship Id="rId34" Type="http://schemas.openxmlformats.org/officeDocument/2006/relationships/hyperlink" Target="#'INDEX &#3648;&#3615;&#3619;&#3617;&#3621;&#3656;&#3634;&#3591;'!A1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4.emf"/><Relationship Id="rId25" Type="http://schemas.openxmlformats.org/officeDocument/2006/relationships/image" Target="../media/image80.png"/><Relationship Id="rId33" Type="http://schemas.openxmlformats.org/officeDocument/2006/relationships/image" Target="../media/image86.emf"/><Relationship Id="rId2" Type="http://schemas.openxmlformats.org/officeDocument/2006/relationships/image" Target="../media/image46.png"/><Relationship Id="rId16" Type="http://schemas.openxmlformats.org/officeDocument/2006/relationships/image" Target="../media/image63.emf"/><Relationship Id="rId20" Type="http://schemas.openxmlformats.org/officeDocument/2006/relationships/image" Target="../media/image77.png"/><Relationship Id="rId29" Type="http://schemas.openxmlformats.org/officeDocument/2006/relationships/image" Target="../media/image70.emf"/><Relationship Id="rId1" Type="http://schemas.openxmlformats.org/officeDocument/2006/relationships/image" Target="../media/image85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32" Type="http://schemas.openxmlformats.org/officeDocument/2006/relationships/image" Target="../media/image83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68.emf"/><Relationship Id="rId10" Type="http://schemas.openxmlformats.org/officeDocument/2006/relationships/image" Target="../media/image54.png"/><Relationship Id="rId19" Type="http://schemas.openxmlformats.org/officeDocument/2006/relationships/image" Target="../media/image76.png"/><Relationship Id="rId31" Type="http://schemas.openxmlformats.org/officeDocument/2006/relationships/image" Target="../media/image74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image" Target="../media/image79.png"/><Relationship Id="rId27" Type="http://schemas.openxmlformats.org/officeDocument/2006/relationships/image" Target="../media/image82.png"/><Relationship Id="rId30" Type="http://schemas.openxmlformats.org/officeDocument/2006/relationships/image" Target="../media/image71.emf"/><Relationship Id="rId8" Type="http://schemas.openxmlformats.org/officeDocument/2006/relationships/image" Target="../media/image5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89.emf"/><Relationship Id="rId3" Type="http://schemas.openxmlformats.org/officeDocument/2006/relationships/image" Target="../media/image48.png"/><Relationship Id="rId21" Type="http://schemas.openxmlformats.org/officeDocument/2006/relationships/image" Target="../media/image64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88.emf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68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87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69.emf"/><Relationship Id="rId28" Type="http://schemas.openxmlformats.org/officeDocument/2006/relationships/image" Target="../media/image67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3.emf"/><Relationship Id="rId30" Type="http://schemas.openxmlformats.org/officeDocument/2006/relationships/hyperlink" Target="#'INDEX &#3648;&#3615;&#3619;&#3617;&#3621;&#3656;&#3634;&#3591;'!A1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3" Type="http://schemas.openxmlformats.org/officeDocument/2006/relationships/image" Target="../media/image4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93.png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1.emf"/><Relationship Id="rId36" Type="http://schemas.openxmlformats.org/officeDocument/2006/relationships/hyperlink" Target="#'INDEX &#3648;&#3615;&#3619;&#3617;&#3621;&#3656;&#3634;&#3591;'!A1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4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7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6.png"/><Relationship Id="rId33" Type="http://schemas.openxmlformats.org/officeDocument/2006/relationships/image" Target="../media/image66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4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90.emf"/><Relationship Id="rId32" Type="http://schemas.openxmlformats.org/officeDocument/2006/relationships/image" Target="../media/image5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67.emf"/><Relationship Id="rId28" Type="http://schemas.openxmlformats.org/officeDocument/2006/relationships/image" Target="../media/image79.png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6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8.png"/><Relationship Id="rId30" Type="http://schemas.openxmlformats.org/officeDocument/2006/relationships/image" Target="../media/image95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92.emf"/><Relationship Id="rId3" Type="http://schemas.openxmlformats.org/officeDocument/2006/relationships/image" Target="../media/image52.png"/><Relationship Id="rId21" Type="http://schemas.openxmlformats.org/officeDocument/2006/relationships/image" Target="../media/image88.emf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51.png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7.emf"/><Relationship Id="rId29" Type="http://schemas.openxmlformats.org/officeDocument/2006/relationships/image" Target="../media/image68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0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49.png"/><Relationship Id="rId28" Type="http://schemas.openxmlformats.org/officeDocument/2006/relationships/image" Target="../media/image67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image" Target="../media/image89.emf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6.png"/><Relationship Id="rId27" Type="http://schemas.openxmlformats.org/officeDocument/2006/relationships/image" Target="../media/image6.emf"/><Relationship Id="rId30" Type="http://schemas.openxmlformats.org/officeDocument/2006/relationships/hyperlink" Target="#'INDEX &#3648;&#3615;&#3619;&#3617;&#3621;&#3656;&#3634;&#3591;'!A1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21.emf"/><Relationship Id="rId30" Type="http://schemas.openxmlformats.org/officeDocument/2006/relationships/image" Target="../media/image92.emf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3" Type="http://schemas.openxmlformats.org/officeDocument/2006/relationships/image" Target="../media/image4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93.png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1.emf"/><Relationship Id="rId36" Type="http://schemas.openxmlformats.org/officeDocument/2006/relationships/hyperlink" Target="#'INDEX &#3648;&#3615;&#3619;&#3617;&#3621;&#3656;&#3634;&#3591;'!A1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8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9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1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102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89.emf"/><Relationship Id="rId3" Type="http://schemas.openxmlformats.org/officeDocument/2006/relationships/image" Target="../media/image52.png"/><Relationship Id="rId21" Type="http://schemas.openxmlformats.org/officeDocument/2006/relationships/image" Target="../media/image88.emf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51.png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7.emf"/><Relationship Id="rId29" Type="http://schemas.openxmlformats.org/officeDocument/2006/relationships/image" Target="../media/image67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0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49.png"/><Relationship Id="rId28" Type="http://schemas.openxmlformats.org/officeDocument/2006/relationships/image" Target="../media/image11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6.png"/><Relationship Id="rId27" Type="http://schemas.openxmlformats.org/officeDocument/2006/relationships/image" Target="../media/image92.emf"/><Relationship Id="rId30" Type="http://schemas.openxmlformats.org/officeDocument/2006/relationships/image" Target="../media/image68.emf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12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22.emf"/><Relationship Id="rId30" Type="http://schemas.openxmlformats.org/officeDocument/2006/relationships/image" Target="../media/image92.emf"/></Relationships>
</file>

<file path=xl/drawings/_rels/drawing1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23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3" Type="http://schemas.openxmlformats.org/officeDocument/2006/relationships/image" Target="../media/image4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93.png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1.emf"/><Relationship Id="rId36" Type="http://schemas.openxmlformats.org/officeDocument/2006/relationships/hyperlink" Target="#'INDEX &#3648;&#3615;&#3619;&#3617;&#3621;&#3656;&#3634;&#3591;'!A1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13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/Relationships>
</file>

<file path=xl/drawings/_rels/drawing2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14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3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26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2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1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80.png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101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25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89.emf"/><Relationship Id="rId3" Type="http://schemas.openxmlformats.org/officeDocument/2006/relationships/image" Target="../media/image52.png"/><Relationship Id="rId21" Type="http://schemas.openxmlformats.org/officeDocument/2006/relationships/image" Target="../media/image88.emf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51.png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7.emf"/><Relationship Id="rId29" Type="http://schemas.openxmlformats.org/officeDocument/2006/relationships/image" Target="../media/image67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0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49.png"/><Relationship Id="rId28" Type="http://schemas.openxmlformats.org/officeDocument/2006/relationships/image" Target="../media/image15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6.png"/><Relationship Id="rId27" Type="http://schemas.openxmlformats.org/officeDocument/2006/relationships/image" Target="../media/image92.emf"/><Relationship Id="rId30" Type="http://schemas.openxmlformats.org/officeDocument/2006/relationships/image" Target="../media/image68.emf"/></Relationships>
</file>

<file path=xl/drawings/_rels/drawing2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16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24.emf"/><Relationship Id="rId30" Type="http://schemas.openxmlformats.org/officeDocument/2006/relationships/image" Target="../media/image92.emf"/></Relationships>
</file>

<file path=xl/drawings/_rels/drawing2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27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28.emf"/><Relationship Id="rId30" Type="http://schemas.openxmlformats.org/officeDocument/2006/relationships/image" Target="../media/image92.emf"/></Relationships>
</file>

<file path=xl/drawings/_rels/drawing2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3" Type="http://schemas.openxmlformats.org/officeDocument/2006/relationships/image" Target="../media/image4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93.png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1.emf"/><Relationship Id="rId36" Type="http://schemas.openxmlformats.org/officeDocument/2006/relationships/hyperlink" Target="#'INDEX &#3648;&#3615;&#3619;&#3617;&#3621;&#3656;&#3634;&#3591;'!A1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1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/Relationships>
</file>

<file path=xl/drawings/_rels/drawing3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18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2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6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31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2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1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80.png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30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10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5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29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102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2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89.emf"/><Relationship Id="rId3" Type="http://schemas.openxmlformats.org/officeDocument/2006/relationships/image" Target="../media/image52.png"/><Relationship Id="rId21" Type="http://schemas.openxmlformats.org/officeDocument/2006/relationships/image" Target="../media/image88.emf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51.png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7.emf"/><Relationship Id="rId29" Type="http://schemas.openxmlformats.org/officeDocument/2006/relationships/image" Target="../media/image67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0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49.png"/><Relationship Id="rId28" Type="http://schemas.openxmlformats.org/officeDocument/2006/relationships/image" Target="../media/image19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6.png"/><Relationship Id="rId27" Type="http://schemas.openxmlformats.org/officeDocument/2006/relationships/image" Target="../media/image92.emf"/><Relationship Id="rId30" Type="http://schemas.openxmlformats.org/officeDocument/2006/relationships/image" Target="../media/image68.emf"/></Relationships>
</file>

<file path=xl/drawings/_rels/drawing3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0.png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67.emf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20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82.png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1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32.emf"/><Relationship Id="rId30" Type="http://schemas.openxmlformats.org/officeDocument/2006/relationships/image" Target="../media/image92.emf"/></Relationships>
</file>

<file path=xl/drawings/_rels/drawing3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33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emf"/><Relationship Id="rId13" Type="http://schemas.openxmlformats.org/officeDocument/2006/relationships/image" Target="../media/image60.emf"/><Relationship Id="rId18" Type="http://schemas.openxmlformats.org/officeDocument/2006/relationships/image" Target="../media/image65.emf"/><Relationship Id="rId26" Type="http://schemas.openxmlformats.org/officeDocument/2006/relationships/image" Target="../media/image100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71.emf"/><Relationship Id="rId12" Type="http://schemas.openxmlformats.org/officeDocument/2006/relationships/image" Target="../media/image59.emf"/><Relationship Id="rId17" Type="http://schemas.openxmlformats.org/officeDocument/2006/relationships/image" Target="../media/image64.emf"/><Relationship Id="rId25" Type="http://schemas.openxmlformats.org/officeDocument/2006/relationships/image" Target="../media/image67.emf"/><Relationship Id="rId2" Type="http://schemas.openxmlformats.org/officeDocument/2006/relationships/image" Target="../media/image48.png"/><Relationship Id="rId16" Type="http://schemas.openxmlformats.org/officeDocument/2006/relationships/image" Target="../media/image63.emf"/><Relationship Id="rId20" Type="http://schemas.openxmlformats.org/officeDocument/2006/relationships/image" Target="../media/image88.emf"/><Relationship Id="rId29" Type="http://schemas.openxmlformats.org/officeDocument/2006/relationships/image" Target="../media/image9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70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2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58.emf"/><Relationship Id="rId19" Type="http://schemas.openxmlformats.org/officeDocument/2006/relationships/image" Target="../media/image69.emf"/><Relationship Id="rId31" Type="http://schemas.openxmlformats.org/officeDocument/2006/relationships/hyperlink" Target="#'INDEX &#3648;&#3615;&#3619;&#3617;&#3621;&#3656;&#3634;&#3591;'!A1"/><Relationship Id="rId4" Type="http://schemas.openxmlformats.org/officeDocument/2006/relationships/image" Target="../media/image53.png"/><Relationship Id="rId9" Type="http://schemas.openxmlformats.org/officeDocument/2006/relationships/image" Target="../media/image57.emf"/><Relationship Id="rId14" Type="http://schemas.openxmlformats.org/officeDocument/2006/relationships/image" Target="../media/image61.emf"/><Relationship Id="rId22" Type="http://schemas.openxmlformats.org/officeDocument/2006/relationships/image" Target="../media/image49.png"/><Relationship Id="rId27" Type="http://schemas.openxmlformats.org/officeDocument/2006/relationships/image" Target="../media/image34.emf"/><Relationship Id="rId30" Type="http://schemas.openxmlformats.org/officeDocument/2006/relationships/image" Target="../media/image92.emf"/></Relationships>
</file>

<file path=xl/drawings/_rels/drawing3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1.emf"/><Relationship Id="rId26" Type="http://schemas.openxmlformats.org/officeDocument/2006/relationships/image" Target="../media/image78.png"/><Relationship Id="rId21" Type="http://schemas.openxmlformats.org/officeDocument/2006/relationships/image" Target="../media/image64.emf"/><Relationship Id="rId34" Type="http://schemas.openxmlformats.org/officeDocument/2006/relationships/image" Target="../media/image81.emf"/><Relationship Id="rId7" Type="http://schemas.openxmlformats.org/officeDocument/2006/relationships/image" Target="../media/image52.png"/><Relationship Id="rId12" Type="http://schemas.openxmlformats.org/officeDocument/2006/relationships/image" Target="../media/image56.emf"/><Relationship Id="rId17" Type="http://schemas.openxmlformats.org/officeDocument/2006/relationships/image" Target="../media/image60.emf"/><Relationship Id="rId25" Type="http://schemas.openxmlformats.org/officeDocument/2006/relationships/image" Target="../media/image77.png"/><Relationship Id="rId33" Type="http://schemas.openxmlformats.org/officeDocument/2006/relationships/image" Target="../media/image80.png"/><Relationship Id="rId38" Type="http://schemas.openxmlformats.org/officeDocument/2006/relationships/hyperlink" Target="#'INDEX &#3648;&#3615;&#3619;&#3617;&#3621;&#3656;&#3634;&#3591;'!A1"/><Relationship Id="rId2" Type="http://schemas.openxmlformats.org/officeDocument/2006/relationships/image" Target="../media/image47.png"/><Relationship Id="rId16" Type="http://schemas.openxmlformats.org/officeDocument/2006/relationships/image" Target="../media/image59.emf"/><Relationship Id="rId20" Type="http://schemas.openxmlformats.org/officeDocument/2006/relationships/image" Target="../media/image63.emf"/><Relationship Id="rId29" Type="http://schemas.openxmlformats.org/officeDocument/2006/relationships/image" Target="../media/image9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71.emf"/><Relationship Id="rId24" Type="http://schemas.openxmlformats.org/officeDocument/2006/relationships/image" Target="../media/image76.png"/><Relationship Id="rId32" Type="http://schemas.openxmlformats.org/officeDocument/2006/relationships/image" Target="../media/image67.emf"/><Relationship Id="rId37" Type="http://schemas.openxmlformats.org/officeDocument/2006/relationships/image" Target="../media/image68.emf"/><Relationship Id="rId5" Type="http://schemas.openxmlformats.org/officeDocument/2006/relationships/image" Target="../media/image50.png"/><Relationship Id="rId15" Type="http://schemas.openxmlformats.org/officeDocument/2006/relationships/image" Target="../media/image70.emf"/><Relationship Id="rId23" Type="http://schemas.openxmlformats.org/officeDocument/2006/relationships/image" Target="../media/image90.emf"/><Relationship Id="rId28" Type="http://schemas.openxmlformats.org/officeDocument/2006/relationships/image" Target="../media/image66.png"/><Relationship Id="rId36" Type="http://schemas.openxmlformats.org/officeDocument/2006/relationships/image" Target="../media/image35.emf"/><Relationship Id="rId10" Type="http://schemas.openxmlformats.org/officeDocument/2006/relationships/image" Target="../media/image55.emf"/><Relationship Id="rId19" Type="http://schemas.openxmlformats.org/officeDocument/2006/relationships/image" Target="../media/image62.emf"/><Relationship Id="rId31" Type="http://schemas.openxmlformats.org/officeDocument/2006/relationships/image" Target="../media/image99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58.emf"/><Relationship Id="rId22" Type="http://schemas.openxmlformats.org/officeDocument/2006/relationships/image" Target="../media/image65.emf"/><Relationship Id="rId27" Type="http://schemas.openxmlformats.org/officeDocument/2006/relationships/image" Target="../media/image79.png"/><Relationship Id="rId30" Type="http://schemas.openxmlformats.org/officeDocument/2006/relationships/image" Target="../media/image98.emf"/><Relationship Id="rId35" Type="http://schemas.openxmlformats.org/officeDocument/2006/relationships/image" Target="../media/image82.png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2.png"/><Relationship Id="rId13" Type="http://schemas.openxmlformats.org/officeDocument/2006/relationships/image" Target="../media/image57.emf"/><Relationship Id="rId18" Type="http://schemas.openxmlformats.org/officeDocument/2006/relationships/image" Target="../media/image62.emf"/><Relationship Id="rId26" Type="http://schemas.openxmlformats.org/officeDocument/2006/relationships/image" Target="../media/image69.emf"/><Relationship Id="rId3" Type="http://schemas.openxmlformats.org/officeDocument/2006/relationships/image" Target="../media/image47.png"/><Relationship Id="rId21" Type="http://schemas.openxmlformats.org/officeDocument/2006/relationships/image" Target="../media/image65.emf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1.emf"/><Relationship Id="rId25" Type="http://schemas.openxmlformats.org/officeDocument/2006/relationships/image" Target="../media/image68.emf"/><Relationship Id="rId2" Type="http://schemas.openxmlformats.org/officeDocument/2006/relationships/image" Target="../media/image46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73.emf"/><Relationship Id="rId1" Type="http://schemas.openxmlformats.org/officeDocument/2006/relationships/image" Target="../media/image104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72.emf"/><Relationship Id="rId10" Type="http://schemas.openxmlformats.org/officeDocument/2006/relationships/image" Target="../media/image54.png"/><Relationship Id="rId19" Type="http://schemas.openxmlformats.org/officeDocument/2006/relationships/image" Target="../media/image63.emf"/><Relationship Id="rId31" Type="http://schemas.openxmlformats.org/officeDocument/2006/relationships/image" Target="../media/image105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hyperlink" Target="#'INDEX &#3619;&#3634;&#3591;&#3618;&#3641;'!A1"/><Relationship Id="rId27" Type="http://schemas.openxmlformats.org/officeDocument/2006/relationships/image" Target="../media/image70.emf"/><Relationship Id="rId30" Type="http://schemas.openxmlformats.org/officeDocument/2006/relationships/image" Target="../media/image74.emf"/></Relationships>
</file>

<file path=xl/drawings/_rels/drawing4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5.emf"/><Relationship Id="rId26" Type="http://schemas.openxmlformats.org/officeDocument/2006/relationships/image" Target="../media/image81.emf"/><Relationship Id="rId3" Type="http://schemas.openxmlformats.org/officeDocument/2006/relationships/image" Target="../media/image47.png"/><Relationship Id="rId21" Type="http://schemas.openxmlformats.org/officeDocument/2006/relationships/image" Target="../media/image78.png"/><Relationship Id="rId34" Type="http://schemas.openxmlformats.org/officeDocument/2006/relationships/hyperlink" Target="#'INDEX &#3619;&#3634;&#3591;&#3618;&#3641;'!A1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4.emf"/><Relationship Id="rId25" Type="http://schemas.openxmlformats.org/officeDocument/2006/relationships/image" Target="../media/image80.png"/><Relationship Id="rId33" Type="http://schemas.openxmlformats.org/officeDocument/2006/relationships/image" Target="../media/image105.emf"/><Relationship Id="rId2" Type="http://schemas.openxmlformats.org/officeDocument/2006/relationships/image" Target="../media/image46.png"/><Relationship Id="rId16" Type="http://schemas.openxmlformats.org/officeDocument/2006/relationships/image" Target="../media/image63.emf"/><Relationship Id="rId20" Type="http://schemas.openxmlformats.org/officeDocument/2006/relationships/image" Target="../media/image77.png"/><Relationship Id="rId29" Type="http://schemas.openxmlformats.org/officeDocument/2006/relationships/image" Target="../media/image70.emf"/><Relationship Id="rId1" Type="http://schemas.openxmlformats.org/officeDocument/2006/relationships/image" Target="../media/image106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32" Type="http://schemas.openxmlformats.org/officeDocument/2006/relationships/image" Target="../media/image84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68.emf"/><Relationship Id="rId10" Type="http://schemas.openxmlformats.org/officeDocument/2006/relationships/image" Target="../media/image54.png"/><Relationship Id="rId19" Type="http://schemas.openxmlformats.org/officeDocument/2006/relationships/image" Target="../media/image76.png"/><Relationship Id="rId31" Type="http://schemas.openxmlformats.org/officeDocument/2006/relationships/image" Target="../media/image83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image" Target="../media/image79.png"/><Relationship Id="rId27" Type="http://schemas.openxmlformats.org/officeDocument/2006/relationships/image" Target="../media/image82.png"/><Relationship Id="rId30" Type="http://schemas.openxmlformats.org/officeDocument/2006/relationships/image" Target="../media/image74.emf"/><Relationship Id="rId8" Type="http://schemas.openxmlformats.org/officeDocument/2006/relationships/image" Target="../media/image52.png"/></Relationships>
</file>

<file path=xl/drawings/_rels/drawing4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emf"/><Relationship Id="rId18" Type="http://schemas.openxmlformats.org/officeDocument/2006/relationships/image" Target="../media/image65.emf"/><Relationship Id="rId26" Type="http://schemas.openxmlformats.org/officeDocument/2006/relationships/image" Target="../media/image81.emf"/><Relationship Id="rId3" Type="http://schemas.openxmlformats.org/officeDocument/2006/relationships/image" Target="../media/image47.png"/><Relationship Id="rId21" Type="http://schemas.openxmlformats.org/officeDocument/2006/relationships/image" Target="../media/image78.png"/><Relationship Id="rId34" Type="http://schemas.openxmlformats.org/officeDocument/2006/relationships/hyperlink" Target="#'INDEX &#3619;&#3634;&#3591;&#3618;&#3641;'!A1"/><Relationship Id="rId7" Type="http://schemas.openxmlformats.org/officeDocument/2006/relationships/image" Target="../media/image51.png"/><Relationship Id="rId12" Type="http://schemas.openxmlformats.org/officeDocument/2006/relationships/image" Target="../media/image56.emf"/><Relationship Id="rId17" Type="http://schemas.openxmlformats.org/officeDocument/2006/relationships/image" Target="../media/image64.emf"/><Relationship Id="rId25" Type="http://schemas.openxmlformats.org/officeDocument/2006/relationships/image" Target="../media/image80.png"/><Relationship Id="rId33" Type="http://schemas.openxmlformats.org/officeDocument/2006/relationships/image" Target="../media/image105.emf"/><Relationship Id="rId2" Type="http://schemas.openxmlformats.org/officeDocument/2006/relationships/image" Target="../media/image46.png"/><Relationship Id="rId16" Type="http://schemas.openxmlformats.org/officeDocument/2006/relationships/image" Target="../media/image63.emf"/><Relationship Id="rId20" Type="http://schemas.openxmlformats.org/officeDocument/2006/relationships/image" Target="../media/image77.png"/><Relationship Id="rId29" Type="http://schemas.openxmlformats.org/officeDocument/2006/relationships/image" Target="../media/image70.emf"/><Relationship Id="rId1" Type="http://schemas.openxmlformats.org/officeDocument/2006/relationships/image" Target="../media/image107.emf"/><Relationship Id="rId6" Type="http://schemas.openxmlformats.org/officeDocument/2006/relationships/image" Target="../media/image50.png"/><Relationship Id="rId11" Type="http://schemas.openxmlformats.org/officeDocument/2006/relationships/image" Target="../media/image55.emf"/><Relationship Id="rId24" Type="http://schemas.openxmlformats.org/officeDocument/2006/relationships/image" Target="../media/image67.emf"/><Relationship Id="rId32" Type="http://schemas.openxmlformats.org/officeDocument/2006/relationships/image" Target="../media/image86.emf"/><Relationship Id="rId5" Type="http://schemas.openxmlformats.org/officeDocument/2006/relationships/image" Target="../media/image49.png"/><Relationship Id="rId15" Type="http://schemas.openxmlformats.org/officeDocument/2006/relationships/image" Target="../media/image59.emf"/><Relationship Id="rId23" Type="http://schemas.openxmlformats.org/officeDocument/2006/relationships/image" Target="../media/image66.png"/><Relationship Id="rId28" Type="http://schemas.openxmlformats.org/officeDocument/2006/relationships/image" Target="../media/image68.emf"/><Relationship Id="rId10" Type="http://schemas.openxmlformats.org/officeDocument/2006/relationships/image" Target="../media/image54.png"/><Relationship Id="rId19" Type="http://schemas.openxmlformats.org/officeDocument/2006/relationships/image" Target="../media/image76.png"/><Relationship Id="rId31" Type="http://schemas.openxmlformats.org/officeDocument/2006/relationships/image" Target="../media/image83.emf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emf"/><Relationship Id="rId22" Type="http://schemas.openxmlformats.org/officeDocument/2006/relationships/image" Target="../media/image79.png"/><Relationship Id="rId27" Type="http://schemas.openxmlformats.org/officeDocument/2006/relationships/image" Target="../media/image82.png"/><Relationship Id="rId30" Type="http://schemas.openxmlformats.org/officeDocument/2006/relationships/image" Target="../media/image74.emf"/><Relationship Id="rId8" Type="http://schemas.openxmlformats.org/officeDocument/2006/relationships/image" Target="../media/image52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3.png"/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67.emf"/><Relationship Id="rId3" Type="http://schemas.openxmlformats.org/officeDocument/2006/relationships/image" Target="../media/image48.png"/><Relationship Id="rId21" Type="http://schemas.openxmlformats.org/officeDocument/2006/relationships/image" Target="../media/image6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3.emf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8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88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87.emf"/><Relationship Id="rId28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69.emf"/><Relationship Id="rId27" Type="http://schemas.openxmlformats.org/officeDocument/2006/relationships/image" Target="../media/image68.emf"/><Relationship Id="rId30" Type="http://schemas.openxmlformats.org/officeDocument/2006/relationships/hyperlink" Target="#'INDEX &#3619;&#3634;&#3591;&#3618;&#3641;'!A1"/></Relationships>
</file>

<file path=xl/drawings/_rels/drawing4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3" Type="http://schemas.openxmlformats.org/officeDocument/2006/relationships/image" Target="../media/image48.png"/><Relationship Id="rId21" Type="http://schemas.openxmlformats.org/officeDocument/2006/relationships/image" Target="../media/image65.emf"/><Relationship Id="rId34" Type="http://schemas.openxmlformats.org/officeDocument/2006/relationships/image" Target="../media/image10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68.emf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4.emf"/><Relationship Id="rId36" Type="http://schemas.openxmlformats.org/officeDocument/2006/relationships/hyperlink" Target="#'INDEX &#3619;&#3634;&#3591;&#3618;&#3641;'!A1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2.emf"/><Relationship Id="rId30" Type="http://schemas.openxmlformats.org/officeDocument/2006/relationships/image" Target="../media/image93.png"/><Relationship Id="rId35" Type="http://schemas.openxmlformats.org/officeDocument/2006/relationships/image" Target="../media/image109.emf"/><Relationship Id="rId8" Type="http://schemas.openxmlformats.org/officeDocument/2006/relationships/image" Target="../media/image53.png"/></Relationships>
</file>

<file path=xl/drawings/_rels/drawing4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8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7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6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6.png"/><Relationship Id="rId32" Type="http://schemas.openxmlformats.org/officeDocument/2006/relationships/image" Target="../media/image80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90.emf"/><Relationship Id="rId28" Type="http://schemas.openxmlformats.org/officeDocument/2006/relationships/image" Target="../media/image94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6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67.emf"/><Relationship Id="rId27" Type="http://schemas.openxmlformats.org/officeDocument/2006/relationships/image" Target="../media/image79.png"/><Relationship Id="rId30" Type="http://schemas.openxmlformats.org/officeDocument/2006/relationships/image" Target="../media/image5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6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92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88.emf"/><Relationship Id="rId29" Type="http://schemas.openxmlformats.org/officeDocument/2006/relationships/image" Target="../media/image10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70.emf"/><Relationship Id="rId19" Type="http://schemas.openxmlformats.org/officeDocument/2006/relationships/image" Target="../media/image87.emf"/><Relationship Id="rId31" Type="http://schemas.openxmlformats.org/officeDocument/2006/relationships/image" Target="../media/image108.emf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49.png"/><Relationship Id="rId27" Type="http://schemas.openxmlformats.org/officeDocument/2006/relationships/image" Target="../media/image67.emf"/><Relationship Id="rId30" Type="http://schemas.openxmlformats.org/officeDocument/2006/relationships/hyperlink" Target="#'INDEX &#3619;&#3634;&#3591;&#3618;&#3641;'!A1"/></Relationships>
</file>

<file path=xl/drawings/_rels/drawing4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4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21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112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hyperlink" Target="#'INDEX &#3619;&#3634;&#3591;&#3618;&#3641;'!A1"/></Relationships>
</file>

<file path=xl/drawings/_rels/drawing4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3" Type="http://schemas.openxmlformats.org/officeDocument/2006/relationships/image" Target="../media/image48.png"/><Relationship Id="rId21" Type="http://schemas.openxmlformats.org/officeDocument/2006/relationships/image" Target="../media/image65.emf"/><Relationship Id="rId34" Type="http://schemas.openxmlformats.org/officeDocument/2006/relationships/image" Target="../media/image10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68.emf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8.emf"/><Relationship Id="rId36" Type="http://schemas.openxmlformats.org/officeDocument/2006/relationships/hyperlink" Target="#'INDEX &#3619;&#3634;&#3591;&#3618;&#3641;'!A1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2.emf"/><Relationship Id="rId30" Type="http://schemas.openxmlformats.org/officeDocument/2006/relationships/image" Target="../media/image93.png"/><Relationship Id="rId35" Type="http://schemas.openxmlformats.org/officeDocument/2006/relationships/image" Target="../media/image109.emf"/><Relationship Id="rId8" Type="http://schemas.openxmlformats.org/officeDocument/2006/relationships/image" Target="../media/image53.png"/></Relationships>
</file>

<file path=xl/drawings/_rels/drawing5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1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9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102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11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92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88.emf"/><Relationship Id="rId29" Type="http://schemas.openxmlformats.org/officeDocument/2006/relationships/image" Target="../media/image10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70.emf"/><Relationship Id="rId19" Type="http://schemas.openxmlformats.org/officeDocument/2006/relationships/image" Target="../media/image87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49.png"/><Relationship Id="rId27" Type="http://schemas.openxmlformats.org/officeDocument/2006/relationships/image" Target="../media/image67.emf"/><Relationship Id="rId30" Type="http://schemas.openxmlformats.org/officeDocument/2006/relationships/image" Target="../media/image108.emf"/></Relationships>
</file>

<file path=xl/drawings/_rels/drawing5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12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22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110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image" Target="../media/image92.emf"/></Relationships>
</file>

<file path=xl/drawings/_rels/drawing5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23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3" Type="http://schemas.openxmlformats.org/officeDocument/2006/relationships/image" Target="../media/image48.png"/><Relationship Id="rId21" Type="http://schemas.openxmlformats.org/officeDocument/2006/relationships/image" Target="../media/image65.emf"/><Relationship Id="rId34" Type="http://schemas.openxmlformats.org/officeDocument/2006/relationships/image" Target="../media/image10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68.emf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13.emf"/><Relationship Id="rId36" Type="http://schemas.openxmlformats.org/officeDocument/2006/relationships/hyperlink" Target="#'INDEX &#3619;&#3634;&#3591;&#3618;&#3641;'!A1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2.emf"/><Relationship Id="rId30" Type="http://schemas.openxmlformats.org/officeDocument/2006/relationships/image" Target="../media/image93.png"/><Relationship Id="rId35" Type="http://schemas.openxmlformats.org/officeDocument/2006/relationships/image" Target="../media/image109.emf"/><Relationship Id="rId8" Type="http://schemas.openxmlformats.org/officeDocument/2006/relationships/image" Target="../media/image53.png"/></Relationships>
</file>

<file path=xl/drawings/_rels/drawing5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3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14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26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5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101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25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2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1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80.png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15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92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88.emf"/><Relationship Id="rId29" Type="http://schemas.openxmlformats.org/officeDocument/2006/relationships/image" Target="../media/image10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70.emf"/><Relationship Id="rId19" Type="http://schemas.openxmlformats.org/officeDocument/2006/relationships/image" Target="../media/image87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49.png"/><Relationship Id="rId27" Type="http://schemas.openxmlformats.org/officeDocument/2006/relationships/image" Target="../media/image67.emf"/><Relationship Id="rId30" Type="http://schemas.openxmlformats.org/officeDocument/2006/relationships/image" Target="../media/image108.emf"/></Relationships>
</file>

<file path=xl/drawings/_rels/drawing6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16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24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110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image" Target="../media/image92.emf"/></Relationships>
</file>

<file path=xl/drawings/_rels/drawing6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27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28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110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image" Target="../media/image92.emf"/></Relationships>
</file>

<file path=xl/drawings/_rels/drawing6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3" Type="http://schemas.openxmlformats.org/officeDocument/2006/relationships/image" Target="../media/image48.png"/><Relationship Id="rId21" Type="http://schemas.openxmlformats.org/officeDocument/2006/relationships/image" Target="../media/image65.emf"/><Relationship Id="rId34" Type="http://schemas.openxmlformats.org/officeDocument/2006/relationships/image" Target="../media/image10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68.emf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17.emf"/><Relationship Id="rId36" Type="http://schemas.openxmlformats.org/officeDocument/2006/relationships/hyperlink" Target="#'INDEX &#3619;&#3634;&#3591;&#3618;&#3641;'!A1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2.emf"/><Relationship Id="rId30" Type="http://schemas.openxmlformats.org/officeDocument/2006/relationships/image" Target="../media/image93.png"/><Relationship Id="rId35" Type="http://schemas.openxmlformats.org/officeDocument/2006/relationships/image" Target="../media/image109.emf"/><Relationship Id="rId8" Type="http://schemas.openxmlformats.org/officeDocument/2006/relationships/image" Target="../media/image53.png"/></Relationships>
</file>

<file path=xl/drawings/_rels/drawing6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6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18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31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30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10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67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2.png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1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80.png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6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29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102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0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2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94.emf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70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19.emf"/><Relationship Id="rId3" Type="http://schemas.openxmlformats.org/officeDocument/2006/relationships/image" Target="../media/image52.png"/><Relationship Id="rId21" Type="http://schemas.openxmlformats.org/officeDocument/2006/relationships/image" Target="../media/image46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92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88.emf"/><Relationship Id="rId29" Type="http://schemas.openxmlformats.org/officeDocument/2006/relationships/image" Target="../media/image105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51.png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0.png"/><Relationship Id="rId28" Type="http://schemas.openxmlformats.org/officeDocument/2006/relationships/image" Target="../media/image68.emf"/><Relationship Id="rId10" Type="http://schemas.openxmlformats.org/officeDocument/2006/relationships/image" Target="../media/image70.emf"/><Relationship Id="rId19" Type="http://schemas.openxmlformats.org/officeDocument/2006/relationships/image" Target="../media/image87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49.png"/><Relationship Id="rId27" Type="http://schemas.openxmlformats.org/officeDocument/2006/relationships/image" Target="../media/image67.emf"/><Relationship Id="rId30" Type="http://schemas.openxmlformats.org/officeDocument/2006/relationships/image" Target="../media/image108.emf"/></Relationships>
</file>

<file path=xl/drawings/_rels/drawing7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82.png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1.emf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0.png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67.emf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20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7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32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110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image" Target="../media/image92.emf"/></Relationships>
</file>

<file path=xl/drawings/_rels/drawing7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33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_rels/drawing7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7.emf"/><Relationship Id="rId13" Type="http://schemas.openxmlformats.org/officeDocument/2006/relationships/image" Target="../media/image61.emf"/><Relationship Id="rId18" Type="http://schemas.openxmlformats.org/officeDocument/2006/relationships/image" Target="../media/image69.emf"/><Relationship Id="rId26" Type="http://schemas.openxmlformats.org/officeDocument/2006/relationships/image" Target="../media/image34.emf"/><Relationship Id="rId3" Type="http://schemas.openxmlformats.org/officeDocument/2006/relationships/image" Target="../media/image52.png"/><Relationship Id="rId21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0.emf"/><Relationship Id="rId17" Type="http://schemas.openxmlformats.org/officeDocument/2006/relationships/image" Target="../media/image65.emf"/><Relationship Id="rId25" Type="http://schemas.openxmlformats.org/officeDocument/2006/relationships/image" Target="../media/image100.emf"/><Relationship Id="rId2" Type="http://schemas.openxmlformats.org/officeDocument/2006/relationships/image" Target="../media/image48.png"/><Relationship Id="rId16" Type="http://schemas.openxmlformats.org/officeDocument/2006/relationships/image" Target="../media/image64.emf"/><Relationship Id="rId20" Type="http://schemas.openxmlformats.org/officeDocument/2006/relationships/image" Target="../media/image46.png"/><Relationship Id="rId29" Type="http://schemas.openxmlformats.org/officeDocument/2006/relationships/image" Target="../media/image92.emf"/><Relationship Id="rId1" Type="http://schemas.openxmlformats.org/officeDocument/2006/relationships/image" Target="../media/image47.png"/><Relationship Id="rId6" Type="http://schemas.openxmlformats.org/officeDocument/2006/relationships/image" Target="../media/image55.emf"/><Relationship Id="rId11" Type="http://schemas.openxmlformats.org/officeDocument/2006/relationships/image" Target="../media/image59.emf"/><Relationship Id="rId24" Type="http://schemas.openxmlformats.org/officeDocument/2006/relationships/image" Target="../media/image67.emf"/><Relationship Id="rId5" Type="http://schemas.openxmlformats.org/officeDocument/2006/relationships/image" Target="../media/image54.png"/><Relationship Id="rId15" Type="http://schemas.openxmlformats.org/officeDocument/2006/relationships/image" Target="../media/image63.emf"/><Relationship Id="rId23" Type="http://schemas.openxmlformats.org/officeDocument/2006/relationships/image" Target="../media/image51.png"/><Relationship Id="rId28" Type="http://schemas.openxmlformats.org/officeDocument/2006/relationships/image" Target="../media/image105.emf"/><Relationship Id="rId10" Type="http://schemas.openxmlformats.org/officeDocument/2006/relationships/image" Target="../media/image70.emf"/><Relationship Id="rId19" Type="http://schemas.openxmlformats.org/officeDocument/2006/relationships/image" Target="../media/image88.emf"/><Relationship Id="rId31" Type="http://schemas.openxmlformats.org/officeDocument/2006/relationships/hyperlink" Target="#'INDEX &#3619;&#3634;&#3591;&#3618;&#3641;'!A1"/><Relationship Id="rId4" Type="http://schemas.openxmlformats.org/officeDocument/2006/relationships/image" Target="../media/image53.png"/><Relationship Id="rId9" Type="http://schemas.openxmlformats.org/officeDocument/2006/relationships/image" Target="../media/image58.emf"/><Relationship Id="rId14" Type="http://schemas.openxmlformats.org/officeDocument/2006/relationships/image" Target="../media/image62.emf"/><Relationship Id="rId22" Type="http://schemas.openxmlformats.org/officeDocument/2006/relationships/image" Target="../media/image50.png"/><Relationship Id="rId27" Type="http://schemas.openxmlformats.org/officeDocument/2006/relationships/image" Target="../media/image68.emf"/><Relationship Id="rId30" Type="http://schemas.openxmlformats.org/officeDocument/2006/relationships/image" Target="../media/image110.emf"/></Relationships>
</file>

<file path=xl/drawings/_rels/drawing7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8.emf"/><Relationship Id="rId18" Type="http://schemas.openxmlformats.org/officeDocument/2006/relationships/image" Target="../media/image62.emf"/><Relationship Id="rId26" Type="http://schemas.openxmlformats.org/officeDocument/2006/relationships/image" Target="../media/image79.png"/><Relationship Id="rId21" Type="http://schemas.openxmlformats.org/officeDocument/2006/relationships/image" Target="../media/image65.emf"/><Relationship Id="rId34" Type="http://schemas.openxmlformats.org/officeDocument/2006/relationships/image" Target="../media/image35.emf"/><Relationship Id="rId7" Type="http://schemas.openxmlformats.org/officeDocument/2006/relationships/image" Target="../media/image52.png"/><Relationship Id="rId12" Type="http://schemas.openxmlformats.org/officeDocument/2006/relationships/image" Target="../media/image57.emf"/><Relationship Id="rId17" Type="http://schemas.openxmlformats.org/officeDocument/2006/relationships/image" Target="../media/image61.emf"/><Relationship Id="rId25" Type="http://schemas.openxmlformats.org/officeDocument/2006/relationships/image" Target="../media/image78.png"/><Relationship Id="rId33" Type="http://schemas.openxmlformats.org/officeDocument/2006/relationships/image" Target="../media/image82.png"/><Relationship Id="rId38" Type="http://schemas.openxmlformats.org/officeDocument/2006/relationships/hyperlink" Target="#'INDEX &#3619;&#3634;&#3591;&#3618;&#3641;'!A1"/><Relationship Id="rId2" Type="http://schemas.openxmlformats.org/officeDocument/2006/relationships/image" Target="../media/image47.png"/><Relationship Id="rId16" Type="http://schemas.openxmlformats.org/officeDocument/2006/relationships/image" Target="../media/image60.emf"/><Relationship Id="rId20" Type="http://schemas.openxmlformats.org/officeDocument/2006/relationships/image" Target="../media/image64.emf"/><Relationship Id="rId29" Type="http://schemas.openxmlformats.org/officeDocument/2006/relationships/image" Target="../media/image99.emf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11" Type="http://schemas.openxmlformats.org/officeDocument/2006/relationships/image" Target="../media/image56.emf"/><Relationship Id="rId24" Type="http://schemas.openxmlformats.org/officeDocument/2006/relationships/image" Target="../media/image77.png"/><Relationship Id="rId32" Type="http://schemas.openxmlformats.org/officeDocument/2006/relationships/image" Target="../media/image81.emf"/><Relationship Id="rId37" Type="http://schemas.openxmlformats.org/officeDocument/2006/relationships/image" Target="../media/image111.emf"/><Relationship Id="rId5" Type="http://schemas.openxmlformats.org/officeDocument/2006/relationships/image" Target="../media/image50.png"/><Relationship Id="rId15" Type="http://schemas.openxmlformats.org/officeDocument/2006/relationships/image" Target="../media/image59.emf"/><Relationship Id="rId23" Type="http://schemas.openxmlformats.org/officeDocument/2006/relationships/image" Target="../media/image76.png"/><Relationship Id="rId28" Type="http://schemas.openxmlformats.org/officeDocument/2006/relationships/image" Target="../media/image97.emf"/><Relationship Id="rId36" Type="http://schemas.openxmlformats.org/officeDocument/2006/relationships/image" Target="../media/image105.emf"/><Relationship Id="rId10" Type="http://schemas.openxmlformats.org/officeDocument/2006/relationships/image" Target="../media/image55.emf"/><Relationship Id="rId19" Type="http://schemas.openxmlformats.org/officeDocument/2006/relationships/image" Target="../media/image63.emf"/><Relationship Id="rId31" Type="http://schemas.openxmlformats.org/officeDocument/2006/relationships/image" Target="../media/image80.png"/><Relationship Id="rId4" Type="http://schemas.openxmlformats.org/officeDocument/2006/relationships/image" Target="../media/image49.png"/><Relationship Id="rId9" Type="http://schemas.openxmlformats.org/officeDocument/2006/relationships/image" Target="../media/image54.png"/><Relationship Id="rId14" Type="http://schemas.openxmlformats.org/officeDocument/2006/relationships/image" Target="../media/image70.emf"/><Relationship Id="rId22" Type="http://schemas.openxmlformats.org/officeDocument/2006/relationships/image" Target="../media/image90.emf"/><Relationship Id="rId27" Type="http://schemas.openxmlformats.org/officeDocument/2006/relationships/image" Target="../media/image66.png"/><Relationship Id="rId30" Type="http://schemas.openxmlformats.org/officeDocument/2006/relationships/image" Target="../media/image67.emf"/><Relationship Id="rId35" Type="http://schemas.openxmlformats.org/officeDocument/2006/relationships/image" Target="../media/image68.emf"/><Relationship Id="rId8" Type="http://schemas.openxmlformats.org/officeDocument/2006/relationships/image" Target="../media/image53.png"/><Relationship Id="rId3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43543</xdr:colOff>
      <xdr:row>6</xdr:row>
      <xdr:rowOff>87083</xdr:rowOff>
    </xdr:from>
    <xdr:to>
      <xdr:col>4</xdr:col>
      <xdr:colOff>261257</xdr:colOff>
      <xdr:row>9</xdr:row>
      <xdr:rowOff>87083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43543" y="87083"/>
          <a:ext cx="3004457" cy="522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28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เลือกชนิดเฟรมล่าง </a:t>
          </a:r>
        </a:p>
      </xdr:txBody>
    </xdr:sp>
    <xdr:clientData/>
  </xdr:twoCellAnchor>
  <xdr:twoCellAnchor editAs="oneCell">
    <xdr:from>
      <xdr:col>0</xdr:col>
      <xdr:colOff>620485</xdr:colOff>
      <xdr:row>14</xdr:row>
      <xdr:rowOff>10885</xdr:rowOff>
    </xdr:from>
    <xdr:to>
      <xdr:col>7</xdr:col>
      <xdr:colOff>119743</xdr:colOff>
      <xdr:row>37</xdr:row>
      <xdr:rowOff>108857</xdr:rowOff>
    </xdr:to>
    <xdr:pic>
      <xdr:nvPicPr>
        <xdr:cNvPr id="30" name="Pictur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86" t="8904" r="43326" b="11172"/>
        <a:stretch/>
      </xdr:blipFill>
      <xdr:spPr bwMode="auto">
        <a:xfrm>
          <a:off x="620485" y="1404256"/>
          <a:ext cx="4376058" cy="4103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457200</xdr:colOff>
      <xdr:row>25</xdr:row>
      <xdr:rowOff>119743</xdr:rowOff>
    </xdr:from>
    <xdr:to>
      <xdr:col>14</xdr:col>
      <xdr:colOff>642257</xdr:colOff>
      <xdr:row>37</xdr:row>
      <xdr:rowOff>152401</xdr:rowOff>
    </xdr:to>
    <xdr:pic>
      <xdr:nvPicPr>
        <xdr:cNvPr id="31" name="Picture 3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8" t="39431" r="42973" b="19229"/>
        <a:stretch/>
      </xdr:blipFill>
      <xdr:spPr bwMode="auto">
        <a:xfrm>
          <a:off x="6727371" y="3429000"/>
          <a:ext cx="3668486" cy="2122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270171" cy="522514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EURO</a:t>
          </a:r>
          <a:r>
            <a:rPr lang="en-US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FUJI </a:t>
          </a:r>
          <a:r>
            <a:rPr lang="th-TH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บานเฟื้ยมยูโรฟูจิ</a:t>
          </a:r>
          <a:endParaRPr lang="th-TH" sz="28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261257</xdr:colOff>
      <xdr:row>1</xdr:row>
      <xdr:rowOff>348343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0" y="0"/>
          <a:ext cx="7228114" cy="5225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EURO</a:t>
          </a:r>
          <a:r>
            <a:rPr lang="en-US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FUJI </a:t>
          </a:r>
          <a:r>
            <a:rPr lang="th-TH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บานเฟื้ยมแบบเฟรมล่าง</a:t>
          </a:r>
          <a:r>
            <a:rPr lang="en-US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endParaRPr lang="th-TH" sz="28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0</xdr:col>
      <xdr:colOff>0</xdr:colOff>
      <xdr:row>4</xdr:row>
      <xdr:rowOff>225882</xdr:rowOff>
    </xdr:from>
    <xdr:to>
      <xdr:col>2</xdr:col>
      <xdr:colOff>435428</xdr:colOff>
      <xdr:row>10</xdr:row>
      <xdr:rowOff>108861</xdr:rowOff>
    </xdr:to>
    <xdr:grpSp>
      <xdr:nvGrpSpPr>
        <xdr:cNvPr id="44" name="Group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0" y="1738996"/>
          <a:ext cx="1828799" cy="2560865"/>
          <a:chOff x="0" y="2054679"/>
          <a:chExt cx="1828799" cy="2560864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397" t="13188" r="54026" b="8519"/>
          <a:stretch/>
        </xdr:blipFill>
        <xdr:spPr bwMode="auto">
          <a:xfrm>
            <a:off x="0" y="2427515"/>
            <a:ext cx="1292925" cy="21880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130626" y="2054679"/>
            <a:ext cx="1698173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2-0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12</xdr:row>
      <xdr:rowOff>193227</xdr:rowOff>
    </xdr:from>
    <xdr:to>
      <xdr:col>2</xdr:col>
      <xdr:colOff>500743</xdr:colOff>
      <xdr:row>18</xdr:row>
      <xdr:rowOff>122568</xdr:rowOff>
    </xdr:to>
    <xdr:grpSp>
      <xdr:nvGrpSpPr>
        <xdr:cNvPr id="17" name="Group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0" y="5276856"/>
          <a:ext cx="1894114" cy="2607226"/>
          <a:chOff x="0" y="5538108"/>
          <a:chExt cx="1894114" cy="2607226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55" t="10033" r="54187" b="11371"/>
          <a:stretch/>
        </xdr:blipFill>
        <xdr:spPr bwMode="auto">
          <a:xfrm>
            <a:off x="0" y="5954486"/>
            <a:ext cx="1608175" cy="219084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228600" y="5538108"/>
            <a:ext cx="16655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3-0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3</xdr:col>
      <xdr:colOff>76199</xdr:colOff>
      <xdr:row>12</xdr:row>
      <xdr:rowOff>193227</xdr:rowOff>
    </xdr:from>
    <xdr:to>
      <xdr:col>5</xdr:col>
      <xdr:colOff>576943</xdr:colOff>
      <xdr:row>18</xdr:row>
      <xdr:rowOff>155316</xdr:rowOff>
    </xdr:to>
    <xdr:grpSp>
      <xdr:nvGrpSpPr>
        <xdr:cNvPr id="75" name="Group 7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GrpSpPr/>
      </xdr:nvGrpSpPr>
      <xdr:grpSpPr>
        <a:xfrm>
          <a:off x="2166256" y="5276856"/>
          <a:ext cx="1894116" cy="2639974"/>
          <a:chOff x="2166256" y="5538108"/>
          <a:chExt cx="1894116" cy="2639974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60" t="10886" r="52082" b="11450"/>
          <a:stretch/>
        </xdr:blipFill>
        <xdr:spPr bwMode="auto">
          <a:xfrm>
            <a:off x="2166256" y="6041571"/>
            <a:ext cx="1589315" cy="21365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SpPr/>
        </xdr:nvSpPr>
        <xdr:spPr>
          <a:xfrm>
            <a:off x="2432958" y="553810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20</xdr:row>
      <xdr:rowOff>204110</xdr:rowOff>
    </xdr:from>
    <xdr:to>
      <xdr:col>2</xdr:col>
      <xdr:colOff>558010</xdr:colOff>
      <xdr:row>26</xdr:row>
      <xdr:rowOff>111637</xdr:rowOff>
    </xdr:to>
    <xdr:grpSp>
      <xdr:nvGrpSpPr>
        <xdr:cNvPr id="76" name="Group 7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/>
      </xdr:nvGrpSpPr>
      <xdr:grpSpPr>
        <a:xfrm>
          <a:off x="0" y="8858253"/>
          <a:ext cx="1951381" cy="2585413"/>
          <a:chOff x="0" y="9163049"/>
          <a:chExt cx="1951381" cy="2585414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223" t="14841" r="58281" b="7400"/>
          <a:stretch/>
        </xdr:blipFill>
        <xdr:spPr bwMode="auto">
          <a:xfrm>
            <a:off x="0" y="9568542"/>
            <a:ext cx="1951381" cy="21799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/>
        </xdr:nvSpPr>
        <xdr:spPr>
          <a:xfrm>
            <a:off x="234044" y="9163049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667416</xdr:colOff>
      <xdr:row>20</xdr:row>
      <xdr:rowOff>193225</xdr:rowOff>
    </xdr:from>
    <xdr:to>
      <xdr:col>9</xdr:col>
      <xdr:colOff>543708</xdr:colOff>
      <xdr:row>26</xdr:row>
      <xdr:rowOff>130631</xdr:rowOff>
    </xdr:to>
    <xdr:grpSp>
      <xdr:nvGrpSpPr>
        <xdr:cNvPr id="77" name="Group 7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pSpPr/>
      </xdr:nvGrpSpPr>
      <xdr:grpSpPr>
        <a:xfrm>
          <a:off x="4847530" y="8847368"/>
          <a:ext cx="1966349" cy="2615292"/>
          <a:chOff x="2354702" y="9152164"/>
          <a:chExt cx="1966349" cy="2615293"/>
        </a:xfrm>
      </xdr:grpSpPr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677" t="28086" r="58721" b="22448"/>
          <a:stretch/>
        </xdr:blipFill>
        <xdr:spPr bwMode="auto">
          <a:xfrm>
            <a:off x="2354702" y="9557655"/>
            <a:ext cx="1966349" cy="22098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/>
        </xdr:nvSpPr>
        <xdr:spPr>
          <a:xfrm>
            <a:off x="2607129" y="9152164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28</xdr:row>
      <xdr:rowOff>95249</xdr:rowOff>
    </xdr:from>
    <xdr:to>
      <xdr:col>3</xdr:col>
      <xdr:colOff>345655</xdr:colOff>
      <xdr:row>34</xdr:row>
      <xdr:rowOff>163284</xdr:rowOff>
    </xdr:to>
    <xdr:grpSp>
      <xdr:nvGrpSpPr>
        <xdr:cNvPr id="78" name="Group 7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pSpPr/>
      </xdr:nvGrpSpPr>
      <xdr:grpSpPr>
        <a:xfrm>
          <a:off x="0" y="12319906"/>
          <a:ext cx="2435712" cy="2745921"/>
          <a:chOff x="0" y="12842422"/>
          <a:chExt cx="2435712" cy="2745921"/>
        </a:xfrm>
      </xdr:grpSpPr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185" t="11514" r="48268" b="10404"/>
          <a:stretch/>
        </xdr:blipFill>
        <xdr:spPr bwMode="auto">
          <a:xfrm>
            <a:off x="0" y="13258802"/>
            <a:ext cx="2435712" cy="23295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277586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4</xdr:col>
      <xdr:colOff>54426</xdr:colOff>
      <xdr:row>28</xdr:row>
      <xdr:rowOff>95249</xdr:rowOff>
    </xdr:from>
    <xdr:to>
      <xdr:col>7</xdr:col>
      <xdr:colOff>380999</xdr:colOff>
      <xdr:row>34</xdr:row>
      <xdr:rowOff>139575</xdr:rowOff>
    </xdr:to>
    <xdr:grpSp>
      <xdr:nvGrpSpPr>
        <xdr:cNvPr id="79" name="Group 7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pSpPr/>
      </xdr:nvGrpSpPr>
      <xdr:grpSpPr>
        <a:xfrm>
          <a:off x="2841169" y="12319906"/>
          <a:ext cx="2416630" cy="2722212"/>
          <a:chOff x="2841169" y="12842422"/>
          <a:chExt cx="2416630" cy="2722212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05" t="1263" r="54920" b="20648"/>
          <a:stretch/>
        </xdr:blipFill>
        <xdr:spPr bwMode="auto">
          <a:xfrm>
            <a:off x="2841169" y="13247917"/>
            <a:ext cx="2416630" cy="23167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/>
        </xdr:nvSpPr>
        <xdr:spPr>
          <a:xfrm>
            <a:off x="3107872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8</xdr:col>
      <xdr:colOff>130629</xdr:colOff>
      <xdr:row>28</xdr:row>
      <xdr:rowOff>95249</xdr:rowOff>
    </xdr:from>
    <xdr:to>
      <xdr:col>11</xdr:col>
      <xdr:colOff>357887</xdr:colOff>
      <xdr:row>34</xdr:row>
      <xdr:rowOff>27591</xdr:rowOff>
    </xdr:to>
    <xdr:grpSp>
      <xdr:nvGrpSpPr>
        <xdr:cNvPr id="80" name="Group 7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5704115" y="12319906"/>
          <a:ext cx="2317315" cy="2610228"/>
          <a:chOff x="5704115" y="12842422"/>
          <a:chExt cx="2317315" cy="2610228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686" t="26238" r="52436" b="24433"/>
          <a:stretch/>
        </xdr:blipFill>
        <xdr:spPr bwMode="auto">
          <a:xfrm>
            <a:off x="5704115" y="13247917"/>
            <a:ext cx="2317315" cy="22047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5981700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3-2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36</xdr:row>
      <xdr:rowOff>138792</xdr:rowOff>
    </xdr:from>
    <xdr:to>
      <xdr:col>4</xdr:col>
      <xdr:colOff>27339</xdr:colOff>
      <xdr:row>42</xdr:row>
      <xdr:rowOff>174170</xdr:rowOff>
    </xdr:to>
    <xdr:grpSp>
      <xdr:nvGrpSpPr>
        <xdr:cNvPr id="81" name="Group 8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pSpPr/>
      </xdr:nvGrpSpPr>
      <xdr:grpSpPr>
        <a:xfrm>
          <a:off x="0" y="15933963"/>
          <a:ext cx="2814082" cy="2713264"/>
          <a:chOff x="0" y="16380278"/>
          <a:chExt cx="2814082" cy="2713263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/>
        </xdr:nvSpPr>
        <xdr:spPr>
          <a:xfrm>
            <a:off x="288471" y="1638027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  <xdr:pic>
        <xdr:nvPicPr>
          <xdr:cNvPr id="54" name="Picture 53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9" t="19283" r="49863" b="2117"/>
          <a:stretch/>
        </xdr:blipFill>
        <xdr:spPr bwMode="auto">
          <a:xfrm>
            <a:off x="0" y="16764002"/>
            <a:ext cx="2814082" cy="2329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413657</xdr:colOff>
      <xdr:row>36</xdr:row>
      <xdr:rowOff>138792</xdr:rowOff>
    </xdr:from>
    <xdr:to>
      <xdr:col>8</xdr:col>
      <xdr:colOff>456034</xdr:colOff>
      <xdr:row>42</xdr:row>
      <xdr:rowOff>185057</xdr:rowOff>
    </xdr:to>
    <xdr:grpSp>
      <xdr:nvGrpSpPr>
        <xdr:cNvPr id="82" name="Group 8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GrpSpPr/>
      </xdr:nvGrpSpPr>
      <xdr:grpSpPr>
        <a:xfrm>
          <a:off x="3200400" y="15933963"/>
          <a:ext cx="2829120" cy="2724151"/>
          <a:chOff x="3200400" y="16380278"/>
          <a:chExt cx="2829120" cy="2724150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127" t="7886" r="50997" b="14488"/>
          <a:stretch/>
        </xdr:blipFill>
        <xdr:spPr bwMode="auto">
          <a:xfrm>
            <a:off x="3200400" y="16753114"/>
            <a:ext cx="2829120" cy="23513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5329" y="1638027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44</xdr:row>
      <xdr:rowOff>19050</xdr:rowOff>
    </xdr:from>
    <xdr:to>
      <xdr:col>4</xdr:col>
      <xdr:colOff>489855</xdr:colOff>
      <xdr:row>50</xdr:row>
      <xdr:rowOff>209623</xdr:rowOff>
    </xdr:to>
    <xdr:grpSp>
      <xdr:nvGrpSpPr>
        <xdr:cNvPr id="83" name="Group 8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GrpSpPr/>
      </xdr:nvGrpSpPr>
      <xdr:grpSpPr>
        <a:xfrm>
          <a:off x="0" y="19384736"/>
          <a:ext cx="3276598" cy="2868458"/>
          <a:chOff x="0" y="19831050"/>
          <a:chExt cx="3276598" cy="2868459"/>
        </a:xfrm>
      </xdr:grpSpPr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612" t="33631" r="57114" b="17483"/>
          <a:stretch/>
        </xdr:blipFill>
        <xdr:spPr bwMode="auto">
          <a:xfrm>
            <a:off x="0" y="20305123"/>
            <a:ext cx="3276598" cy="23943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/>
        </xdr:nvSpPr>
        <xdr:spPr>
          <a:xfrm>
            <a:off x="288471" y="19831050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16</xdr:col>
      <xdr:colOff>21772</xdr:colOff>
      <xdr:row>44</xdr:row>
      <xdr:rowOff>19050</xdr:rowOff>
    </xdr:from>
    <xdr:to>
      <xdr:col>20</xdr:col>
      <xdr:colOff>511629</xdr:colOff>
      <xdr:row>50</xdr:row>
      <xdr:rowOff>234812</xdr:rowOff>
    </xdr:to>
    <xdr:grpSp>
      <xdr:nvGrpSpPr>
        <xdr:cNvPr id="84" name="Group 8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11168743" y="19384736"/>
          <a:ext cx="3276600" cy="2893647"/>
          <a:chOff x="3722915" y="19831050"/>
          <a:chExt cx="3276600" cy="2893648"/>
        </a:xfrm>
      </xdr:grpSpPr>
      <xdr:pic>
        <xdr:nvPicPr>
          <xdr:cNvPr id="59" name="Picture 5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864" t="44227" r="52883" b="5889"/>
          <a:stretch/>
        </xdr:blipFill>
        <xdr:spPr bwMode="auto">
          <a:xfrm>
            <a:off x="3722915" y="20280088"/>
            <a:ext cx="3276600" cy="24446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/>
        </xdr:nvSpPr>
        <xdr:spPr>
          <a:xfrm>
            <a:off x="4033156" y="19831050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52</xdr:row>
      <xdr:rowOff>40822</xdr:rowOff>
    </xdr:from>
    <xdr:to>
      <xdr:col>5</xdr:col>
      <xdr:colOff>186153</xdr:colOff>
      <xdr:row>58</xdr:row>
      <xdr:rowOff>239485</xdr:rowOff>
    </xdr:to>
    <xdr:grpSp>
      <xdr:nvGrpSpPr>
        <xdr:cNvPr id="85" name="Group 8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GrpSpPr/>
      </xdr:nvGrpSpPr>
      <xdr:grpSpPr>
        <a:xfrm>
          <a:off x="0" y="22977022"/>
          <a:ext cx="3669582" cy="2876549"/>
          <a:chOff x="0" y="23423336"/>
          <a:chExt cx="3669582" cy="2876549"/>
        </a:xfrm>
      </xdr:grpSpPr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297" t="26376" r="45257" b="23801"/>
          <a:stretch/>
        </xdr:blipFill>
        <xdr:spPr bwMode="auto">
          <a:xfrm>
            <a:off x="0" y="23839715"/>
            <a:ext cx="3669582" cy="24601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/>
        </xdr:nvSpPr>
        <xdr:spPr>
          <a:xfrm>
            <a:off x="288468" y="23423336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22</xdr:col>
      <xdr:colOff>533403</xdr:colOff>
      <xdr:row>52</xdr:row>
      <xdr:rowOff>40822</xdr:rowOff>
    </xdr:from>
    <xdr:to>
      <xdr:col>28</xdr:col>
      <xdr:colOff>13732</xdr:colOff>
      <xdr:row>58</xdr:row>
      <xdr:rowOff>272143</xdr:rowOff>
    </xdr:to>
    <xdr:grpSp>
      <xdr:nvGrpSpPr>
        <xdr:cNvPr id="86" name="Group 8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GrpSpPr/>
      </xdr:nvGrpSpPr>
      <xdr:grpSpPr>
        <a:xfrm>
          <a:off x="15860489" y="22977022"/>
          <a:ext cx="3660443" cy="2909207"/>
          <a:chOff x="4071260" y="23423336"/>
          <a:chExt cx="3660443" cy="2909207"/>
        </a:xfrm>
      </xdr:grpSpPr>
      <xdr:pic>
        <xdr:nvPicPr>
          <xdr:cNvPr id="63" name="Picture 62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367" t="32794" r="50997" b="17186"/>
          <a:stretch/>
        </xdr:blipFill>
        <xdr:spPr bwMode="auto">
          <a:xfrm>
            <a:off x="4071260" y="23861489"/>
            <a:ext cx="3660443" cy="247105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/>
        </xdr:nvSpPr>
        <xdr:spPr>
          <a:xfrm>
            <a:off x="4337954" y="23423336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60</xdr:row>
      <xdr:rowOff>95252</xdr:rowOff>
    </xdr:from>
    <xdr:to>
      <xdr:col>5</xdr:col>
      <xdr:colOff>614903</xdr:colOff>
      <xdr:row>66</xdr:row>
      <xdr:rowOff>283030</xdr:rowOff>
    </xdr:to>
    <xdr:grpSp>
      <xdr:nvGrpSpPr>
        <xdr:cNvPr id="87" name="Group 8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0" y="26601966"/>
          <a:ext cx="4098332" cy="2865664"/>
          <a:chOff x="0" y="27048281"/>
          <a:chExt cx="4098332" cy="2865663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6" t="32586" r="47009" b="18016"/>
          <a:stretch/>
        </xdr:blipFill>
        <xdr:spPr bwMode="auto">
          <a:xfrm>
            <a:off x="0" y="27432003"/>
            <a:ext cx="4098332" cy="24819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/>
        </xdr:nvSpPr>
        <xdr:spPr>
          <a:xfrm>
            <a:off x="310240" y="2704828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9-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66</xdr:row>
      <xdr:rowOff>432706</xdr:rowOff>
    </xdr:from>
    <xdr:to>
      <xdr:col>5</xdr:col>
      <xdr:colOff>654009</xdr:colOff>
      <xdr:row>73</xdr:row>
      <xdr:rowOff>195941</xdr:rowOff>
    </xdr:to>
    <xdr:grpSp>
      <xdr:nvGrpSpPr>
        <xdr:cNvPr id="88" name="Group 8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GrpSpPr/>
      </xdr:nvGrpSpPr>
      <xdr:grpSpPr>
        <a:xfrm>
          <a:off x="0" y="29617306"/>
          <a:ext cx="4137438" cy="2887435"/>
          <a:chOff x="4474029" y="27048281"/>
          <a:chExt cx="4137438" cy="2887434"/>
        </a:xfrm>
      </xdr:grpSpPr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100-00004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62" t="5396" r="39832" b="16355"/>
          <a:stretch/>
        </xdr:blipFill>
        <xdr:spPr bwMode="auto">
          <a:xfrm>
            <a:off x="4474029" y="27432001"/>
            <a:ext cx="4137438" cy="25037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00000000-0008-0000-0100-000046000000}"/>
              </a:ext>
            </a:extLst>
          </xdr:cNvPr>
          <xdr:cNvSpPr/>
        </xdr:nvSpPr>
        <xdr:spPr>
          <a:xfrm>
            <a:off x="4784267" y="2704828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75</xdr:row>
      <xdr:rowOff>127909</xdr:rowOff>
    </xdr:from>
    <xdr:to>
      <xdr:col>6</xdr:col>
      <xdr:colOff>315686</xdr:colOff>
      <xdr:row>81</xdr:row>
      <xdr:rowOff>334927</xdr:rowOff>
    </xdr:to>
    <xdr:grpSp>
      <xdr:nvGrpSpPr>
        <xdr:cNvPr id="89" name="Group 8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GrpSpPr/>
      </xdr:nvGrpSpPr>
      <xdr:grpSpPr>
        <a:xfrm>
          <a:off x="0" y="33329338"/>
          <a:ext cx="4495800" cy="2884903"/>
          <a:chOff x="0" y="30651452"/>
          <a:chExt cx="4495800" cy="2884904"/>
        </a:xfrm>
      </xdr:grpSpPr>
      <xdr:pic>
        <xdr:nvPicPr>
          <xdr:cNvPr id="71" name="Picture 70">
            <a:extLst>
              <a:ext uri="{FF2B5EF4-FFF2-40B4-BE49-F238E27FC236}">
                <a16:creationId xmlns:a16="http://schemas.microsoft.com/office/drawing/2014/main" id="{00000000-0008-0000-0100-00004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521" t="2490" r="36730" b="48319"/>
          <a:stretch/>
        </xdr:blipFill>
        <xdr:spPr bwMode="auto">
          <a:xfrm>
            <a:off x="0" y="31035172"/>
            <a:ext cx="4495800" cy="25011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00000000-0008-0000-0100-000048000000}"/>
              </a:ext>
            </a:extLst>
          </xdr:cNvPr>
          <xdr:cNvSpPr/>
        </xdr:nvSpPr>
        <xdr:spPr>
          <a:xfrm>
            <a:off x="310240" y="30651452"/>
            <a:ext cx="173627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10-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612000</xdr:colOff>
      <xdr:row>82</xdr:row>
      <xdr:rowOff>158389</xdr:rowOff>
    </xdr:from>
    <xdr:to>
      <xdr:col>20</xdr:col>
      <xdr:colOff>337679</xdr:colOff>
      <xdr:row>88</xdr:row>
      <xdr:rowOff>367938</xdr:rowOff>
    </xdr:to>
    <xdr:grpSp>
      <xdr:nvGrpSpPr>
        <xdr:cNvPr id="90" name="Group 8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9668914" y="36484018"/>
          <a:ext cx="4602479" cy="2887434"/>
          <a:chOff x="4855028" y="30651452"/>
          <a:chExt cx="4610099" cy="2887435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578" t="26586" r="49420" b="24430"/>
          <a:stretch/>
        </xdr:blipFill>
        <xdr:spPr bwMode="auto">
          <a:xfrm>
            <a:off x="4855028" y="31024287"/>
            <a:ext cx="4610099" cy="2514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100-00004A000000}"/>
              </a:ext>
            </a:extLst>
          </xdr:cNvPr>
          <xdr:cNvSpPr/>
        </xdr:nvSpPr>
        <xdr:spPr>
          <a:xfrm>
            <a:off x="5241469" y="30651452"/>
            <a:ext cx="173627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9-1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3</xdr:col>
      <xdr:colOff>239487</xdr:colOff>
      <xdr:row>20</xdr:row>
      <xdr:rowOff>206828</xdr:rowOff>
    </xdr:from>
    <xdr:to>
      <xdr:col>6</xdr:col>
      <xdr:colOff>108858</xdr:colOff>
      <xdr:row>26</xdr:row>
      <xdr:rowOff>115665</xdr:rowOff>
    </xdr:to>
    <xdr:grpSp>
      <xdr:nvGrpSpPr>
        <xdr:cNvPr id="2" name="Group 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29544" y="8860971"/>
          <a:ext cx="1959428" cy="2586723"/>
          <a:chOff x="2329544" y="8860971"/>
          <a:chExt cx="1959428" cy="2586723"/>
        </a:xfrm>
      </xdr:grpSpPr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390" t="17902" r="51536" b="15333"/>
          <a:stretch/>
        </xdr:blipFill>
        <xdr:spPr bwMode="auto">
          <a:xfrm>
            <a:off x="2329544" y="9252857"/>
            <a:ext cx="1959428" cy="219483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/>
        </xdr:nvSpPr>
        <xdr:spPr>
          <a:xfrm>
            <a:off x="2601680" y="886097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9</xdr:col>
      <xdr:colOff>185058</xdr:colOff>
      <xdr:row>36</xdr:row>
      <xdr:rowOff>141514</xdr:rowOff>
    </xdr:from>
    <xdr:to>
      <xdr:col>13</xdr:col>
      <xdr:colOff>206829</xdr:colOff>
      <xdr:row>42</xdr:row>
      <xdr:rowOff>191947</xdr:rowOff>
    </xdr:to>
    <xdr:grpSp>
      <xdr:nvGrpSpPr>
        <xdr:cNvPr id="3" name="Group 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455229" y="15936685"/>
          <a:ext cx="2808514" cy="2728319"/>
          <a:chOff x="6455229" y="15936685"/>
          <a:chExt cx="2808514" cy="2728319"/>
        </a:xfrm>
      </xdr:grpSpPr>
      <xdr:pic>
        <xdr:nvPicPr>
          <xdr:cNvPr id="92" name="Picture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719" t="27591" r="54283" b="30497"/>
          <a:stretch/>
        </xdr:blipFill>
        <xdr:spPr bwMode="auto">
          <a:xfrm>
            <a:off x="6455229" y="16306801"/>
            <a:ext cx="2808514" cy="235820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00000000-0008-0000-0100-00005D000000}"/>
              </a:ext>
            </a:extLst>
          </xdr:cNvPr>
          <xdr:cNvSpPr/>
        </xdr:nvSpPr>
        <xdr:spPr>
          <a:xfrm>
            <a:off x="6716487" y="15936685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555172</xdr:colOff>
      <xdr:row>36</xdr:row>
      <xdr:rowOff>141514</xdr:rowOff>
    </xdr:from>
    <xdr:to>
      <xdr:col>17</xdr:col>
      <xdr:colOff>587828</xdr:colOff>
      <xdr:row>42</xdr:row>
      <xdr:rowOff>192100</xdr:rowOff>
    </xdr:to>
    <xdr:grpSp>
      <xdr:nvGrpSpPr>
        <xdr:cNvPr id="4" name="Group 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9612086" y="15936685"/>
          <a:ext cx="2819399" cy="2728472"/>
          <a:chOff x="9612086" y="15936685"/>
          <a:chExt cx="2819399" cy="2728472"/>
        </a:xfrm>
      </xdr:grpSpPr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369" t="31382" r="51550" b="26495"/>
          <a:stretch/>
        </xdr:blipFill>
        <xdr:spPr bwMode="auto">
          <a:xfrm>
            <a:off x="9612086" y="16295916"/>
            <a:ext cx="2819399" cy="23692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/>
        </xdr:nvSpPr>
        <xdr:spPr>
          <a:xfrm>
            <a:off x="9884230" y="15936685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5</xdr:col>
      <xdr:colOff>533403</xdr:colOff>
      <xdr:row>52</xdr:row>
      <xdr:rowOff>43543</xdr:rowOff>
    </xdr:from>
    <xdr:to>
      <xdr:col>10</xdr:col>
      <xdr:colOff>685801</xdr:colOff>
      <xdr:row>58</xdr:row>
      <xdr:rowOff>199507</xdr:rowOff>
    </xdr:to>
    <xdr:grpSp>
      <xdr:nvGrpSpPr>
        <xdr:cNvPr id="5" name="Group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4016832" y="22979743"/>
          <a:ext cx="3635826" cy="2833850"/>
          <a:chOff x="8022774" y="22979743"/>
          <a:chExt cx="3635826" cy="2833850"/>
        </a:xfrm>
      </xdr:grpSpPr>
      <xdr:pic>
        <xdr:nvPicPr>
          <xdr:cNvPr id="96" name="Picture 95">
            <a:extLst>
              <a:ext uri="{FF2B5EF4-FFF2-40B4-BE49-F238E27FC236}">
                <a16:creationId xmlns:a16="http://schemas.microsoft.com/office/drawing/2014/main" id="{00000000-0008-0000-0100-000060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60" t="13900" r="34278" b="19967"/>
          <a:stretch/>
        </xdr:blipFill>
        <xdr:spPr bwMode="auto">
          <a:xfrm>
            <a:off x="8022774" y="23415172"/>
            <a:ext cx="3635826" cy="23984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/>
        </xdr:nvSpPr>
        <xdr:spPr>
          <a:xfrm>
            <a:off x="8305799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5</xdr:col>
      <xdr:colOff>239485</xdr:colOff>
      <xdr:row>44</xdr:row>
      <xdr:rowOff>21771</xdr:rowOff>
    </xdr:from>
    <xdr:to>
      <xdr:col>10</xdr:col>
      <xdr:colOff>24466</xdr:colOff>
      <xdr:row>50</xdr:row>
      <xdr:rowOff>217717</xdr:rowOff>
    </xdr:to>
    <xdr:grpSp>
      <xdr:nvGrpSpPr>
        <xdr:cNvPr id="6" name="Group 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3722914" y="19387457"/>
          <a:ext cx="3268409" cy="2873831"/>
          <a:chOff x="3722914" y="19387457"/>
          <a:chExt cx="3268409" cy="2873831"/>
        </a:xfrm>
      </xdr:grpSpPr>
      <xdr:pic>
        <xdr:nvPicPr>
          <xdr:cNvPr id="102" name="Picture 101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39" t="31223" r="47728" b="26721"/>
          <a:stretch/>
        </xdr:blipFill>
        <xdr:spPr bwMode="auto">
          <a:xfrm>
            <a:off x="3722914" y="19855546"/>
            <a:ext cx="3268409" cy="24057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/>
        </xdr:nvSpPr>
        <xdr:spPr>
          <a:xfrm>
            <a:off x="4038601" y="19387457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10</xdr:col>
      <xdr:colOff>489857</xdr:colOff>
      <xdr:row>44</xdr:row>
      <xdr:rowOff>21771</xdr:rowOff>
    </xdr:from>
    <xdr:to>
      <xdr:col>15</xdr:col>
      <xdr:colOff>304379</xdr:colOff>
      <xdr:row>50</xdr:row>
      <xdr:rowOff>195943</xdr:rowOff>
    </xdr:to>
    <xdr:grpSp>
      <xdr:nvGrpSpPr>
        <xdr:cNvPr id="7" name="Group 6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7456714" y="19387457"/>
          <a:ext cx="3297951" cy="2852057"/>
          <a:chOff x="7456714" y="19387457"/>
          <a:chExt cx="3297951" cy="2852057"/>
        </a:xfrm>
      </xdr:grpSpPr>
      <xdr:pic>
        <xdr:nvPicPr>
          <xdr:cNvPr id="98" name="Picture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960" t="24214" r="42677" b="9303"/>
          <a:stretch/>
        </xdr:blipFill>
        <xdr:spPr bwMode="auto">
          <a:xfrm>
            <a:off x="7456714" y="19855546"/>
            <a:ext cx="3297951" cy="23839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/>
        </xdr:nvSpPr>
        <xdr:spPr>
          <a:xfrm>
            <a:off x="7859487" y="19387457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11</xdr:col>
      <xdr:colOff>217715</xdr:colOff>
      <xdr:row>52</xdr:row>
      <xdr:rowOff>43543</xdr:rowOff>
    </xdr:from>
    <xdr:to>
      <xdr:col>16</xdr:col>
      <xdr:colOff>370116</xdr:colOff>
      <xdr:row>58</xdr:row>
      <xdr:rowOff>218038</xdr:rowOff>
    </xdr:to>
    <xdr:grpSp>
      <xdr:nvGrpSpPr>
        <xdr:cNvPr id="8" name="Group 7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7881258" y="22979743"/>
          <a:ext cx="3635829" cy="2852381"/>
          <a:chOff x="11887200" y="22979743"/>
          <a:chExt cx="3635829" cy="2852381"/>
        </a:xfrm>
      </xdr:grpSpPr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634" t="25701" r="47182" b="7391"/>
          <a:stretch/>
        </xdr:blipFill>
        <xdr:spPr bwMode="auto">
          <a:xfrm>
            <a:off x="11887200" y="23426061"/>
            <a:ext cx="3635829" cy="24060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/>
        </xdr:nvSpPr>
        <xdr:spPr>
          <a:xfrm>
            <a:off x="12257315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17</xdr:col>
      <xdr:colOff>10885</xdr:colOff>
      <xdr:row>52</xdr:row>
      <xdr:rowOff>43543</xdr:rowOff>
    </xdr:from>
    <xdr:to>
      <xdr:col>22</xdr:col>
      <xdr:colOff>141516</xdr:colOff>
      <xdr:row>58</xdr:row>
      <xdr:rowOff>215552</xdr:rowOff>
    </xdr:to>
    <xdr:grpSp>
      <xdr:nvGrpSpPr>
        <xdr:cNvPr id="9" name="Group 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11854542" y="22979743"/>
          <a:ext cx="3614060" cy="2849895"/>
          <a:chOff x="15860484" y="22979743"/>
          <a:chExt cx="3614060" cy="2849895"/>
        </a:xfrm>
      </xdr:grpSpPr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41" t="14040" r="45941" b="18740"/>
          <a:stretch/>
        </xdr:blipFill>
        <xdr:spPr bwMode="auto">
          <a:xfrm>
            <a:off x="15860484" y="23415172"/>
            <a:ext cx="3614060" cy="24144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/>
        </xdr:nvSpPr>
        <xdr:spPr>
          <a:xfrm>
            <a:off x="16121744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108858</xdr:colOff>
      <xdr:row>60</xdr:row>
      <xdr:rowOff>97971</xdr:rowOff>
    </xdr:from>
    <xdr:to>
      <xdr:col>12</xdr:col>
      <xdr:colOff>68267</xdr:colOff>
      <xdr:row>66</xdr:row>
      <xdr:rowOff>272143</xdr:rowOff>
    </xdr:to>
    <xdr:grpSp>
      <xdr:nvGrpSpPr>
        <xdr:cNvPr id="10" name="Group 9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4288972" y="26604685"/>
          <a:ext cx="4139524" cy="2852058"/>
          <a:chOff x="4258827" y="26556956"/>
          <a:chExt cx="4109378" cy="2847033"/>
        </a:xfrm>
      </xdr:grpSpPr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529" t="19516" r="38603" b="14086"/>
          <a:stretch/>
        </xdr:blipFill>
        <xdr:spPr bwMode="auto">
          <a:xfrm>
            <a:off x="4258827" y="26958892"/>
            <a:ext cx="4109378" cy="24450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0" name="Rectangle 109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/>
        </xdr:nvSpPr>
        <xdr:spPr>
          <a:xfrm>
            <a:off x="4628945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12</xdr:col>
      <xdr:colOff>272142</xdr:colOff>
      <xdr:row>60</xdr:row>
      <xdr:rowOff>97971</xdr:rowOff>
    </xdr:from>
    <xdr:to>
      <xdr:col>18</xdr:col>
      <xdr:colOff>179072</xdr:colOff>
      <xdr:row>66</xdr:row>
      <xdr:rowOff>272143</xdr:rowOff>
    </xdr:to>
    <xdr:grpSp>
      <xdr:nvGrpSpPr>
        <xdr:cNvPr id="11" name="Group 1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8632371" y="26604685"/>
          <a:ext cx="4087044" cy="2852058"/>
          <a:chOff x="8572080" y="26556956"/>
          <a:chExt cx="4056900" cy="2847033"/>
        </a:xfrm>
      </xdr:grpSpPr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407" t="12941" r="41422" b="20238"/>
          <a:stretch/>
        </xdr:blipFill>
        <xdr:spPr bwMode="auto">
          <a:xfrm>
            <a:off x="8572080" y="26937121"/>
            <a:ext cx="4056900" cy="24668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2" name="Rectangle 111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/>
        </xdr:nvSpPr>
        <xdr:spPr>
          <a:xfrm>
            <a:off x="8942200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18</xdr:col>
      <xdr:colOff>385188</xdr:colOff>
      <xdr:row>60</xdr:row>
      <xdr:rowOff>97971</xdr:rowOff>
    </xdr:from>
    <xdr:to>
      <xdr:col>24</xdr:col>
      <xdr:colOff>319873</xdr:colOff>
      <xdr:row>66</xdr:row>
      <xdr:rowOff>291738</xdr:rowOff>
    </xdr:to>
    <xdr:grpSp>
      <xdr:nvGrpSpPr>
        <xdr:cNvPr id="12" name="Group 1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2925531" y="26604685"/>
          <a:ext cx="4114799" cy="2871653"/>
          <a:chOff x="12835096" y="26556956"/>
          <a:chExt cx="4084654" cy="2866628"/>
        </a:xfrm>
      </xdr:grpSpPr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353" t="21394" r="39134" b="11883"/>
          <a:stretch/>
        </xdr:blipFill>
        <xdr:spPr bwMode="auto">
          <a:xfrm>
            <a:off x="12835096" y="26958891"/>
            <a:ext cx="4084654" cy="24646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/>
        </xdr:nvSpPr>
        <xdr:spPr>
          <a:xfrm>
            <a:off x="13232846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480649</xdr:colOff>
      <xdr:row>75</xdr:row>
      <xdr:rowOff>133142</xdr:rowOff>
    </xdr:from>
    <xdr:to>
      <xdr:col>13</xdr:col>
      <xdr:colOff>222739</xdr:colOff>
      <xdr:row>81</xdr:row>
      <xdr:rowOff>344319</xdr:rowOff>
    </xdr:to>
    <xdr:grpSp>
      <xdr:nvGrpSpPr>
        <xdr:cNvPr id="13" name="Group 1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4660763" y="33334571"/>
          <a:ext cx="4618890" cy="2889062"/>
          <a:chOff x="4686889" y="29927342"/>
          <a:chExt cx="4649370" cy="2862937"/>
        </a:xfrm>
      </xdr:grpSpPr>
      <xdr:pic>
        <xdr:nvPicPr>
          <xdr:cNvPr id="115" name="Picture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452" t="29099" r="36564" b="29057"/>
          <a:stretch/>
        </xdr:blipFill>
        <xdr:spPr bwMode="auto">
          <a:xfrm>
            <a:off x="4686889" y="30306499"/>
            <a:ext cx="4649370" cy="248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5057171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445480</xdr:colOff>
      <xdr:row>75</xdr:row>
      <xdr:rowOff>133142</xdr:rowOff>
    </xdr:from>
    <xdr:to>
      <xdr:col>20</xdr:col>
      <xdr:colOff>131198</xdr:colOff>
      <xdr:row>81</xdr:row>
      <xdr:rowOff>351692</xdr:rowOff>
    </xdr:to>
    <xdr:grpSp>
      <xdr:nvGrpSpPr>
        <xdr:cNvPr id="14" name="Group 1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9502394" y="33334571"/>
          <a:ext cx="4562518" cy="2896435"/>
          <a:chOff x="9559000" y="29927342"/>
          <a:chExt cx="4592998" cy="2870310"/>
        </a:xfrm>
      </xdr:grpSpPr>
      <xdr:pic>
        <xdr:nvPicPr>
          <xdr:cNvPr id="117" name="Picture 116">
            <a:extLst>
              <a:ext uri="{FF2B5EF4-FFF2-40B4-BE49-F238E27FC236}">
                <a16:creationId xmlns:a16="http://schemas.microsoft.com/office/drawing/2014/main" id="{00000000-0008-0000-0100-00007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38" t="8684" r="37184" b="24804"/>
          <a:stretch/>
        </xdr:blipFill>
        <xdr:spPr bwMode="auto">
          <a:xfrm>
            <a:off x="9559000" y="30329944"/>
            <a:ext cx="4592998" cy="24677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8" name="Rectangle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/>
        </xdr:nvSpPr>
        <xdr:spPr>
          <a:xfrm>
            <a:off x="9952728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81474</xdr:colOff>
      <xdr:row>82</xdr:row>
      <xdr:rowOff>148382</xdr:rowOff>
    </xdr:from>
    <xdr:to>
      <xdr:col>6</xdr:col>
      <xdr:colOff>541490</xdr:colOff>
      <xdr:row>88</xdr:row>
      <xdr:rowOff>355209</xdr:rowOff>
    </xdr:to>
    <xdr:grpSp>
      <xdr:nvGrpSpPr>
        <xdr:cNvPr id="15" name="Group 1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81474" y="36474011"/>
          <a:ext cx="4640130" cy="2884712"/>
          <a:chOff x="14422314" y="29927342"/>
          <a:chExt cx="4666256" cy="2858587"/>
        </a:xfrm>
      </xdr:grpSpPr>
      <xdr:pic>
        <xdr:nvPicPr>
          <xdr:cNvPr id="119" name="Picture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1" t="10636" r="31071" b="23633"/>
          <a:stretch/>
        </xdr:blipFill>
        <xdr:spPr bwMode="auto">
          <a:xfrm>
            <a:off x="14422314" y="30318221"/>
            <a:ext cx="4666256" cy="24677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00000000-0008-0000-0100-000078000000}"/>
              </a:ext>
            </a:extLst>
          </xdr:cNvPr>
          <xdr:cNvSpPr/>
        </xdr:nvSpPr>
        <xdr:spPr>
          <a:xfrm>
            <a:off x="14717768" y="29927342"/>
            <a:ext cx="163363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655320</xdr:colOff>
      <xdr:row>82</xdr:row>
      <xdr:rowOff>163622</xdr:rowOff>
    </xdr:from>
    <xdr:to>
      <xdr:col>13</xdr:col>
      <xdr:colOff>350519</xdr:colOff>
      <xdr:row>88</xdr:row>
      <xdr:rowOff>383572</xdr:rowOff>
    </xdr:to>
    <xdr:grpSp>
      <xdr:nvGrpSpPr>
        <xdr:cNvPr id="16" name="Group 1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4835434" y="36489251"/>
          <a:ext cx="4571999" cy="2897835"/>
          <a:chOff x="19309081" y="29927342"/>
          <a:chExt cx="4602479" cy="2871710"/>
        </a:xfrm>
      </xdr:grpSpPr>
      <xdr:pic>
        <xdr:nvPicPr>
          <xdr:cNvPr id="121" name="Picture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605" t="13788" r="30717" b="19389"/>
          <a:stretch/>
        </xdr:blipFill>
        <xdr:spPr bwMode="auto">
          <a:xfrm>
            <a:off x="19309081" y="30286960"/>
            <a:ext cx="4602479" cy="25120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19678388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 editAs="oneCell">
    <xdr:from>
      <xdr:col>0</xdr:col>
      <xdr:colOff>0</xdr:colOff>
      <xdr:row>91</xdr:row>
      <xdr:rowOff>163288</xdr:rowOff>
    </xdr:from>
    <xdr:to>
      <xdr:col>3</xdr:col>
      <xdr:colOff>261258</xdr:colOff>
      <xdr:row>96</xdr:row>
      <xdr:rowOff>283030</xdr:rowOff>
    </xdr:to>
    <xdr:pic>
      <xdr:nvPicPr>
        <xdr:cNvPr id="123" name="Picture 122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86" t="20756" r="36617" b="36696"/>
        <a:stretch/>
      </xdr:blipFill>
      <xdr:spPr bwMode="auto">
        <a:xfrm>
          <a:off x="0" y="40505745"/>
          <a:ext cx="2351315" cy="2351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174172</xdr:colOff>
      <xdr:row>91</xdr:row>
      <xdr:rowOff>141518</xdr:rowOff>
    </xdr:from>
    <xdr:to>
      <xdr:col>7</xdr:col>
      <xdr:colOff>104813</xdr:colOff>
      <xdr:row>96</xdr:row>
      <xdr:rowOff>293916</xdr:rowOff>
    </xdr:to>
    <xdr:pic>
      <xdr:nvPicPr>
        <xdr:cNvPr id="124" name="Picture 123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41" t="24491" r="59746" b="31922"/>
        <a:stretch/>
      </xdr:blipFill>
      <xdr:spPr bwMode="auto">
        <a:xfrm>
          <a:off x="2960915" y="40483975"/>
          <a:ext cx="2020698" cy="2383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304799</xdr:colOff>
      <xdr:row>91</xdr:row>
      <xdr:rowOff>152404</xdr:rowOff>
    </xdr:from>
    <xdr:to>
      <xdr:col>11</xdr:col>
      <xdr:colOff>528873</xdr:colOff>
      <xdr:row>96</xdr:row>
      <xdr:rowOff>261260</xdr:rowOff>
    </xdr:to>
    <xdr:pic>
      <xdr:nvPicPr>
        <xdr:cNvPr id="125" name="Picture 12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27" t="31341" r="51536" b="31714"/>
        <a:stretch/>
      </xdr:blipFill>
      <xdr:spPr bwMode="auto">
        <a:xfrm>
          <a:off x="5878285" y="40494861"/>
          <a:ext cx="2314131" cy="2340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185056</xdr:colOff>
      <xdr:row>0</xdr:row>
      <xdr:rowOff>0</xdr:rowOff>
    </xdr:from>
    <xdr:to>
      <xdr:col>12</xdr:col>
      <xdr:colOff>679167</xdr:colOff>
      <xdr:row>2</xdr:row>
      <xdr:rowOff>442355</xdr:rowOff>
    </xdr:to>
    <xdr:sp macro="" textlink="">
      <xdr:nvSpPr>
        <xdr:cNvPr id="126" name="Left Arrow 125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7848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10885</xdr:colOff>
      <xdr:row>1</xdr:row>
      <xdr:rowOff>348343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0" y="0"/>
          <a:ext cx="6251665" cy="5236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8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EURO</a:t>
          </a:r>
          <a:r>
            <a:rPr lang="en-US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FUJI </a:t>
          </a:r>
          <a:r>
            <a:rPr lang="th-TH" sz="2800" b="0" baseline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 บานเฟื้ยมรางยู</a:t>
          </a:r>
          <a:endParaRPr lang="th-TH" sz="28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127</xdr:row>
      <xdr:rowOff>97972</xdr:rowOff>
    </xdr:from>
    <xdr:to>
      <xdr:col>5</xdr:col>
      <xdr:colOff>516040</xdr:colOff>
      <xdr:row>133</xdr:row>
      <xdr:rowOff>119436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63" t="32447" r="43890" b="27989"/>
        <a:stretch/>
      </xdr:blipFill>
      <xdr:spPr bwMode="auto">
        <a:xfrm>
          <a:off x="0" y="55960192"/>
          <a:ext cx="3983140" cy="2673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13</xdr:col>
      <xdr:colOff>0</xdr:colOff>
      <xdr:row>137</xdr:row>
      <xdr:rowOff>163287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05" t="26868" r="39410" b="9740"/>
        <a:stretch/>
      </xdr:blipFill>
      <xdr:spPr bwMode="auto">
        <a:xfrm>
          <a:off x="4160520" y="57188100"/>
          <a:ext cx="4853940" cy="325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8</xdr:col>
      <xdr:colOff>489857</xdr:colOff>
      <xdr:row>160</xdr:row>
      <xdr:rowOff>174172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04" t="11545" r="34744" b="24853"/>
        <a:stretch/>
      </xdr:blipFill>
      <xdr:spPr bwMode="auto">
        <a:xfrm>
          <a:off x="693420" y="67353180"/>
          <a:ext cx="5343797" cy="3267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152399</xdr:colOff>
      <xdr:row>154</xdr:row>
      <xdr:rowOff>0</xdr:rowOff>
    </xdr:from>
    <xdr:to>
      <xdr:col>13</xdr:col>
      <xdr:colOff>214908</xdr:colOff>
      <xdr:row>160</xdr:row>
      <xdr:rowOff>359229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02" t="29891" r="44617" b="30393"/>
        <a:stretch/>
      </xdr:blipFill>
      <xdr:spPr bwMode="auto">
        <a:xfrm>
          <a:off x="4312919" y="67795140"/>
          <a:ext cx="4916449" cy="3010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8</xdr:col>
      <xdr:colOff>115695</xdr:colOff>
      <xdr:row>180</xdr:row>
      <xdr:rowOff>195943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15" t="21321" r="37649" b="38754"/>
        <a:stretch/>
      </xdr:blipFill>
      <xdr:spPr bwMode="auto">
        <a:xfrm>
          <a:off x="1386840" y="77076300"/>
          <a:ext cx="4276215" cy="2405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65314</xdr:colOff>
      <xdr:row>174</xdr:row>
      <xdr:rowOff>152400</xdr:rowOff>
    </xdr:from>
    <xdr:to>
      <xdr:col>13</xdr:col>
      <xdr:colOff>395346</xdr:colOff>
      <xdr:row>180</xdr:row>
      <xdr:rowOff>391887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97" t="25539" r="32058" b="11241"/>
        <a:stretch/>
      </xdr:blipFill>
      <xdr:spPr bwMode="auto">
        <a:xfrm>
          <a:off x="4225834" y="76786740"/>
          <a:ext cx="5183972" cy="2891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</xdr:row>
      <xdr:rowOff>225882</xdr:rowOff>
    </xdr:from>
    <xdr:to>
      <xdr:col>2</xdr:col>
      <xdr:colOff>435428</xdr:colOff>
      <xdr:row>10</xdr:row>
      <xdr:rowOff>108861</xdr:rowOff>
    </xdr:to>
    <xdr:grpSp>
      <xdr:nvGrpSpPr>
        <xdr:cNvPr id="9" name="Group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0" y="1738996"/>
          <a:ext cx="1828799" cy="2560865"/>
          <a:chOff x="0" y="2054679"/>
          <a:chExt cx="1828799" cy="2560864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397" t="13188" r="54026" b="8519"/>
          <a:stretch/>
        </xdr:blipFill>
        <xdr:spPr bwMode="auto">
          <a:xfrm>
            <a:off x="0" y="2427515"/>
            <a:ext cx="1292925" cy="218802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30626" y="2054679"/>
            <a:ext cx="1698173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2-0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12</xdr:row>
      <xdr:rowOff>193227</xdr:rowOff>
    </xdr:from>
    <xdr:to>
      <xdr:col>2</xdr:col>
      <xdr:colOff>500743</xdr:colOff>
      <xdr:row>18</xdr:row>
      <xdr:rowOff>122568</xdr:rowOff>
    </xdr:to>
    <xdr:grpSp>
      <xdr:nvGrpSpPr>
        <xdr:cNvPr id="12" name="Group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0" y="5276856"/>
          <a:ext cx="1894114" cy="2607226"/>
          <a:chOff x="0" y="5538108"/>
          <a:chExt cx="1894114" cy="2607226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355" t="10033" r="54187" b="11371"/>
          <a:stretch/>
        </xdr:blipFill>
        <xdr:spPr bwMode="auto">
          <a:xfrm>
            <a:off x="0" y="5954486"/>
            <a:ext cx="1608175" cy="219084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228600" y="5538108"/>
            <a:ext cx="16655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3-0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3</xdr:col>
      <xdr:colOff>76199</xdr:colOff>
      <xdr:row>12</xdr:row>
      <xdr:rowOff>193227</xdr:rowOff>
    </xdr:from>
    <xdr:to>
      <xdr:col>5</xdr:col>
      <xdr:colOff>576943</xdr:colOff>
      <xdr:row>18</xdr:row>
      <xdr:rowOff>155316</xdr:rowOff>
    </xdr:to>
    <xdr:grpSp>
      <xdr:nvGrpSpPr>
        <xdr:cNvPr id="15" name="Group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/>
      </xdr:nvGrpSpPr>
      <xdr:grpSpPr>
        <a:xfrm>
          <a:off x="2166256" y="5276856"/>
          <a:ext cx="1894116" cy="2639974"/>
          <a:chOff x="2166256" y="5538108"/>
          <a:chExt cx="1894116" cy="263997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60" t="10886" r="52082" b="11450"/>
          <a:stretch/>
        </xdr:blipFill>
        <xdr:spPr bwMode="auto">
          <a:xfrm>
            <a:off x="2166256" y="6041571"/>
            <a:ext cx="1589315" cy="21365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2432958" y="553810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20</xdr:row>
      <xdr:rowOff>204110</xdr:rowOff>
    </xdr:from>
    <xdr:to>
      <xdr:col>2</xdr:col>
      <xdr:colOff>558010</xdr:colOff>
      <xdr:row>26</xdr:row>
      <xdr:rowOff>111637</xdr:rowOff>
    </xdr:to>
    <xdr:grpSp>
      <xdr:nvGrpSpPr>
        <xdr:cNvPr id="18" name="Group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0" y="8858253"/>
          <a:ext cx="1951381" cy="2585413"/>
          <a:chOff x="0" y="9163049"/>
          <a:chExt cx="1951381" cy="2585414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223" t="14841" r="58281" b="7400"/>
          <a:stretch/>
        </xdr:blipFill>
        <xdr:spPr bwMode="auto">
          <a:xfrm>
            <a:off x="0" y="9568542"/>
            <a:ext cx="1951381" cy="21799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234044" y="9163049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667416</xdr:colOff>
      <xdr:row>20</xdr:row>
      <xdr:rowOff>193225</xdr:rowOff>
    </xdr:from>
    <xdr:to>
      <xdr:col>9</xdr:col>
      <xdr:colOff>543708</xdr:colOff>
      <xdr:row>26</xdr:row>
      <xdr:rowOff>130631</xdr:rowOff>
    </xdr:to>
    <xdr:grpSp>
      <xdr:nvGrpSpPr>
        <xdr:cNvPr id="21" name="Group 2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4847530" y="8847368"/>
          <a:ext cx="1966349" cy="2615292"/>
          <a:chOff x="2354702" y="9152164"/>
          <a:chExt cx="1966349" cy="2615293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677" t="28086" r="58721" b="22448"/>
          <a:stretch/>
        </xdr:blipFill>
        <xdr:spPr bwMode="auto">
          <a:xfrm>
            <a:off x="2354702" y="9557655"/>
            <a:ext cx="1966349" cy="22098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2607129" y="9152164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28</xdr:row>
      <xdr:rowOff>95249</xdr:rowOff>
    </xdr:from>
    <xdr:to>
      <xdr:col>3</xdr:col>
      <xdr:colOff>345655</xdr:colOff>
      <xdr:row>34</xdr:row>
      <xdr:rowOff>163284</xdr:rowOff>
    </xdr:to>
    <xdr:grpSp>
      <xdr:nvGrpSpPr>
        <xdr:cNvPr id="24" name="Group 23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0" y="12319906"/>
          <a:ext cx="2435712" cy="2745921"/>
          <a:chOff x="0" y="12842422"/>
          <a:chExt cx="2435712" cy="2745921"/>
        </a:xfrm>
      </xdr:grpSpPr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185" t="11514" r="48268" b="10404"/>
          <a:stretch/>
        </xdr:blipFill>
        <xdr:spPr bwMode="auto">
          <a:xfrm>
            <a:off x="0" y="13258802"/>
            <a:ext cx="2435712" cy="23295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277586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4</xdr:col>
      <xdr:colOff>54426</xdr:colOff>
      <xdr:row>28</xdr:row>
      <xdr:rowOff>95249</xdr:rowOff>
    </xdr:from>
    <xdr:to>
      <xdr:col>7</xdr:col>
      <xdr:colOff>380999</xdr:colOff>
      <xdr:row>34</xdr:row>
      <xdr:rowOff>139575</xdr:rowOff>
    </xdr:to>
    <xdr:grpSp>
      <xdr:nvGrpSpPr>
        <xdr:cNvPr id="27" name="Group 2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2841169" y="12319906"/>
          <a:ext cx="2416630" cy="2722212"/>
          <a:chOff x="2841169" y="12842422"/>
          <a:chExt cx="2416630" cy="2722212"/>
        </a:xfrm>
      </xdr:grpSpPr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805" t="1263" r="54920" b="20648"/>
          <a:stretch/>
        </xdr:blipFill>
        <xdr:spPr bwMode="auto">
          <a:xfrm>
            <a:off x="2841169" y="13247917"/>
            <a:ext cx="2416630" cy="231671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3107872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8</xdr:col>
      <xdr:colOff>130629</xdr:colOff>
      <xdr:row>28</xdr:row>
      <xdr:rowOff>95249</xdr:rowOff>
    </xdr:from>
    <xdr:to>
      <xdr:col>11</xdr:col>
      <xdr:colOff>357887</xdr:colOff>
      <xdr:row>34</xdr:row>
      <xdr:rowOff>27591</xdr:rowOff>
    </xdr:to>
    <xdr:grpSp>
      <xdr:nvGrpSpPr>
        <xdr:cNvPr id="30" name="Group 29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5704115" y="12319906"/>
          <a:ext cx="2317315" cy="2610228"/>
          <a:chOff x="5704115" y="12842422"/>
          <a:chExt cx="2317315" cy="2610228"/>
        </a:xfrm>
      </xdr:grpSpPr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686" t="26238" r="52436" b="24433"/>
          <a:stretch/>
        </xdr:blipFill>
        <xdr:spPr bwMode="auto">
          <a:xfrm>
            <a:off x="5704115" y="13247917"/>
            <a:ext cx="2317315" cy="220473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5981700" y="12842422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3-2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36</xdr:row>
      <xdr:rowOff>138792</xdr:rowOff>
    </xdr:from>
    <xdr:to>
      <xdr:col>4</xdr:col>
      <xdr:colOff>27339</xdr:colOff>
      <xdr:row>42</xdr:row>
      <xdr:rowOff>174170</xdr:rowOff>
    </xdr:to>
    <xdr:grpSp>
      <xdr:nvGrpSpPr>
        <xdr:cNvPr id="33" name="Group 3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pSpPr/>
      </xdr:nvGrpSpPr>
      <xdr:grpSpPr>
        <a:xfrm>
          <a:off x="0" y="15933963"/>
          <a:ext cx="2814082" cy="2713264"/>
          <a:chOff x="0" y="16380278"/>
          <a:chExt cx="2814082" cy="2713263"/>
        </a:xfrm>
      </xdr:grpSpPr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288471" y="1638027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009" t="19283" r="49863" b="2117"/>
          <a:stretch/>
        </xdr:blipFill>
        <xdr:spPr bwMode="auto">
          <a:xfrm>
            <a:off x="0" y="16764002"/>
            <a:ext cx="2814082" cy="2329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413657</xdr:colOff>
      <xdr:row>36</xdr:row>
      <xdr:rowOff>138792</xdr:rowOff>
    </xdr:from>
    <xdr:to>
      <xdr:col>8</xdr:col>
      <xdr:colOff>456034</xdr:colOff>
      <xdr:row>42</xdr:row>
      <xdr:rowOff>185057</xdr:rowOff>
    </xdr:to>
    <xdr:grpSp>
      <xdr:nvGrpSpPr>
        <xdr:cNvPr id="36" name="Group 3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pSpPr/>
      </xdr:nvGrpSpPr>
      <xdr:grpSpPr>
        <a:xfrm>
          <a:off x="3200400" y="15933963"/>
          <a:ext cx="2829120" cy="2724151"/>
          <a:chOff x="3200400" y="16380278"/>
          <a:chExt cx="2829120" cy="2724150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127" t="7886" r="50997" b="14488"/>
          <a:stretch/>
        </xdr:blipFill>
        <xdr:spPr bwMode="auto">
          <a:xfrm>
            <a:off x="3200400" y="16753114"/>
            <a:ext cx="2829120" cy="23513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3445329" y="16380278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44</xdr:row>
      <xdr:rowOff>19050</xdr:rowOff>
    </xdr:from>
    <xdr:to>
      <xdr:col>4</xdr:col>
      <xdr:colOff>489855</xdr:colOff>
      <xdr:row>50</xdr:row>
      <xdr:rowOff>209623</xdr:rowOff>
    </xdr:to>
    <xdr:grpSp>
      <xdr:nvGrpSpPr>
        <xdr:cNvPr id="39" name="Group 3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/>
      </xdr:nvGrpSpPr>
      <xdr:grpSpPr>
        <a:xfrm>
          <a:off x="0" y="19384736"/>
          <a:ext cx="3276598" cy="2868458"/>
          <a:chOff x="0" y="19831050"/>
          <a:chExt cx="3276598" cy="2868459"/>
        </a:xfrm>
      </xdr:grpSpPr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612" t="33631" r="57114" b="17483"/>
          <a:stretch/>
        </xdr:blipFill>
        <xdr:spPr bwMode="auto">
          <a:xfrm>
            <a:off x="0" y="20305123"/>
            <a:ext cx="3276598" cy="239438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288471" y="19831050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16</xdr:col>
      <xdr:colOff>21772</xdr:colOff>
      <xdr:row>44</xdr:row>
      <xdr:rowOff>19050</xdr:rowOff>
    </xdr:from>
    <xdr:to>
      <xdr:col>20</xdr:col>
      <xdr:colOff>511629</xdr:colOff>
      <xdr:row>50</xdr:row>
      <xdr:rowOff>234812</xdr:rowOff>
    </xdr:to>
    <xdr:grpSp>
      <xdr:nvGrpSpPr>
        <xdr:cNvPr id="42" name="Group 41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GrpSpPr/>
      </xdr:nvGrpSpPr>
      <xdr:grpSpPr>
        <a:xfrm>
          <a:off x="11168743" y="19384736"/>
          <a:ext cx="3276600" cy="2893647"/>
          <a:chOff x="3722915" y="19831050"/>
          <a:chExt cx="3276600" cy="2893648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864" t="44227" r="52883" b="5889"/>
          <a:stretch/>
        </xdr:blipFill>
        <xdr:spPr bwMode="auto">
          <a:xfrm>
            <a:off x="3722915" y="20280088"/>
            <a:ext cx="3276600" cy="244461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4033156" y="19831050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52</xdr:row>
      <xdr:rowOff>40822</xdr:rowOff>
    </xdr:from>
    <xdr:to>
      <xdr:col>5</xdr:col>
      <xdr:colOff>186153</xdr:colOff>
      <xdr:row>58</xdr:row>
      <xdr:rowOff>239485</xdr:rowOff>
    </xdr:to>
    <xdr:grpSp>
      <xdr:nvGrpSpPr>
        <xdr:cNvPr id="45" name="Group 4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GrpSpPr/>
      </xdr:nvGrpSpPr>
      <xdr:grpSpPr>
        <a:xfrm>
          <a:off x="0" y="22977022"/>
          <a:ext cx="3669582" cy="2876549"/>
          <a:chOff x="0" y="23423336"/>
          <a:chExt cx="3669582" cy="2876549"/>
        </a:xfrm>
      </xdr:grpSpPr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297" t="26376" r="45257" b="23801"/>
          <a:stretch/>
        </xdr:blipFill>
        <xdr:spPr bwMode="auto">
          <a:xfrm>
            <a:off x="0" y="23839715"/>
            <a:ext cx="3669582" cy="24601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288468" y="23423336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22</xdr:col>
      <xdr:colOff>533403</xdr:colOff>
      <xdr:row>52</xdr:row>
      <xdr:rowOff>40822</xdr:rowOff>
    </xdr:from>
    <xdr:to>
      <xdr:col>28</xdr:col>
      <xdr:colOff>13732</xdr:colOff>
      <xdr:row>58</xdr:row>
      <xdr:rowOff>272143</xdr:rowOff>
    </xdr:to>
    <xdr:grpSp>
      <xdr:nvGrpSpPr>
        <xdr:cNvPr id="48" name="Group 4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15860489" y="22977022"/>
          <a:ext cx="3660443" cy="2909207"/>
          <a:chOff x="4071260" y="23423336"/>
          <a:chExt cx="3660443" cy="2909207"/>
        </a:xfrm>
      </xdr:grpSpPr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367" t="32794" r="50997" b="17186"/>
          <a:stretch/>
        </xdr:blipFill>
        <xdr:spPr bwMode="auto">
          <a:xfrm>
            <a:off x="4071260" y="23861489"/>
            <a:ext cx="3660443" cy="247105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/>
        </xdr:nvSpPr>
        <xdr:spPr>
          <a:xfrm>
            <a:off x="4337954" y="23423336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60</xdr:row>
      <xdr:rowOff>95252</xdr:rowOff>
    </xdr:from>
    <xdr:to>
      <xdr:col>5</xdr:col>
      <xdr:colOff>614903</xdr:colOff>
      <xdr:row>66</xdr:row>
      <xdr:rowOff>283030</xdr:rowOff>
    </xdr:to>
    <xdr:grpSp>
      <xdr:nvGrpSpPr>
        <xdr:cNvPr id="51" name="Group 5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/>
      </xdr:nvGrpSpPr>
      <xdr:grpSpPr>
        <a:xfrm>
          <a:off x="0" y="26601966"/>
          <a:ext cx="4098332" cy="2865664"/>
          <a:chOff x="0" y="27048281"/>
          <a:chExt cx="4098332" cy="2865663"/>
        </a:xfrm>
      </xdr:grpSpPr>
      <xdr:pic>
        <xdr:nvPicPr>
          <xdr:cNvPr id="52" name="Pictur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166" t="32586" r="47009" b="18016"/>
          <a:stretch/>
        </xdr:blipFill>
        <xdr:spPr bwMode="auto">
          <a:xfrm>
            <a:off x="0" y="27432003"/>
            <a:ext cx="4098332" cy="24819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310240" y="2704828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9-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66</xdr:row>
      <xdr:rowOff>432706</xdr:rowOff>
    </xdr:from>
    <xdr:to>
      <xdr:col>5</xdr:col>
      <xdr:colOff>654009</xdr:colOff>
      <xdr:row>73</xdr:row>
      <xdr:rowOff>195941</xdr:rowOff>
    </xdr:to>
    <xdr:grpSp>
      <xdr:nvGrpSpPr>
        <xdr:cNvPr id="54" name="Group 5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/>
      </xdr:nvGrpSpPr>
      <xdr:grpSpPr>
        <a:xfrm>
          <a:off x="0" y="29617306"/>
          <a:ext cx="4137438" cy="2887435"/>
          <a:chOff x="4474029" y="27048281"/>
          <a:chExt cx="4137438" cy="2887434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962" t="5396" r="39832" b="16355"/>
          <a:stretch/>
        </xdr:blipFill>
        <xdr:spPr bwMode="auto">
          <a:xfrm>
            <a:off x="4474029" y="27432001"/>
            <a:ext cx="4137438" cy="250371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/>
        </xdr:nvSpPr>
        <xdr:spPr>
          <a:xfrm>
            <a:off x="4784267" y="2704828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0</xdr:colOff>
      <xdr:row>75</xdr:row>
      <xdr:rowOff>127909</xdr:rowOff>
    </xdr:from>
    <xdr:to>
      <xdr:col>6</xdr:col>
      <xdr:colOff>315686</xdr:colOff>
      <xdr:row>81</xdr:row>
      <xdr:rowOff>334927</xdr:rowOff>
    </xdr:to>
    <xdr:grpSp>
      <xdr:nvGrpSpPr>
        <xdr:cNvPr id="57" name="Group 56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GrpSpPr/>
      </xdr:nvGrpSpPr>
      <xdr:grpSpPr>
        <a:xfrm>
          <a:off x="0" y="33329338"/>
          <a:ext cx="4495800" cy="2884903"/>
          <a:chOff x="0" y="30651452"/>
          <a:chExt cx="4495800" cy="2884904"/>
        </a:xfrm>
      </xdr:grpSpPr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521" t="2490" r="36730" b="48319"/>
          <a:stretch/>
        </xdr:blipFill>
        <xdr:spPr bwMode="auto">
          <a:xfrm>
            <a:off x="0" y="31035172"/>
            <a:ext cx="4495800" cy="250118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/>
        </xdr:nvSpPr>
        <xdr:spPr>
          <a:xfrm>
            <a:off x="310240" y="30651452"/>
            <a:ext cx="173627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10-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0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612000</xdr:colOff>
      <xdr:row>82</xdr:row>
      <xdr:rowOff>158389</xdr:rowOff>
    </xdr:from>
    <xdr:to>
      <xdr:col>20</xdr:col>
      <xdr:colOff>337679</xdr:colOff>
      <xdr:row>88</xdr:row>
      <xdr:rowOff>367938</xdr:rowOff>
    </xdr:to>
    <xdr:grpSp>
      <xdr:nvGrpSpPr>
        <xdr:cNvPr id="60" name="Group 59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9668914" y="36484018"/>
          <a:ext cx="4602479" cy="2887434"/>
          <a:chOff x="4855028" y="30651452"/>
          <a:chExt cx="4610099" cy="2887435"/>
        </a:xfrm>
      </xdr:grpSpPr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578" t="26586" r="49420" b="24430"/>
          <a:stretch/>
        </xdr:blipFill>
        <xdr:spPr bwMode="auto">
          <a:xfrm>
            <a:off x="4855028" y="31024287"/>
            <a:ext cx="4610099" cy="2514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5241469" y="30651452"/>
            <a:ext cx="173627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9-1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3</xdr:col>
      <xdr:colOff>239487</xdr:colOff>
      <xdr:row>20</xdr:row>
      <xdr:rowOff>206828</xdr:rowOff>
    </xdr:from>
    <xdr:to>
      <xdr:col>6</xdr:col>
      <xdr:colOff>108858</xdr:colOff>
      <xdr:row>26</xdr:row>
      <xdr:rowOff>115665</xdr:rowOff>
    </xdr:to>
    <xdr:grpSp>
      <xdr:nvGrpSpPr>
        <xdr:cNvPr id="63" name="Group 62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pSpPr/>
      </xdr:nvGrpSpPr>
      <xdr:grpSpPr>
        <a:xfrm>
          <a:off x="2329544" y="8860971"/>
          <a:ext cx="1959428" cy="2586723"/>
          <a:chOff x="2329544" y="8860971"/>
          <a:chExt cx="1959428" cy="2586723"/>
        </a:xfrm>
      </xdr:grpSpPr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390" t="17902" r="51536" b="15333"/>
          <a:stretch/>
        </xdr:blipFill>
        <xdr:spPr bwMode="auto">
          <a:xfrm>
            <a:off x="2329544" y="9252857"/>
            <a:ext cx="1959428" cy="219483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SpPr/>
        </xdr:nvSpPr>
        <xdr:spPr>
          <a:xfrm>
            <a:off x="2601680" y="8860971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9</xdr:col>
      <xdr:colOff>185058</xdr:colOff>
      <xdr:row>36</xdr:row>
      <xdr:rowOff>141514</xdr:rowOff>
    </xdr:from>
    <xdr:to>
      <xdr:col>13</xdr:col>
      <xdr:colOff>206829</xdr:colOff>
      <xdr:row>42</xdr:row>
      <xdr:rowOff>191947</xdr:rowOff>
    </xdr:to>
    <xdr:grpSp>
      <xdr:nvGrpSpPr>
        <xdr:cNvPr id="66" name="Group 6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GrpSpPr/>
      </xdr:nvGrpSpPr>
      <xdr:grpSpPr>
        <a:xfrm>
          <a:off x="6455229" y="15936685"/>
          <a:ext cx="2808514" cy="2728319"/>
          <a:chOff x="6455229" y="15936685"/>
          <a:chExt cx="2808514" cy="2728319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4719" t="27591" r="54283" b="30497"/>
          <a:stretch/>
        </xdr:blipFill>
        <xdr:spPr bwMode="auto">
          <a:xfrm>
            <a:off x="6455229" y="16306801"/>
            <a:ext cx="2808514" cy="235820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6716487" y="15936685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555172</xdr:colOff>
      <xdr:row>36</xdr:row>
      <xdr:rowOff>141514</xdr:rowOff>
    </xdr:from>
    <xdr:to>
      <xdr:col>17</xdr:col>
      <xdr:colOff>587828</xdr:colOff>
      <xdr:row>42</xdr:row>
      <xdr:rowOff>192100</xdr:rowOff>
    </xdr:to>
    <xdr:grpSp>
      <xdr:nvGrpSpPr>
        <xdr:cNvPr id="69" name="Group 68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GrpSpPr/>
      </xdr:nvGrpSpPr>
      <xdr:grpSpPr>
        <a:xfrm>
          <a:off x="9612086" y="15936685"/>
          <a:ext cx="2819399" cy="2728472"/>
          <a:chOff x="9612086" y="15936685"/>
          <a:chExt cx="2819399" cy="2728472"/>
        </a:xfrm>
      </xdr:grpSpPr>
      <xdr:pic>
        <xdr:nvPicPr>
          <xdr:cNvPr id="70" name="Picture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369" t="31382" r="51550" b="26495"/>
          <a:stretch/>
        </xdr:blipFill>
        <xdr:spPr bwMode="auto">
          <a:xfrm>
            <a:off x="9612086" y="16295916"/>
            <a:ext cx="2819399" cy="236924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/>
        </xdr:nvSpPr>
        <xdr:spPr>
          <a:xfrm>
            <a:off x="9884230" y="15936685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5</xdr:col>
      <xdr:colOff>533403</xdr:colOff>
      <xdr:row>52</xdr:row>
      <xdr:rowOff>43543</xdr:rowOff>
    </xdr:from>
    <xdr:to>
      <xdr:col>10</xdr:col>
      <xdr:colOff>685801</xdr:colOff>
      <xdr:row>58</xdr:row>
      <xdr:rowOff>199507</xdr:rowOff>
    </xdr:to>
    <xdr:grpSp>
      <xdr:nvGrpSpPr>
        <xdr:cNvPr id="72" name="Group 7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GrpSpPr/>
      </xdr:nvGrpSpPr>
      <xdr:grpSpPr>
        <a:xfrm>
          <a:off x="4016832" y="22979743"/>
          <a:ext cx="3635826" cy="2833850"/>
          <a:chOff x="8022774" y="22979743"/>
          <a:chExt cx="3635826" cy="2833850"/>
        </a:xfrm>
      </xdr:grpSpPr>
      <xdr:pic>
        <xdr:nvPicPr>
          <xdr:cNvPr id="73" name="Picture 72">
            <a:extLst>
              <a:ext uri="{FF2B5EF4-FFF2-40B4-BE49-F238E27FC236}">
                <a16:creationId xmlns:a16="http://schemas.microsoft.com/office/drawing/2014/main" id="{00000000-0008-0000-0200-000049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3560" t="13900" r="34278" b="19967"/>
          <a:stretch/>
        </xdr:blipFill>
        <xdr:spPr bwMode="auto">
          <a:xfrm>
            <a:off x="8022774" y="23415172"/>
            <a:ext cx="3635826" cy="239842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SpPr/>
        </xdr:nvSpPr>
        <xdr:spPr>
          <a:xfrm>
            <a:off x="8305799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5</xdr:col>
      <xdr:colOff>239485</xdr:colOff>
      <xdr:row>44</xdr:row>
      <xdr:rowOff>21771</xdr:rowOff>
    </xdr:from>
    <xdr:to>
      <xdr:col>10</xdr:col>
      <xdr:colOff>24466</xdr:colOff>
      <xdr:row>50</xdr:row>
      <xdr:rowOff>217717</xdr:rowOff>
    </xdr:to>
    <xdr:grpSp>
      <xdr:nvGrpSpPr>
        <xdr:cNvPr id="75" name="Group 7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GrpSpPr/>
      </xdr:nvGrpSpPr>
      <xdr:grpSpPr>
        <a:xfrm>
          <a:off x="3722914" y="19387457"/>
          <a:ext cx="3268409" cy="2873831"/>
          <a:chOff x="3722914" y="19387457"/>
          <a:chExt cx="3268409" cy="2873831"/>
        </a:xfrm>
      </xdr:grpSpPr>
      <xdr:pic>
        <xdr:nvPicPr>
          <xdr:cNvPr id="76" name="Picture 75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439" t="31223" r="47728" b="26721"/>
          <a:stretch/>
        </xdr:blipFill>
        <xdr:spPr bwMode="auto">
          <a:xfrm>
            <a:off x="3722914" y="19855546"/>
            <a:ext cx="3268409" cy="240574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00000000-0008-0000-0200-00004D000000}"/>
              </a:ext>
            </a:extLst>
          </xdr:cNvPr>
          <xdr:cNvSpPr/>
        </xdr:nvSpPr>
        <xdr:spPr>
          <a:xfrm>
            <a:off x="4038601" y="19387457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10</xdr:col>
      <xdr:colOff>489857</xdr:colOff>
      <xdr:row>44</xdr:row>
      <xdr:rowOff>21771</xdr:rowOff>
    </xdr:from>
    <xdr:to>
      <xdr:col>15</xdr:col>
      <xdr:colOff>304379</xdr:colOff>
      <xdr:row>50</xdr:row>
      <xdr:rowOff>195943</xdr:rowOff>
    </xdr:to>
    <xdr:grpSp>
      <xdr:nvGrpSpPr>
        <xdr:cNvPr id="78" name="Group 77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GrpSpPr/>
      </xdr:nvGrpSpPr>
      <xdr:grpSpPr>
        <a:xfrm>
          <a:off x="7456714" y="19387457"/>
          <a:ext cx="3297951" cy="2852057"/>
          <a:chOff x="7456714" y="19387457"/>
          <a:chExt cx="3297951" cy="2852057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00000000-0008-0000-0200-00004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960" t="24214" r="42677" b="9303"/>
          <a:stretch/>
        </xdr:blipFill>
        <xdr:spPr bwMode="auto">
          <a:xfrm>
            <a:off x="7456714" y="19855546"/>
            <a:ext cx="3297951" cy="23839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/>
        </xdr:nvSpPr>
        <xdr:spPr>
          <a:xfrm>
            <a:off x="7859487" y="19387457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11</xdr:col>
      <xdr:colOff>217715</xdr:colOff>
      <xdr:row>52</xdr:row>
      <xdr:rowOff>43543</xdr:rowOff>
    </xdr:from>
    <xdr:to>
      <xdr:col>16</xdr:col>
      <xdr:colOff>370116</xdr:colOff>
      <xdr:row>58</xdr:row>
      <xdr:rowOff>218038</xdr:rowOff>
    </xdr:to>
    <xdr:grpSp>
      <xdr:nvGrpSpPr>
        <xdr:cNvPr id="81" name="Group 8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GrpSpPr/>
      </xdr:nvGrpSpPr>
      <xdr:grpSpPr>
        <a:xfrm>
          <a:off x="7881258" y="22979743"/>
          <a:ext cx="3635829" cy="2852381"/>
          <a:chOff x="11887200" y="22979743"/>
          <a:chExt cx="3635829" cy="2852381"/>
        </a:xfrm>
      </xdr:grpSpPr>
      <xdr:pic>
        <xdr:nvPicPr>
          <xdr:cNvPr id="82" name="Picture 8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634" t="25701" r="47182" b="7391"/>
          <a:stretch/>
        </xdr:blipFill>
        <xdr:spPr bwMode="auto">
          <a:xfrm>
            <a:off x="11887200" y="23426061"/>
            <a:ext cx="3635829" cy="240606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12257315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17</xdr:col>
      <xdr:colOff>10885</xdr:colOff>
      <xdr:row>52</xdr:row>
      <xdr:rowOff>43543</xdr:rowOff>
    </xdr:from>
    <xdr:to>
      <xdr:col>22</xdr:col>
      <xdr:colOff>141516</xdr:colOff>
      <xdr:row>58</xdr:row>
      <xdr:rowOff>215552</xdr:rowOff>
    </xdr:to>
    <xdr:grpSp>
      <xdr:nvGrpSpPr>
        <xdr:cNvPr id="84" name="Group 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GrpSpPr/>
      </xdr:nvGrpSpPr>
      <xdr:grpSpPr>
        <a:xfrm>
          <a:off x="11854542" y="22979743"/>
          <a:ext cx="3614060" cy="2849895"/>
          <a:chOff x="15860484" y="22979743"/>
          <a:chExt cx="3614060" cy="2849895"/>
        </a:xfrm>
      </xdr:grpSpPr>
      <xdr:pic>
        <xdr:nvPicPr>
          <xdr:cNvPr id="85" name="Pictur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41" t="14040" r="45941" b="18740"/>
          <a:stretch/>
        </xdr:blipFill>
        <xdr:spPr bwMode="auto">
          <a:xfrm>
            <a:off x="15860484" y="23415172"/>
            <a:ext cx="3614060" cy="241446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00000000-0008-0000-0200-000056000000}"/>
              </a:ext>
            </a:extLst>
          </xdr:cNvPr>
          <xdr:cNvSpPr/>
        </xdr:nvSpPr>
        <xdr:spPr>
          <a:xfrm>
            <a:off x="16121744" y="22979743"/>
            <a:ext cx="1627414" cy="40549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108858</xdr:colOff>
      <xdr:row>60</xdr:row>
      <xdr:rowOff>97971</xdr:rowOff>
    </xdr:from>
    <xdr:to>
      <xdr:col>12</xdr:col>
      <xdr:colOff>68267</xdr:colOff>
      <xdr:row>66</xdr:row>
      <xdr:rowOff>272143</xdr:rowOff>
    </xdr:to>
    <xdr:grpSp>
      <xdr:nvGrpSpPr>
        <xdr:cNvPr id="87" name="Group 8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GrpSpPr/>
      </xdr:nvGrpSpPr>
      <xdr:grpSpPr>
        <a:xfrm>
          <a:off x="4288972" y="26604685"/>
          <a:ext cx="4139524" cy="2852058"/>
          <a:chOff x="4258827" y="26556956"/>
          <a:chExt cx="4109378" cy="2847033"/>
        </a:xfrm>
      </xdr:grpSpPr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00000000-0008-0000-0200-000058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529" t="19516" r="38603" b="14086"/>
          <a:stretch/>
        </xdr:blipFill>
        <xdr:spPr bwMode="auto">
          <a:xfrm>
            <a:off x="4258827" y="26958892"/>
            <a:ext cx="4109378" cy="24450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SpPr/>
        </xdr:nvSpPr>
        <xdr:spPr>
          <a:xfrm>
            <a:off x="4628945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12</xdr:col>
      <xdr:colOff>272142</xdr:colOff>
      <xdr:row>60</xdr:row>
      <xdr:rowOff>97971</xdr:rowOff>
    </xdr:from>
    <xdr:to>
      <xdr:col>18</xdr:col>
      <xdr:colOff>179072</xdr:colOff>
      <xdr:row>66</xdr:row>
      <xdr:rowOff>272143</xdr:rowOff>
    </xdr:to>
    <xdr:grpSp>
      <xdr:nvGrpSpPr>
        <xdr:cNvPr id="90" name="Group 89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8632371" y="26604685"/>
          <a:ext cx="4087044" cy="2852058"/>
          <a:chOff x="8572080" y="26556956"/>
          <a:chExt cx="4056900" cy="2847033"/>
        </a:xfrm>
      </xdr:grpSpPr>
      <xdr:pic>
        <xdr:nvPicPr>
          <xdr:cNvPr id="91" name="Picture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407" t="12941" r="41422" b="20238"/>
          <a:stretch/>
        </xdr:blipFill>
        <xdr:spPr bwMode="auto">
          <a:xfrm>
            <a:off x="8572080" y="26937121"/>
            <a:ext cx="4056900" cy="246686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SpPr/>
        </xdr:nvSpPr>
        <xdr:spPr>
          <a:xfrm>
            <a:off x="8942200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18</xdr:col>
      <xdr:colOff>385188</xdr:colOff>
      <xdr:row>60</xdr:row>
      <xdr:rowOff>97971</xdr:rowOff>
    </xdr:from>
    <xdr:to>
      <xdr:col>24</xdr:col>
      <xdr:colOff>319873</xdr:colOff>
      <xdr:row>66</xdr:row>
      <xdr:rowOff>291738</xdr:rowOff>
    </xdr:to>
    <xdr:grpSp>
      <xdr:nvGrpSpPr>
        <xdr:cNvPr id="93" name="Group 92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GrpSpPr/>
      </xdr:nvGrpSpPr>
      <xdr:grpSpPr>
        <a:xfrm>
          <a:off x="12925531" y="26604685"/>
          <a:ext cx="4114799" cy="2871653"/>
          <a:chOff x="12835096" y="26556956"/>
          <a:chExt cx="4084654" cy="2866628"/>
        </a:xfrm>
      </xdr:grpSpPr>
      <xdr:pic>
        <xdr:nvPicPr>
          <xdr:cNvPr id="94" name="Picture 93">
            <a:extLst>
              <a:ext uri="{FF2B5EF4-FFF2-40B4-BE49-F238E27FC236}">
                <a16:creationId xmlns:a16="http://schemas.microsoft.com/office/drawing/2014/main" id="{00000000-0008-0000-0200-00005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353" t="21394" r="39134" b="11883"/>
          <a:stretch/>
        </xdr:blipFill>
        <xdr:spPr bwMode="auto">
          <a:xfrm>
            <a:off x="12835096" y="26958891"/>
            <a:ext cx="4084654" cy="24646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/>
        </xdr:nvSpPr>
        <xdr:spPr>
          <a:xfrm>
            <a:off x="13232846" y="26556956"/>
            <a:ext cx="1612342" cy="40465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480649</xdr:colOff>
      <xdr:row>75</xdr:row>
      <xdr:rowOff>133142</xdr:rowOff>
    </xdr:from>
    <xdr:to>
      <xdr:col>13</xdr:col>
      <xdr:colOff>222739</xdr:colOff>
      <xdr:row>81</xdr:row>
      <xdr:rowOff>344319</xdr:rowOff>
    </xdr:to>
    <xdr:grpSp>
      <xdr:nvGrpSpPr>
        <xdr:cNvPr id="96" name="Group 9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GrpSpPr/>
      </xdr:nvGrpSpPr>
      <xdr:grpSpPr>
        <a:xfrm>
          <a:off x="4660763" y="33334571"/>
          <a:ext cx="4618890" cy="2889062"/>
          <a:chOff x="4686889" y="29927342"/>
          <a:chExt cx="4649370" cy="2862937"/>
        </a:xfrm>
      </xdr:grpSpPr>
      <xdr:pic>
        <xdr:nvPicPr>
          <xdr:cNvPr id="97" name="Picture 96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452" t="29099" r="36564" b="29057"/>
          <a:stretch/>
        </xdr:blipFill>
        <xdr:spPr bwMode="auto">
          <a:xfrm>
            <a:off x="4686889" y="30306499"/>
            <a:ext cx="4649370" cy="248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SpPr/>
        </xdr:nvSpPr>
        <xdr:spPr>
          <a:xfrm>
            <a:off x="5057171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8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2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13</xdr:col>
      <xdr:colOff>445480</xdr:colOff>
      <xdr:row>75</xdr:row>
      <xdr:rowOff>133142</xdr:rowOff>
    </xdr:from>
    <xdr:to>
      <xdr:col>20</xdr:col>
      <xdr:colOff>131198</xdr:colOff>
      <xdr:row>81</xdr:row>
      <xdr:rowOff>351692</xdr:rowOff>
    </xdr:to>
    <xdr:grpSp>
      <xdr:nvGrpSpPr>
        <xdr:cNvPr id="99" name="Group 98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9502394" y="33334571"/>
          <a:ext cx="4562518" cy="2896435"/>
          <a:chOff x="9559000" y="29927342"/>
          <a:chExt cx="4592998" cy="2870310"/>
        </a:xfrm>
      </xdr:grpSpPr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138" t="8684" r="37184" b="24804"/>
          <a:stretch/>
        </xdr:blipFill>
        <xdr:spPr bwMode="auto">
          <a:xfrm>
            <a:off x="9559000" y="30329944"/>
            <a:ext cx="4592998" cy="24677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0000000-0008-0000-0200-000065000000}"/>
              </a:ext>
            </a:extLst>
          </xdr:cNvPr>
          <xdr:cNvSpPr/>
        </xdr:nvSpPr>
        <xdr:spPr>
          <a:xfrm>
            <a:off x="9952728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7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3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0</xdr:col>
      <xdr:colOff>81474</xdr:colOff>
      <xdr:row>82</xdr:row>
      <xdr:rowOff>148382</xdr:rowOff>
    </xdr:from>
    <xdr:to>
      <xdr:col>6</xdr:col>
      <xdr:colOff>541490</xdr:colOff>
      <xdr:row>88</xdr:row>
      <xdr:rowOff>355209</xdr:rowOff>
    </xdr:to>
    <xdr:grpSp>
      <xdr:nvGrpSpPr>
        <xdr:cNvPr id="102" name="Group 101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/>
      </xdr:nvGrpSpPr>
      <xdr:grpSpPr>
        <a:xfrm>
          <a:off x="81474" y="36474011"/>
          <a:ext cx="4640130" cy="2884712"/>
          <a:chOff x="14422314" y="29927342"/>
          <a:chExt cx="4666256" cy="2858587"/>
        </a:xfrm>
      </xdr:grpSpPr>
      <xdr:pic>
        <xdr:nvPicPr>
          <xdr:cNvPr id="103" name="Picture 102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251" t="10636" r="31071" b="23633"/>
          <a:stretch/>
        </xdr:blipFill>
        <xdr:spPr bwMode="auto">
          <a:xfrm>
            <a:off x="14422314" y="30318221"/>
            <a:ext cx="4666256" cy="24677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4" name="Rectangle 103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>
          <a:xfrm>
            <a:off x="14717768" y="29927342"/>
            <a:ext cx="163363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6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4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>
    <xdr:from>
      <xdr:col>6</xdr:col>
      <xdr:colOff>655320</xdr:colOff>
      <xdr:row>82</xdr:row>
      <xdr:rowOff>163622</xdr:rowOff>
    </xdr:from>
    <xdr:to>
      <xdr:col>13</xdr:col>
      <xdr:colOff>350519</xdr:colOff>
      <xdr:row>88</xdr:row>
      <xdr:rowOff>383572</xdr:rowOff>
    </xdr:to>
    <xdr:grpSp>
      <xdr:nvGrpSpPr>
        <xdr:cNvPr id="105" name="Group 10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GrpSpPr/>
      </xdr:nvGrpSpPr>
      <xdr:grpSpPr>
        <a:xfrm>
          <a:off x="4835434" y="36489251"/>
          <a:ext cx="4571999" cy="2897835"/>
          <a:chOff x="19309081" y="29927342"/>
          <a:chExt cx="4602479" cy="2871710"/>
        </a:xfrm>
      </xdr:grpSpPr>
      <xdr:pic>
        <xdr:nvPicPr>
          <xdr:cNvPr id="106" name="Picture 105">
            <a:extLst>
              <a:ext uri="{FF2B5EF4-FFF2-40B4-BE49-F238E27FC236}">
                <a16:creationId xmlns:a16="http://schemas.microsoft.com/office/drawing/2014/main" id="{00000000-0008-0000-0200-00006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8605" t="13788" r="30717" b="19389"/>
          <a:stretch/>
        </xdr:blipFill>
        <xdr:spPr bwMode="auto">
          <a:xfrm>
            <a:off x="19309081" y="30286960"/>
            <a:ext cx="4602479" cy="251209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00000000-0008-0000-0200-00006B000000}"/>
              </a:ext>
            </a:extLst>
          </xdr:cNvPr>
          <xdr:cNvSpPr/>
        </xdr:nvSpPr>
        <xdr:spPr>
          <a:xfrm>
            <a:off x="19678388" y="29927342"/>
            <a:ext cx="1631099" cy="40113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>
            <a:noAutofit/>
          </a:bodyPr>
          <a:lstStyle/>
          <a:p>
            <a:pPr algn="l"/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Open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เปิด</a:t>
            </a:r>
            <a:r>
              <a:rPr lang="en-GB" sz="1400" b="1" baseline="0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(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th-TH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  <a:r>
              <a:rPr lang="en-US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5</a:t>
            </a:r>
            <a:r>
              <a:rPr lang="en-GB" sz="1400" b="1">
                <a:solidFill>
                  <a:sysClr val="windowText" lastClr="000000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)</a:t>
            </a:r>
          </a:p>
        </xdr:txBody>
      </xdr:sp>
    </xdr:grpSp>
    <xdr:clientData/>
  </xdr:twoCellAnchor>
  <xdr:twoCellAnchor editAs="oneCell">
    <xdr:from>
      <xdr:col>0</xdr:col>
      <xdr:colOff>0</xdr:colOff>
      <xdr:row>91</xdr:row>
      <xdr:rowOff>163288</xdr:rowOff>
    </xdr:from>
    <xdr:to>
      <xdr:col>3</xdr:col>
      <xdr:colOff>261258</xdr:colOff>
      <xdr:row>96</xdr:row>
      <xdr:rowOff>283030</xdr:rowOff>
    </xdr:to>
    <xdr:pic>
      <xdr:nvPicPr>
        <xdr:cNvPr id="108" name="Picture 10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286" t="20756" r="36617" b="36696"/>
        <a:stretch/>
      </xdr:blipFill>
      <xdr:spPr bwMode="auto">
        <a:xfrm>
          <a:off x="0" y="40114948"/>
          <a:ext cx="2341518" cy="2329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174172</xdr:colOff>
      <xdr:row>91</xdr:row>
      <xdr:rowOff>141518</xdr:rowOff>
    </xdr:from>
    <xdr:to>
      <xdr:col>7</xdr:col>
      <xdr:colOff>104813</xdr:colOff>
      <xdr:row>96</xdr:row>
      <xdr:rowOff>293916</xdr:rowOff>
    </xdr:to>
    <xdr:pic>
      <xdr:nvPicPr>
        <xdr:cNvPr id="109" name="Picture 108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41" t="24491" r="59746" b="31922"/>
        <a:stretch/>
      </xdr:blipFill>
      <xdr:spPr bwMode="auto">
        <a:xfrm>
          <a:off x="2947852" y="40093178"/>
          <a:ext cx="2010901" cy="2362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304799</xdr:colOff>
      <xdr:row>91</xdr:row>
      <xdr:rowOff>152404</xdr:rowOff>
    </xdr:from>
    <xdr:to>
      <xdr:col>11</xdr:col>
      <xdr:colOff>528873</xdr:colOff>
      <xdr:row>96</xdr:row>
      <xdr:rowOff>261260</xdr:rowOff>
    </xdr:to>
    <xdr:pic>
      <xdr:nvPicPr>
        <xdr:cNvPr id="110" name="Picture 109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927" t="31341" r="51536" b="31714"/>
        <a:stretch/>
      </xdr:blipFill>
      <xdr:spPr bwMode="auto">
        <a:xfrm>
          <a:off x="5852159" y="40104064"/>
          <a:ext cx="2304334" cy="231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195943</xdr:colOff>
      <xdr:row>0</xdr:row>
      <xdr:rowOff>0</xdr:rowOff>
    </xdr:from>
    <xdr:to>
      <xdr:col>12</xdr:col>
      <xdr:colOff>690054</xdr:colOff>
      <xdr:row>2</xdr:row>
      <xdr:rowOff>442355</xdr:rowOff>
    </xdr:to>
    <xdr:sp macro="" textlink="">
      <xdr:nvSpPr>
        <xdr:cNvPr id="111" name="Left Arrow 110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7859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261258</xdr:rowOff>
    </xdr:from>
    <xdr:to>
      <xdr:col>17</xdr:col>
      <xdr:colOff>31822</xdr:colOff>
      <xdr:row>86</xdr:row>
      <xdr:rowOff>97971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86" t="18181" r="35684" b="11658"/>
        <a:stretch/>
      </xdr:blipFill>
      <xdr:spPr bwMode="auto">
        <a:xfrm>
          <a:off x="0" y="13030201"/>
          <a:ext cx="17644908" cy="12507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48493" y="2736670"/>
          <a:ext cx="562793" cy="425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84048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98611</xdr:colOff>
      <xdr:row>34</xdr:row>
      <xdr:rowOff>315048</xdr:rowOff>
    </xdr:from>
    <xdr:to>
      <xdr:col>11</xdr:col>
      <xdr:colOff>10886</xdr:colOff>
      <xdr:row>36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5585011" y="13976619"/>
          <a:ext cx="5844989" cy="577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คู่+คู่</a:t>
          </a:r>
        </a:p>
      </xdr:txBody>
    </xdr:sp>
    <xdr:clientData/>
  </xdr:twoCellAnchor>
  <xdr:twoCellAnchor>
    <xdr:from>
      <xdr:col>22</xdr:col>
      <xdr:colOff>153485</xdr:colOff>
      <xdr:row>17</xdr:row>
      <xdr:rowOff>45720</xdr:rowOff>
    </xdr:from>
    <xdr:to>
      <xdr:col>22</xdr:col>
      <xdr:colOff>603065</xdr:colOff>
      <xdr:row>17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18</xdr:row>
      <xdr:rowOff>38100</xdr:rowOff>
    </xdr:from>
    <xdr:to>
      <xdr:col>22</xdr:col>
      <xdr:colOff>603065</xdr:colOff>
      <xdr:row>18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19</xdr:row>
      <xdr:rowOff>21773</xdr:rowOff>
    </xdr:from>
    <xdr:to>
      <xdr:col>22</xdr:col>
      <xdr:colOff>566058</xdr:colOff>
      <xdr:row>19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20</xdr:row>
      <xdr:rowOff>32659</xdr:rowOff>
    </xdr:from>
    <xdr:to>
      <xdr:col>22</xdr:col>
      <xdr:colOff>566058</xdr:colOff>
      <xdr:row>20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21770</xdr:rowOff>
    </xdr:from>
    <xdr:to>
      <xdr:col>22</xdr:col>
      <xdr:colOff>609663</xdr:colOff>
      <xdr:row>21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21</xdr:row>
      <xdr:rowOff>18071</xdr:rowOff>
    </xdr:from>
    <xdr:to>
      <xdr:col>13</xdr:col>
      <xdr:colOff>834688</xdr:colOff>
      <xdr:row>21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20</xdr:row>
      <xdr:rowOff>51228</xdr:rowOff>
    </xdr:from>
    <xdr:to>
      <xdr:col>13</xdr:col>
      <xdr:colOff>839403</xdr:colOff>
      <xdr:row>20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19</xdr:row>
      <xdr:rowOff>6048</xdr:rowOff>
    </xdr:from>
    <xdr:to>
      <xdr:col>13</xdr:col>
      <xdr:colOff>751114</xdr:colOff>
      <xdr:row>19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1353798" y="1088571"/>
          <a:ext cx="6270173" cy="609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195940</xdr:colOff>
      <xdr:row>0</xdr:row>
      <xdr:rowOff>1</xdr:rowOff>
    </xdr:from>
    <xdr:to>
      <xdr:col>18</xdr:col>
      <xdr:colOff>721719</xdr:colOff>
      <xdr:row>4</xdr:row>
      <xdr:rowOff>65315</xdr:rowOff>
    </xdr:to>
    <xdr:sp macro="" textlink="">
      <xdr:nvSpPr>
        <xdr:cNvPr id="32" name="Left Arrow 3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17743711" y="1"/>
          <a:ext cx="1200694" cy="1066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5061856" y="17814940"/>
          <a:ext cx="1621333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916116</xdr:colOff>
      <xdr:row>43</xdr:row>
      <xdr:rowOff>38568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4735287" y="15446829"/>
          <a:ext cx="2331258" cy="2270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2</xdr:col>
      <xdr:colOff>1153888</xdr:colOff>
      <xdr:row>25</xdr:row>
      <xdr:rowOff>215323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492831" y="9459687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26</xdr:row>
      <xdr:rowOff>10885</xdr:rowOff>
    </xdr:from>
    <xdr:to>
      <xdr:col>2</xdr:col>
      <xdr:colOff>892629</xdr:colOff>
      <xdr:row>26</xdr:row>
      <xdr:rowOff>423496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32838" y="9110821"/>
          <a:ext cx="412611" cy="609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6661996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75720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22</xdr:row>
      <xdr:rowOff>21770</xdr:rowOff>
    </xdr:from>
    <xdr:to>
      <xdr:col>22</xdr:col>
      <xdr:colOff>609663</xdr:colOff>
      <xdr:row>22</xdr:row>
      <xdr:rowOff>438693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304830" y="7881256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11</xdr:row>
      <xdr:rowOff>244929</xdr:rowOff>
    </xdr:from>
    <xdr:to>
      <xdr:col>2</xdr:col>
      <xdr:colOff>1028700</xdr:colOff>
      <xdr:row>12</xdr:row>
      <xdr:rowOff>181440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57054" y="3641272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293915</xdr:colOff>
      <xdr:row>27</xdr:row>
      <xdr:rowOff>32657</xdr:rowOff>
    </xdr:from>
    <xdr:to>
      <xdr:col>2</xdr:col>
      <xdr:colOff>979714</xdr:colOff>
      <xdr:row>27</xdr:row>
      <xdr:rowOff>424542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80" t="23378" r="45807" b="53033"/>
        <a:stretch/>
      </xdr:blipFill>
      <xdr:spPr bwMode="auto">
        <a:xfrm>
          <a:off x="2645229" y="9677400"/>
          <a:ext cx="685799" cy="391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492831" y="861059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153485</xdr:colOff>
      <xdr:row>25</xdr:row>
      <xdr:rowOff>38100</xdr:rowOff>
    </xdr:from>
    <xdr:to>
      <xdr:col>22</xdr:col>
      <xdr:colOff>603065</xdr:colOff>
      <xdr:row>25</xdr:row>
      <xdr:rowOff>413369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251485" y="6558643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26</xdr:row>
      <xdr:rowOff>21773</xdr:rowOff>
    </xdr:from>
    <xdr:to>
      <xdr:col>22</xdr:col>
      <xdr:colOff>566058</xdr:colOff>
      <xdr:row>26</xdr:row>
      <xdr:rowOff>428045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261288" y="6988630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27</xdr:row>
      <xdr:rowOff>32659</xdr:rowOff>
    </xdr:from>
    <xdr:to>
      <xdr:col>22</xdr:col>
      <xdr:colOff>566058</xdr:colOff>
      <xdr:row>27</xdr:row>
      <xdr:rowOff>438931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261288" y="7445830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28</xdr:row>
      <xdr:rowOff>21770</xdr:rowOff>
    </xdr:from>
    <xdr:to>
      <xdr:col>22</xdr:col>
      <xdr:colOff>609663</xdr:colOff>
      <xdr:row>28</xdr:row>
      <xdr:rowOff>438693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304830" y="7881256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29</xdr:row>
      <xdr:rowOff>21770</xdr:rowOff>
    </xdr:from>
    <xdr:to>
      <xdr:col>22</xdr:col>
      <xdr:colOff>609663</xdr:colOff>
      <xdr:row>29</xdr:row>
      <xdr:rowOff>438693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304830" y="8327570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24</xdr:row>
      <xdr:rowOff>45720</xdr:rowOff>
    </xdr:from>
    <xdr:to>
      <xdr:col>22</xdr:col>
      <xdr:colOff>603065</xdr:colOff>
      <xdr:row>24</xdr:row>
      <xdr:rowOff>420989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480085" y="6119949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119744</xdr:colOff>
      <xdr:row>0</xdr:row>
      <xdr:rowOff>32657</xdr:rowOff>
    </xdr:from>
    <xdr:to>
      <xdr:col>6</xdr:col>
      <xdr:colOff>1796144</xdr:colOff>
      <xdr:row>6</xdr:row>
      <xdr:rowOff>229896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96" t="32013" r="43344" b="21441"/>
        <a:stretch/>
      </xdr:blipFill>
      <xdr:spPr bwMode="auto">
        <a:xfrm>
          <a:off x="6270173" y="32657"/>
          <a:ext cx="1676400" cy="1699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413658</xdr:colOff>
      <xdr:row>28</xdr:row>
      <xdr:rowOff>21772</xdr:rowOff>
    </xdr:from>
    <xdr:to>
      <xdr:col>2</xdr:col>
      <xdr:colOff>816428</xdr:colOff>
      <xdr:row>28</xdr:row>
      <xdr:rowOff>430465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2819401" y="11005458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110837</xdr:colOff>
      <xdr:row>0</xdr:row>
      <xdr:rowOff>110837</xdr:rowOff>
    </xdr:from>
    <xdr:to>
      <xdr:col>14</xdr:col>
      <xdr:colOff>96982</xdr:colOff>
      <xdr:row>3</xdr:row>
      <xdr:rowOff>110838</xdr:rowOff>
    </xdr:to>
    <xdr:sp macro="" textlink="">
      <xdr:nvSpPr>
        <xdr:cNvPr id="12" name="Line Callout 1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2081164" y="110837"/>
          <a:ext cx="3616036" cy="748146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1"/>
              </a:solidFill>
            </a:rPr>
            <a:t>Confirm</a:t>
          </a:r>
          <a:r>
            <a:rPr lang="en-US" sz="1800" baseline="0">
              <a:solidFill>
                <a:schemeClr val="tx1"/>
              </a:solidFill>
            </a:rPr>
            <a:t> </a:t>
          </a:r>
          <a:r>
            <a:rPr lang="th-TH" sz="1800" baseline="0">
              <a:solidFill>
                <a:schemeClr val="tx1"/>
              </a:solidFill>
            </a:rPr>
            <a:t>กับลูกค้าว่าต้องการ ว่าต้องการเปิดด้านไหนก่อน</a:t>
          </a:r>
          <a:endParaRPr lang="th-TH" sz="1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13855</xdr:colOff>
      <xdr:row>0</xdr:row>
      <xdr:rowOff>124691</xdr:rowOff>
    </xdr:from>
    <xdr:to>
      <xdr:col>12</xdr:col>
      <xdr:colOff>124692</xdr:colOff>
      <xdr:row>5</xdr:row>
      <xdr:rowOff>152400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 flipH="1">
          <a:off x="10889673" y="124691"/>
          <a:ext cx="1205346" cy="1274618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83131</xdr:colOff>
      <xdr:row>32</xdr:row>
      <xdr:rowOff>69272</xdr:rowOff>
    </xdr:from>
    <xdr:to>
      <xdr:col>16</xdr:col>
      <xdr:colOff>466044</xdr:colOff>
      <xdr:row>86</xdr:row>
      <xdr:rowOff>110837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86" t="9972" r="36271" b="20460"/>
        <a:stretch/>
      </xdr:blipFill>
      <xdr:spPr bwMode="auto">
        <a:xfrm>
          <a:off x="83131" y="12760036"/>
          <a:ext cx="17604113" cy="12926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3" name="รูปภาพ 22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7560" y="252984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85917" y="431618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46580" y="477012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7560" y="342791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44701" y="298595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98040" y="387749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46602" y="535190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45640" y="56311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21841" y="60807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842259" y="2747556"/>
          <a:ext cx="562793" cy="42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598421" y="438150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758440" y="476903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743201" y="573024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98611</xdr:colOff>
      <xdr:row>34</xdr:row>
      <xdr:rowOff>315048</xdr:rowOff>
    </xdr:from>
    <xdr:to>
      <xdr:col>11</xdr:col>
      <xdr:colOff>10886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722171" y="13878648"/>
          <a:ext cx="5604415" cy="5688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คี่+คู่</a:t>
          </a:r>
        </a:p>
      </xdr:txBody>
    </xdr:sp>
    <xdr:clientData/>
  </xdr:twoCellAnchor>
  <xdr:twoCellAnchor>
    <xdr:from>
      <xdr:col>13</xdr:col>
      <xdr:colOff>330271</xdr:colOff>
      <xdr:row>28</xdr:row>
      <xdr:rowOff>18071</xdr:rowOff>
    </xdr:from>
    <xdr:to>
      <xdr:col>13</xdr:col>
      <xdr:colOff>834688</xdr:colOff>
      <xdr:row>28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96284" y="108809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27</xdr:row>
      <xdr:rowOff>51228</xdr:rowOff>
    </xdr:from>
    <xdr:to>
      <xdr:col>13</xdr:col>
      <xdr:colOff>839403</xdr:colOff>
      <xdr:row>27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836742" y="104529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26</xdr:row>
      <xdr:rowOff>6048</xdr:rowOff>
    </xdr:from>
    <xdr:to>
      <xdr:col>13</xdr:col>
      <xdr:colOff>751114</xdr:colOff>
      <xdr:row>26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830698" y="100339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1316787" y="1092925"/>
          <a:ext cx="625384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388621</xdr:colOff>
      <xdr:row>18</xdr:row>
      <xdr:rowOff>22860</xdr:rowOff>
    </xdr:from>
    <xdr:to>
      <xdr:col>13</xdr:col>
      <xdr:colOff>709394</xdr:colOff>
      <xdr:row>18</xdr:row>
      <xdr:rowOff>415834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805661" y="651510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20</xdr:row>
      <xdr:rowOff>53340</xdr:rowOff>
    </xdr:from>
    <xdr:to>
      <xdr:col>13</xdr:col>
      <xdr:colOff>666207</xdr:colOff>
      <xdr:row>21</xdr:row>
      <xdr:rowOff>1203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881861" y="7429500"/>
          <a:ext cx="201386" cy="389823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19</xdr:row>
      <xdr:rowOff>167640</xdr:rowOff>
    </xdr:from>
    <xdr:to>
      <xdr:col>14</xdr:col>
      <xdr:colOff>3267</xdr:colOff>
      <xdr:row>19</xdr:row>
      <xdr:rowOff>320714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439901" y="710184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21</xdr:row>
      <xdr:rowOff>47112</xdr:rowOff>
    </xdr:from>
    <xdr:to>
      <xdr:col>13</xdr:col>
      <xdr:colOff>831019</xdr:colOff>
      <xdr:row>21</xdr:row>
      <xdr:rowOff>384865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56525" y="786523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22</xdr:row>
      <xdr:rowOff>174171</xdr:rowOff>
    </xdr:from>
    <xdr:to>
      <xdr:col>14</xdr:col>
      <xdr:colOff>1030</xdr:colOff>
      <xdr:row>22</xdr:row>
      <xdr:rowOff>275408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427926" y="843425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5200105" y="1767778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999937</xdr:colOff>
      <xdr:row>43</xdr:row>
      <xdr:rowOff>38568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4874624" y="15331440"/>
          <a:ext cx="2327992" cy="2248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24</xdr:row>
      <xdr:rowOff>32656</xdr:rowOff>
    </xdr:from>
    <xdr:to>
      <xdr:col>13</xdr:col>
      <xdr:colOff>761999</xdr:colOff>
      <xdr:row>24</xdr:row>
      <xdr:rowOff>417941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41582" y="91766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25</xdr:row>
      <xdr:rowOff>119743</xdr:rowOff>
    </xdr:from>
    <xdr:to>
      <xdr:col>14</xdr:col>
      <xdr:colOff>4083</xdr:colOff>
      <xdr:row>25</xdr:row>
      <xdr:rowOff>382210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504126" y="97057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23</xdr:row>
      <xdr:rowOff>32659</xdr:rowOff>
    </xdr:from>
    <xdr:to>
      <xdr:col>13</xdr:col>
      <xdr:colOff>849089</xdr:colOff>
      <xdr:row>23</xdr:row>
      <xdr:rowOff>425803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6017" t="4571" r="2994" b="8560"/>
        <a:stretch/>
      </xdr:blipFill>
      <xdr:spPr>
        <a:xfrm>
          <a:off x="14765387" y="87346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3</xdr:col>
      <xdr:colOff>6805</xdr:colOff>
      <xdr:row>25</xdr:row>
      <xdr:rowOff>215323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632168" y="9405258"/>
          <a:ext cx="1066800" cy="3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992547" y="6631516"/>
          <a:ext cx="394870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992547" y="7532854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11</xdr:row>
      <xdr:rowOff>244929</xdr:rowOff>
    </xdr:from>
    <xdr:to>
      <xdr:col>2</xdr:col>
      <xdr:colOff>1028700</xdr:colOff>
      <xdr:row>12</xdr:row>
      <xdr:rowOff>181440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750820" y="3643449"/>
          <a:ext cx="822960" cy="378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632168" y="856487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413658</xdr:colOff>
      <xdr:row>27</xdr:row>
      <xdr:rowOff>21772</xdr:rowOff>
    </xdr:from>
    <xdr:to>
      <xdr:col>2</xdr:col>
      <xdr:colOff>816428</xdr:colOff>
      <xdr:row>27</xdr:row>
      <xdr:rowOff>430465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2958738" y="10933612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263234</xdr:colOff>
      <xdr:row>26</xdr:row>
      <xdr:rowOff>13855</xdr:rowOff>
    </xdr:from>
    <xdr:to>
      <xdr:col>2</xdr:col>
      <xdr:colOff>883375</xdr:colOff>
      <xdr:row>26</xdr:row>
      <xdr:rowOff>415636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13" t="14837" r="28422" b="35527"/>
        <a:stretch/>
      </xdr:blipFill>
      <xdr:spPr bwMode="auto">
        <a:xfrm>
          <a:off x="2812470" y="10044546"/>
          <a:ext cx="620141" cy="401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318663</xdr:colOff>
      <xdr:row>0</xdr:row>
      <xdr:rowOff>0</xdr:rowOff>
    </xdr:from>
    <xdr:to>
      <xdr:col>6</xdr:col>
      <xdr:colOff>1710180</xdr:colOff>
      <xdr:row>6</xdr:row>
      <xdr:rowOff>244076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84" t="25627" r="56383" b="30593"/>
        <a:stretch/>
      </xdr:blipFill>
      <xdr:spPr bwMode="auto">
        <a:xfrm>
          <a:off x="6899572" y="0"/>
          <a:ext cx="1496292" cy="1740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110837</xdr:colOff>
      <xdr:row>0</xdr:row>
      <xdr:rowOff>83128</xdr:rowOff>
    </xdr:from>
    <xdr:to>
      <xdr:col>14</xdr:col>
      <xdr:colOff>96982</xdr:colOff>
      <xdr:row>3</xdr:row>
      <xdr:rowOff>83129</xdr:rowOff>
    </xdr:to>
    <xdr:sp macro="" textlink="">
      <xdr:nvSpPr>
        <xdr:cNvPr id="42" name="Line Callout 1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2372110" y="83128"/>
          <a:ext cx="3616036" cy="748146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800">
              <a:solidFill>
                <a:schemeClr val="tx1"/>
              </a:solidFill>
            </a:rPr>
            <a:t>บานคี่ จะเป็นบานที่เปิดก่อน</a:t>
          </a:r>
        </a:p>
      </xdr:txBody>
    </xdr:sp>
    <xdr:clientData/>
  </xdr:twoCellAnchor>
  <xdr:twoCellAnchor>
    <xdr:from>
      <xdr:col>17</xdr:col>
      <xdr:colOff>193964</xdr:colOff>
      <xdr:row>0</xdr:row>
      <xdr:rowOff>0</xdr:rowOff>
    </xdr:from>
    <xdr:to>
      <xdr:col>18</xdr:col>
      <xdr:colOff>719743</xdr:colOff>
      <xdr:row>4</xdr:row>
      <xdr:rowOff>65314</xdr:rowOff>
    </xdr:to>
    <xdr:sp macro="" textlink="">
      <xdr:nvSpPr>
        <xdr:cNvPr id="47" name="Left Arrow 46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808018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124695</xdr:colOff>
      <xdr:row>31</xdr:row>
      <xdr:rowOff>417907</xdr:rowOff>
    </xdr:from>
    <xdr:to>
      <xdr:col>16</xdr:col>
      <xdr:colOff>526477</xdr:colOff>
      <xdr:row>86</xdr:row>
      <xdr:rowOff>138545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52" t="12719" r="44225" b="16937"/>
        <a:stretch/>
      </xdr:blipFill>
      <xdr:spPr bwMode="auto">
        <a:xfrm>
          <a:off x="124695" y="12665325"/>
          <a:ext cx="17622982" cy="13048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3" name="รูปภาพ 22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57120" y="252984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5477" y="431618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6140" y="477012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57120" y="342791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34261" y="298595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87600" y="387749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36162" y="535190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35200" y="56311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11401" y="60807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3284219" y="2747556"/>
          <a:ext cx="562793" cy="42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3040381" y="438150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3200400" y="476903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3185161" y="573024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98611</xdr:colOff>
      <xdr:row>34</xdr:row>
      <xdr:rowOff>315048</xdr:rowOff>
    </xdr:from>
    <xdr:to>
      <xdr:col>11</xdr:col>
      <xdr:colOff>10886</xdr:colOff>
      <xdr:row>36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6011731" y="13878648"/>
          <a:ext cx="5604415" cy="5688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คี่+คี่</a:t>
          </a:r>
        </a:p>
      </xdr:txBody>
    </xdr:sp>
    <xdr:clientData/>
  </xdr:twoCellAnchor>
  <xdr:twoCellAnchor>
    <xdr:from>
      <xdr:col>13</xdr:col>
      <xdr:colOff>330271</xdr:colOff>
      <xdr:row>28</xdr:row>
      <xdr:rowOff>18071</xdr:rowOff>
    </xdr:from>
    <xdr:to>
      <xdr:col>13</xdr:col>
      <xdr:colOff>834688</xdr:colOff>
      <xdr:row>28</xdr:row>
      <xdr:rowOff>424542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5085844" y="108809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27</xdr:row>
      <xdr:rowOff>51228</xdr:rowOff>
    </xdr:from>
    <xdr:to>
      <xdr:col>13</xdr:col>
      <xdr:colOff>839403</xdr:colOff>
      <xdr:row>27</xdr:row>
      <xdr:rowOff>402772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5126302" y="104529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26</xdr:row>
      <xdr:rowOff>6048</xdr:rowOff>
    </xdr:from>
    <xdr:to>
      <xdr:col>13</xdr:col>
      <xdr:colOff>751114</xdr:colOff>
      <xdr:row>26</xdr:row>
      <xdr:rowOff>434564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5120258" y="100339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11606347" y="1092925"/>
          <a:ext cx="625384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388621</xdr:colOff>
      <xdr:row>18</xdr:row>
      <xdr:rowOff>22860</xdr:rowOff>
    </xdr:from>
    <xdr:to>
      <xdr:col>13</xdr:col>
      <xdr:colOff>709394</xdr:colOff>
      <xdr:row>18</xdr:row>
      <xdr:rowOff>415834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095221" y="651510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20</xdr:row>
      <xdr:rowOff>53340</xdr:rowOff>
    </xdr:from>
    <xdr:to>
      <xdr:col>13</xdr:col>
      <xdr:colOff>666207</xdr:colOff>
      <xdr:row>21</xdr:row>
      <xdr:rowOff>1203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171421" y="7429500"/>
          <a:ext cx="201386" cy="389823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19</xdr:row>
      <xdr:rowOff>167640</xdr:rowOff>
    </xdr:from>
    <xdr:to>
      <xdr:col>14</xdr:col>
      <xdr:colOff>3267</xdr:colOff>
      <xdr:row>19</xdr:row>
      <xdr:rowOff>320714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29461" y="710184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21</xdr:row>
      <xdr:rowOff>47112</xdr:rowOff>
    </xdr:from>
    <xdr:to>
      <xdr:col>13</xdr:col>
      <xdr:colOff>831019</xdr:colOff>
      <xdr:row>21</xdr:row>
      <xdr:rowOff>384865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46085" y="786523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22</xdr:row>
      <xdr:rowOff>174171</xdr:rowOff>
    </xdr:from>
    <xdr:to>
      <xdr:col>14</xdr:col>
      <xdr:colOff>1030</xdr:colOff>
      <xdr:row>22</xdr:row>
      <xdr:rowOff>275408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17486" y="843425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5489665" y="1767778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999937</xdr:colOff>
      <xdr:row>43</xdr:row>
      <xdr:rowOff>38568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5248004" y="15331440"/>
          <a:ext cx="2327993" cy="2248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24</xdr:row>
      <xdr:rowOff>32656</xdr:rowOff>
    </xdr:from>
    <xdr:to>
      <xdr:col>13</xdr:col>
      <xdr:colOff>761999</xdr:colOff>
      <xdr:row>24</xdr:row>
      <xdr:rowOff>417941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131142" y="91766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25</xdr:row>
      <xdr:rowOff>119743</xdr:rowOff>
    </xdr:from>
    <xdr:to>
      <xdr:col>14</xdr:col>
      <xdr:colOff>4083</xdr:colOff>
      <xdr:row>25</xdr:row>
      <xdr:rowOff>382210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793686" y="97057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23</xdr:row>
      <xdr:rowOff>32659</xdr:rowOff>
    </xdr:from>
    <xdr:to>
      <xdr:col>13</xdr:col>
      <xdr:colOff>849089</xdr:colOff>
      <xdr:row>23</xdr:row>
      <xdr:rowOff>425803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6017" t="4571" r="2994" b="8560"/>
        <a:stretch/>
      </xdr:blipFill>
      <xdr:spPr>
        <a:xfrm>
          <a:off x="15054947" y="87346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3</xdr:col>
      <xdr:colOff>6805</xdr:colOff>
      <xdr:row>25</xdr:row>
      <xdr:rowOff>215323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9405258"/>
          <a:ext cx="1066800" cy="3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6631516"/>
          <a:ext cx="394870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7532854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11</xdr:row>
      <xdr:rowOff>244929</xdr:rowOff>
    </xdr:from>
    <xdr:to>
      <xdr:col>2</xdr:col>
      <xdr:colOff>1028700</xdr:colOff>
      <xdr:row>12</xdr:row>
      <xdr:rowOff>181440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3192780" y="3643449"/>
          <a:ext cx="822960" cy="378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856487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413658</xdr:colOff>
      <xdr:row>27</xdr:row>
      <xdr:rowOff>21772</xdr:rowOff>
    </xdr:from>
    <xdr:to>
      <xdr:col>2</xdr:col>
      <xdr:colOff>816428</xdr:colOff>
      <xdr:row>27</xdr:row>
      <xdr:rowOff>430465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3400698" y="10491652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263234</xdr:colOff>
      <xdr:row>26</xdr:row>
      <xdr:rowOff>13855</xdr:rowOff>
    </xdr:from>
    <xdr:to>
      <xdr:col>2</xdr:col>
      <xdr:colOff>883375</xdr:colOff>
      <xdr:row>26</xdr:row>
      <xdr:rowOff>415636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13" t="14837" r="28422" b="35527"/>
        <a:stretch/>
      </xdr:blipFill>
      <xdr:spPr bwMode="auto">
        <a:xfrm>
          <a:off x="3250274" y="10041775"/>
          <a:ext cx="620141" cy="401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193968</xdr:colOff>
      <xdr:row>0</xdr:row>
      <xdr:rowOff>13855</xdr:rowOff>
    </xdr:from>
    <xdr:to>
      <xdr:col>7</xdr:col>
      <xdr:colOff>4333</xdr:colOff>
      <xdr:row>6</xdr:row>
      <xdr:rowOff>166255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60" t="19747" r="59092" b="21814"/>
        <a:stretch/>
      </xdr:blipFill>
      <xdr:spPr bwMode="auto">
        <a:xfrm>
          <a:off x="6774877" y="13855"/>
          <a:ext cx="1648690" cy="1648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124691</xdr:colOff>
      <xdr:row>0</xdr:row>
      <xdr:rowOff>138546</xdr:rowOff>
    </xdr:from>
    <xdr:to>
      <xdr:col>14</xdr:col>
      <xdr:colOff>110836</xdr:colOff>
      <xdr:row>3</xdr:row>
      <xdr:rowOff>138547</xdr:rowOff>
    </xdr:to>
    <xdr:sp macro="" textlink="">
      <xdr:nvSpPr>
        <xdr:cNvPr id="43" name="Line Callout 1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12385964" y="138546"/>
          <a:ext cx="3616036" cy="748146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1"/>
              </a:solidFill>
            </a:rPr>
            <a:t>Confirm</a:t>
          </a:r>
          <a:r>
            <a:rPr lang="en-US" sz="1800" baseline="0">
              <a:solidFill>
                <a:schemeClr val="tx1"/>
              </a:solidFill>
            </a:rPr>
            <a:t> </a:t>
          </a:r>
          <a:r>
            <a:rPr lang="th-TH" sz="1800" baseline="0">
              <a:solidFill>
                <a:schemeClr val="tx1"/>
              </a:solidFill>
            </a:rPr>
            <a:t>กับลูกค้าว่าต้องการ ว่าต้องการเปิดด้านไหนก่อน</a:t>
          </a:r>
          <a:endParaRPr lang="th-TH" sz="1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27709</xdr:colOff>
      <xdr:row>0</xdr:row>
      <xdr:rowOff>152400</xdr:rowOff>
    </xdr:from>
    <xdr:to>
      <xdr:col>12</xdr:col>
      <xdr:colOff>138546</xdr:colOff>
      <xdr:row>5</xdr:row>
      <xdr:rowOff>180109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CxnSpPr/>
      </xdr:nvCxnSpPr>
      <xdr:spPr>
        <a:xfrm flipH="1">
          <a:off x="11194473" y="152400"/>
          <a:ext cx="1205346" cy="1274618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193964</xdr:colOff>
      <xdr:row>0</xdr:row>
      <xdr:rowOff>0</xdr:rowOff>
    </xdr:from>
    <xdr:to>
      <xdr:col>18</xdr:col>
      <xdr:colOff>719743</xdr:colOff>
      <xdr:row>4</xdr:row>
      <xdr:rowOff>65314</xdr:rowOff>
    </xdr:to>
    <xdr:sp macro="" textlink="">
      <xdr:nvSpPr>
        <xdr:cNvPr id="45" name="Left Arrow 4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1808018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14" name="รูปภาพ 22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64008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7134" y="3321233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9020" y="86410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08777" y="2424250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85918" y="1977936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39257" y="2878184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89042" y="92228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88080" y="112699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64281" y="117195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910840" y="967741"/>
          <a:ext cx="571500" cy="425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819400" y="143256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667001" y="193548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4674" y="2885804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394063</xdr:rowOff>
    </xdr:from>
    <xdr:to>
      <xdr:col>2</xdr:col>
      <xdr:colOff>1066800</xdr:colOff>
      <xdr:row>10</xdr:row>
      <xdr:rowOff>91560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81549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4141" cy="795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1067438</xdr:colOff>
      <xdr:row>18</xdr:row>
      <xdr:rowOff>336817</xdr:rowOff>
    </xdr:from>
    <xdr:to>
      <xdr:col>11</xdr:col>
      <xdr:colOff>413655</xdr:colOff>
      <xdr:row>20</xdr:row>
      <xdr:rowOff>217714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9122867" y="7641131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2P 2-0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2-0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3971428" y="5118463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3971428" y="5557157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1042088" y="5987144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1042088" y="6444345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1368659" y="6879770"/>
          <a:ext cx="402833" cy="424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1368659" y="7315198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37501" y="5934469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77959" y="5502128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71915" y="6417734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0884" y="4955318"/>
          <a:ext cx="446315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5488" y="5215511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1244941" y="97971"/>
          <a:ext cx="6270173" cy="6096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93686" y="693420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10884</xdr:rowOff>
    </xdr:from>
    <xdr:to>
      <xdr:col>7</xdr:col>
      <xdr:colOff>288302</xdr:colOff>
      <xdr:row>29</xdr:row>
      <xdr:rowOff>413656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4" t="6227" r="30288" b="21337"/>
        <a:stretch/>
      </xdr:blipFill>
      <xdr:spPr bwMode="auto">
        <a:xfrm>
          <a:off x="0" y="6868884"/>
          <a:ext cx="8343731" cy="575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761999</xdr:colOff>
      <xdr:row>20</xdr:row>
      <xdr:rowOff>163285</xdr:rowOff>
    </xdr:from>
    <xdr:to>
      <xdr:col>10</xdr:col>
      <xdr:colOff>642257</xdr:colOff>
      <xdr:row>29</xdr:row>
      <xdr:rowOff>217715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7" t="13188" r="54026" b="8519"/>
        <a:stretch/>
      </xdr:blipFill>
      <xdr:spPr bwMode="auto">
        <a:xfrm>
          <a:off x="8817428" y="8360228"/>
          <a:ext cx="2405743" cy="4071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337458</xdr:colOff>
      <xdr:row>29</xdr:row>
      <xdr:rowOff>114766</xdr:rowOff>
    </xdr:from>
    <xdr:to>
      <xdr:col>16</xdr:col>
      <xdr:colOff>630733</xdr:colOff>
      <xdr:row>29</xdr:row>
      <xdr:rowOff>409321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>
          <a:off x="15893144" y="12328537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108858</xdr:colOff>
      <xdr:row>25</xdr:row>
      <xdr:rowOff>97970</xdr:rowOff>
    </xdr:from>
    <xdr:to>
      <xdr:col>16</xdr:col>
      <xdr:colOff>631372</xdr:colOff>
      <xdr:row>29</xdr:row>
      <xdr:rowOff>114767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64544" y="10526484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15</xdr:row>
      <xdr:rowOff>228600</xdr:rowOff>
    </xdr:from>
    <xdr:ext cx="1160190" cy="435429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3086" y="619397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217714</xdr:colOff>
      <xdr:row>0</xdr:row>
      <xdr:rowOff>0</xdr:rowOff>
    </xdr:from>
    <xdr:to>
      <xdr:col>19</xdr:col>
      <xdr:colOff>4253</xdr:colOff>
      <xdr:row>4</xdr:row>
      <xdr:rowOff>61355</xdr:rowOff>
    </xdr:to>
    <xdr:sp macro="" textlink="">
      <xdr:nvSpPr>
        <xdr:cNvPr id="38" name="Left Arrow 3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1776548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372291</xdr:rowOff>
    </xdr:from>
    <xdr:to>
      <xdr:col>2</xdr:col>
      <xdr:colOff>1066800</xdr:colOff>
      <xdr:row>10</xdr:row>
      <xdr:rowOff>69788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59777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1721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370753</xdr:colOff>
      <xdr:row>23</xdr:row>
      <xdr:rowOff>369474</xdr:rowOff>
    </xdr:from>
    <xdr:to>
      <xdr:col>12</xdr:col>
      <xdr:colOff>250370</xdr:colOff>
      <xdr:row>25</xdr:row>
      <xdr:rowOff>250372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9623610" y="9905360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3P 3-0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58974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54694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63763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14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0544" y="5138059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70121" y="550164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846321" y="641604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14</xdr:col>
      <xdr:colOff>3267</xdr:colOff>
      <xdr:row>15</xdr:row>
      <xdr:rowOff>320714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404361" y="608838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620985" y="685177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351605</xdr:rowOff>
    </xdr:from>
    <xdr:to>
      <xdr:col>7</xdr:col>
      <xdr:colOff>992398</xdr:colOff>
      <xdr:row>32</xdr:row>
      <xdr:rowOff>348342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6" t="5024" r="19759" b="3915"/>
        <a:stretch/>
      </xdr:blipFill>
      <xdr:spPr bwMode="auto">
        <a:xfrm>
          <a:off x="0" y="7655919"/>
          <a:ext cx="9047827" cy="6245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1137240</xdr:colOff>
      <xdr:row>16</xdr:row>
      <xdr:rowOff>315685</xdr:rowOff>
    </xdr:from>
    <xdr:to>
      <xdr:col>6</xdr:col>
      <xdr:colOff>609916</xdr:colOff>
      <xdr:row>21</xdr:row>
      <xdr:rowOff>32657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488554" y="6727371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152399</xdr:colOff>
      <xdr:row>25</xdr:row>
      <xdr:rowOff>195944</xdr:rowOff>
    </xdr:from>
    <xdr:to>
      <xdr:col>11</xdr:col>
      <xdr:colOff>576942</xdr:colOff>
      <xdr:row>32</xdr:row>
      <xdr:rowOff>378793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55" t="10033" r="54187" b="11371"/>
        <a:stretch/>
      </xdr:blipFill>
      <xdr:spPr bwMode="auto">
        <a:xfrm>
          <a:off x="9405256" y="10624458"/>
          <a:ext cx="2427515" cy="3307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337456</xdr:colOff>
      <xdr:row>32</xdr:row>
      <xdr:rowOff>114768</xdr:rowOff>
    </xdr:from>
    <xdr:to>
      <xdr:col>16</xdr:col>
      <xdr:colOff>630731</xdr:colOff>
      <xdr:row>32</xdr:row>
      <xdr:rowOff>409323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>
          <a:off x="15893142" y="13667482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108856</xdr:colOff>
      <xdr:row>28</xdr:row>
      <xdr:rowOff>97972</xdr:rowOff>
    </xdr:from>
    <xdr:to>
      <xdr:col>16</xdr:col>
      <xdr:colOff>583745</xdr:colOff>
      <xdr:row>32</xdr:row>
      <xdr:rowOff>114769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64542" y="11865429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619514" y="8708572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82799" y="9122227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14</xdr:col>
      <xdr:colOff>4083</xdr:colOff>
      <xdr:row>20</xdr:row>
      <xdr:rowOff>382210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45343" y="9655629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37243</xdr:colOff>
      <xdr:row>14</xdr:row>
      <xdr:rowOff>261257</xdr:rowOff>
    </xdr:from>
    <xdr:ext cx="1160190" cy="435429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8557" y="5780314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51" name="Left Arrow 5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394063</xdr:rowOff>
    </xdr:from>
    <xdr:to>
      <xdr:col>2</xdr:col>
      <xdr:colOff>1066800</xdr:colOff>
      <xdr:row>10</xdr:row>
      <xdr:rowOff>91560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81549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174808</xdr:colOff>
      <xdr:row>24</xdr:row>
      <xdr:rowOff>184417</xdr:rowOff>
    </xdr:from>
    <xdr:to>
      <xdr:col>11</xdr:col>
      <xdr:colOff>261887</xdr:colOff>
      <xdr:row>25</xdr:row>
      <xdr:rowOff>371644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9427665" y="10166617"/>
          <a:ext cx="2090051" cy="63354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3P 2-1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348344</xdr:colOff>
      <xdr:row>32</xdr:row>
      <xdr:rowOff>108859</xdr:rowOff>
    </xdr:from>
    <xdr:to>
      <xdr:col>16</xdr:col>
      <xdr:colOff>641619</xdr:colOff>
      <xdr:row>32</xdr:row>
      <xdr:rowOff>403414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15904030" y="13661573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119744</xdr:colOff>
      <xdr:row>28</xdr:row>
      <xdr:rowOff>92063</xdr:rowOff>
    </xdr:from>
    <xdr:to>
      <xdr:col>16</xdr:col>
      <xdr:colOff>642258</xdr:colOff>
      <xdr:row>32</xdr:row>
      <xdr:rowOff>108860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75430" y="11859520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3198" y="5543518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43541</xdr:rowOff>
    </xdr:from>
    <xdr:to>
      <xdr:col>7</xdr:col>
      <xdr:colOff>938562</xdr:colOff>
      <xdr:row>32</xdr:row>
      <xdr:rowOff>435431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94170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544285</xdr:colOff>
      <xdr:row>17</xdr:row>
      <xdr:rowOff>54429</xdr:rowOff>
    </xdr:from>
    <xdr:to>
      <xdr:col>6</xdr:col>
      <xdr:colOff>718456</xdr:colOff>
      <xdr:row>22</xdr:row>
      <xdr:rowOff>38884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07" t="33731" r="38290" b="14088"/>
        <a:stretch/>
      </xdr:blipFill>
      <xdr:spPr bwMode="auto">
        <a:xfrm>
          <a:off x="2895599" y="6912429"/>
          <a:ext cx="3918857" cy="221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1034137</xdr:colOff>
      <xdr:row>25</xdr:row>
      <xdr:rowOff>391886</xdr:rowOff>
    </xdr:from>
    <xdr:to>
      <xdr:col>11</xdr:col>
      <xdr:colOff>93036</xdr:colOff>
      <xdr:row>32</xdr:row>
      <xdr:rowOff>315686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60" t="10886" r="52082" b="11450"/>
        <a:stretch/>
      </xdr:blipFill>
      <xdr:spPr bwMode="auto">
        <a:xfrm>
          <a:off x="9089566" y="10820400"/>
          <a:ext cx="2259299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706604" y="7783288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239486</xdr:rowOff>
    </xdr:from>
    <xdr:ext cx="1160190" cy="435429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20485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7" name="Left Arrow 4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610241</xdr:colOff>
      <xdr:row>20</xdr:row>
      <xdr:rowOff>140873</xdr:rowOff>
    </xdr:from>
    <xdr:to>
      <xdr:col>13</xdr:col>
      <xdr:colOff>54430</xdr:colOff>
      <xdr:row>22</xdr:row>
      <xdr:rowOff>21771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11866070" y="8337816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4บาน 4-0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58974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54694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63763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88848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41" name="รูปภาพ 226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7</xdr:col>
      <xdr:colOff>293916</xdr:colOff>
      <xdr:row>19</xdr:row>
      <xdr:rowOff>119746</xdr:rowOff>
    </xdr:from>
    <xdr:to>
      <xdr:col>11</xdr:col>
      <xdr:colOff>97974</xdr:colOff>
      <xdr:row>23</xdr:row>
      <xdr:rowOff>154090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349345" y="7870375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587827</xdr:colOff>
      <xdr:row>22</xdr:row>
      <xdr:rowOff>10886</xdr:rowOff>
    </xdr:from>
    <xdr:to>
      <xdr:col>12</xdr:col>
      <xdr:colOff>2357370</xdr:colOff>
      <xdr:row>29</xdr:row>
      <xdr:rowOff>359229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3" t="14841" r="58281" b="7400"/>
        <a:stretch/>
      </xdr:blipFill>
      <xdr:spPr bwMode="auto">
        <a:xfrm>
          <a:off x="11168741" y="9100457"/>
          <a:ext cx="3108486" cy="3472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15871381" y="12306769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81" y="10504716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228599</xdr:rowOff>
    </xdr:from>
    <xdr:ext cx="1160190" cy="435429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9397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206828</xdr:colOff>
      <xdr:row>0</xdr:row>
      <xdr:rowOff>0</xdr:rowOff>
    </xdr:from>
    <xdr:to>
      <xdr:col>18</xdr:col>
      <xdr:colOff>722710</xdr:colOff>
      <xdr:row>4</xdr:row>
      <xdr:rowOff>61355</xdr:rowOff>
    </xdr:to>
    <xdr:sp macro="" textlink="">
      <xdr:nvSpPr>
        <xdr:cNvPr id="39" name="Left Arrow 38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17754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17</xdr:row>
      <xdr:rowOff>10886</xdr:rowOff>
    </xdr:from>
    <xdr:to>
      <xdr:col>7</xdr:col>
      <xdr:colOff>288302</xdr:colOff>
      <xdr:row>29</xdr:row>
      <xdr:rowOff>413658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9595540-9373-4F94-B7E2-DBFFB7D710C0}"/>
            </a:ext>
          </a:extLst>
        </xdr:cNvPr>
        <xdr:cNvGrpSpPr/>
      </xdr:nvGrpSpPr>
      <xdr:grpSpPr>
        <a:xfrm>
          <a:off x="0" y="6868886"/>
          <a:ext cx="8343731" cy="5758543"/>
          <a:chOff x="0" y="6868886"/>
          <a:chExt cx="8343731" cy="5758543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0900-00002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5034" t="6227" r="30288" b="21337"/>
          <a:stretch/>
        </xdr:blipFill>
        <xdr:spPr bwMode="auto">
          <a:xfrm>
            <a:off x="0" y="6868886"/>
            <a:ext cx="8343731" cy="575854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BE6F00E-DB53-4AD7-B4CF-6ECBDC7A0D29}"/>
              </a:ext>
            </a:extLst>
          </xdr:cNvPr>
          <xdr:cNvSpPr/>
        </xdr:nvSpPr>
        <xdr:spPr>
          <a:xfrm rot="16200000">
            <a:off x="2362199" y="11517086"/>
            <a:ext cx="81643" cy="13607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100">
                <a:solidFill>
                  <a:sysClr val="windowText" lastClr="000000"/>
                </a:solidFill>
              </a:rPr>
              <a:t>7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A2985EC0-4303-49DB-A635-4DA83527AEBF}"/>
              </a:ext>
            </a:extLst>
          </xdr:cNvPr>
          <xdr:cNvSpPr/>
        </xdr:nvSpPr>
        <xdr:spPr>
          <a:xfrm rot="16200000">
            <a:off x="2362199" y="8349343"/>
            <a:ext cx="81643" cy="13607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100">
                <a:solidFill>
                  <a:sysClr val="windowText" lastClr="000000"/>
                </a:solidFill>
              </a:rPr>
              <a:t>7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14206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305441</xdr:colOff>
      <xdr:row>24</xdr:row>
      <xdr:rowOff>336818</xdr:rowOff>
    </xdr:from>
    <xdr:to>
      <xdr:col>12</xdr:col>
      <xdr:colOff>185058</xdr:colOff>
      <xdr:row>26</xdr:row>
      <xdr:rowOff>217715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9558298" y="10319018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4P 3-1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54921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812123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702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3051" y="6444336"/>
          <a:ext cx="4256313" cy="2603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14148</xdr:rowOff>
    </xdr:from>
    <xdr:to>
      <xdr:col>7</xdr:col>
      <xdr:colOff>974022</xdr:colOff>
      <xdr:row>32</xdr:row>
      <xdr:rowOff>411000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64777"/>
          <a:ext cx="9029451" cy="619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77006"/>
          <a:ext cx="3113313" cy="234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1175658</xdr:colOff>
      <xdr:row>26</xdr:row>
      <xdr:rowOff>185057</xdr:rowOff>
    </xdr:from>
    <xdr:to>
      <xdr:col>11</xdr:col>
      <xdr:colOff>532478</xdr:colOff>
      <xdr:row>32</xdr:row>
      <xdr:rowOff>381001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7" t="28086" r="58721" b="22448"/>
        <a:stretch/>
      </xdr:blipFill>
      <xdr:spPr bwMode="auto">
        <a:xfrm>
          <a:off x="9231087" y="11059886"/>
          <a:ext cx="2557220" cy="2873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/>
      </xdr:nvSpPr>
      <xdr:spPr>
        <a:xfrm>
          <a:off x="15882257" y="13645710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7" y="11843657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21772</xdr:colOff>
      <xdr:row>14</xdr:row>
      <xdr:rowOff>228600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3086" y="574765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84556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338098</xdr:colOff>
      <xdr:row>22</xdr:row>
      <xdr:rowOff>173531</xdr:rowOff>
    </xdr:from>
    <xdr:to>
      <xdr:col>12</xdr:col>
      <xdr:colOff>217715</xdr:colOff>
      <xdr:row>24</xdr:row>
      <xdr:rowOff>54428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>
          <a:off x="9590955" y="9263102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2-2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30" name="รูปภาพ 226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581034</xdr:colOff>
      <xdr:row>29</xdr:row>
      <xdr:rowOff>92999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163284</xdr:colOff>
      <xdr:row>18</xdr:row>
      <xdr:rowOff>155674</xdr:rowOff>
    </xdr:from>
    <xdr:to>
      <xdr:col>13</xdr:col>
      <xdr:colOff>674914</xdr:colOff>
      <xdr:row>22</xdr:row>
      <xdr:rowOff>180432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44198" y="7459988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185057</xdr:colOff>
      <xdr:row>23</xdr:row>
      <xdr:rowOff>370115</xdr:rowOff>
    </xdr:from>
    <xdr:to>
      <xdr:col>11</xdr:col>
      <xdr:colOff>581025</xdr:colOff>
      <xdr:row>29</xdr:row>
      <xdr:rowOff>411390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90" t="17902" r="51536" b="15333"/>
        <a:stretch/>
      </xdr:blipFill>
      <xdr:spPr bwMode="auto">
        <a:xfrm>
          <a:off x="9437914" y="9906001"/>
          <a:ext cx="2427515" cy="271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250371</xdr:rowOff>
    </xdr:from>
    <xdr:ext cx="1160190" cy="435429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69428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0</xdr:rowOff>
    </xdr:from>
    <xdr:to>
      <xdr:col>7</xdr:col>
      <xdr:colOff>938562</xdr:colOff>
      <xdr:row>29</xdr:row>
      <xdr:rowOff>391890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11686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1741715</xdr:colOff>
      <xdr:row>16</xdr:row>
      <xdr:rowOff>76199</xdr:rowOff>
    </xdr:from>
    <xdr:to>
      <xdr:col>10</xdr:col>
      <xdr:colOff>424544</xdr:colOff>
      <xdr:row>20</xdr:row>
      <xdr:rowOff>209434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5" y="6487885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217714</xdr:colOff>
      <xdr:row>0</xdr:row>
      <xdr:rowOff>0</xdr:rowOff>
    </xdr:from>
    <xdr:to>
      <xdr:col>19</xdr:col>
      <xdr:colOff>4253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>
          <a:off x="1776548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404949</xdr:rowOff>
    </xdr:from>
    <xdr:to>
      <xdr:col>2</xdr:col>
      <xdr:colOff>1066800</xdr:colOff>
      <xdr:row>10</xdr:row>
      <xdr:rowOff>102446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5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28099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640</xdr:colOff>
      <xdr:row>24</xdr:row>
      <xdr:rowOff>86446</xdr:rowOff>
    </xdr:from>
    <xdr:to>
      <xdr:col>12</xdr:col>
      <xdr:colOff>320744</xdr:colOff>
      <xdr:row>25</xdr:row>
      <xdr:rowOff>265590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9917526" y="10068646"/>
          <a:ext cx="2323075" cy="6254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5-0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293915</xdr:colOff>
      <xdr:row>17</xdr:row>
      <xdr:rowOff>47112</xdr:rowOff>
    </xdr:from>
    <xdr:to>
      <xdr:col>13</xdr:col>
      <xdr:colOff>885449</xdr:colOff>
      <xdr:row>17</xdr:row>
      <xdr:rowOff>384865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652172" y="690511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381000</xdr:rowOff>
    </xdr:from>
    <xdr:to>
      <xdr:col>7</xdr:col>
      <xdr:colOff>992398</xdr:colOff>
      <xdr:row>32</xdr:row>
      <xdr:rowOff>377737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6" t="5024" r="19759" b="3915"/>
        <a:stretch/>
      </xdr:blipFill>
      <xdr:spPr bwMode="auto">
        <a:xfrm>
          <a:off x="0" y="7685314"/>
          <a:ext cx="9047827" cy="6245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930411</xdr:colOff>
      <xdr:row>16</xdr:row>
      <xdr:rowOff>366851</xdr:rowOff>
    </xdr:from>
    <xdr:to>
      <xdr:col>6</xdr:col>
      <xdr:colOff>403087</xdr:colOff>
      <xdr:row>21</xdr:row>
      <xdr:rowOff>83823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281725" y="6778537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21774</xdr:colOff>
      <xdr:row>25</xdr:row>
      <xdr:rowOff>272143</xdr:rowOff>
    </xdr:from>
    <xdr:to>
      <xdr:col>12</xdr:col>
      <xdr:colOff>500746</xdr:colOff>
      <xdr:row>32</xdr:row>
      <xdr:rowOff>156784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5" t="11514" r="48268" b="10404"/>
        <a:stretch/>
      </xdr:blipFill>
      <xdr:spPr bwMode="auto">
        <a:xfrm>
          <a:off x="9274631" y="10700657"/>
          <a:ext cx="3145972" cy="3008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326570</xdr:colOff>
      <xdr:row>32</xdr:row>
      <xdr:rowOff>103881</xdr:rowOff>
    </xdr:from>
    <xdr:to>
      <xdr:col>16</xdr:col>
      <xdr:colOff>619845</xdr:colOff>
      <xdr:row>32</xdr:row>
      <xdr:rowOff>398436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/>
      </xdr:nvSpPr>
      <xdr:spPr>
        <a:xfrm>
          <a:off x="15882256" y="13656595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97970</xdr:colOff>
      <xdr:row>28</xdr:row>
      <xdr:rowOff>87085</xdr:rowOff>
    </xdr:from>
    <xdr:to>
      <xdr:col>16</xdr:col>
      <xdr:colOff>620484</xdr:colOff>
      <xdr:row>32</xdr:row>
      <xdr:rowOff>103882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6" y="11854542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609717" y="776151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32657</xdr:colOff>
      <xdr:row>14</xdr:row>
      <xdr:rowOff>239487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1" y="5758544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1132759</xdr:colOff>
      <xdr:row>23</xdr:row>
      <xdr:rowOff>445674</xdr:rowOff>
    </xdr:from>
    <xdr:to>
      <xdr:col>12</xdr:col>
      <xdr:colOff>762000</xdr:colOff>
      <xdr:row>25</xdr:row>
      <xdr:rowOff>326572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/>
      </xdr:nvSpPr>
      <xdr:spPr>
        <a:xfrm>
          <a:off x="9188188" y="9981560"/>
          <a:ext cx="3493669" cy="773526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4-1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มองนอกบ้าน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72402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32657</xdr:colOff>
      <xdr:row>17</xdr:row>
      <xdr:rowOff>76200</xdr:rowOff>
    </xdr:from>
    <xdr:to>
      <xdr:col>11</xdr:col>
      <xdr:colOff>0</xdr:colOff>
      <xdr:row>21</xdr:row>
      <xdr:rowOff>209435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086997" y="6888480"/>
          <a:ext cx="3160123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446319</xdr:colOff>
      <xdr:row>17</xdr:row>
      <xdr:rowOff>43543</xdr:rowOff>
    </xdr:from>
    <xdr:to>
      <xdr:col>6</xdr:col>
      <xdr:colOff>914401</xdr:colOff>
      <xdr:row>22</xdr:row>
      <xdr:rowOff>82588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797633" y="6901543"/>
          <a:ext cx="4212768" cy="2270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370121</xdr:colOff>
      <xdr:row>25</xdr:row>
      <xdr:rowOff>239487</xdr:rowOff>
    </xdr:from>
    <xdr:to>
      <xdr:col>12</xdr:col>
      <xdr:colOff>1055915</xdr:colOff>
      <xdr:row>32</xdr:row>
      <xdr:rowOff>329463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5" t="1263" r="54920" b="20648"/>
        <a:stretch/>
      </xdr:blipFill>
      <xdr:spPr bwMode="auto">
        <a:xfrm flipH="1">
          <a:off x="9622978" y="10668001"/>
          <a:ext cx="3352794" cy="3214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326570</xdr:colOff>
      <xdr:row>32</xdr:row>
      <xdr:rowOff>103883</xdr:rowOff>
    </xdr:from>
    <xdr:to>
      <xdr:col>16</xdr:col>
      <xdr:colOff>619845</xdr:colOff>
      <xdr:row>32</xdr:row>
      <xdr:rowOff>398438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SpPr/>
      </xdr:nvSpPr>
      <xdr:spPr>
        <a:xfrm>
          <a:off x="15882256" y="13656597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97970</xdr:colOff>
      <xdr:row>28</xdr:row>
      <xdr:rowOff>87087</xdr:rowOff>
    </xdr:from>
    <xdr:to>
      <xdr:col>16</xdr:col>
      <xdr:colOff>620484</xdr:colOff>
      <xdr:row>32</xdr:row>
      <xdr:rowOff>103884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6" y="11854544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32657</xdr:colOff>
      <xdr:row>15</xdr:row>
      <xdr:rowOff>250373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1" y="6215744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7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10048153" y="9959789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3-2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14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14</xdr:col>
      <xdr:colOff>3267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15</xdr:row>
      <xdr:rowOff>3264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72402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77743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65315</xdr:colOff>
      <xdr:row>25</xdr:row>
      <xdr:rowOff>239486</xdr:rowOff>
    </xdr:from>
    <xdr:to>
      <xdr:col>12</xdr:col>
      <xdr:colOff>805543</xdr:colOff>
      <xdr:row>32</xdr:row>
      <xdr:rowOff>356981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86" t="26238" r="52436" b="24433"/>
        <a:stretch/>
      </xdr:blipFill>
      <xdr:spPr bwMode="auto">
        <a:xfrm>
          <a:off x="9318172" y="10668000"/>
          <a:ext cx="3407228" cy="3241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1711780</xdr:colOff>
      <xdr:row>21</xdr:row>
      <xdr:rowOff>414940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6232" y="6901542"/>
          <a:ext cx="4876798" cy="2156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SpPr/>
      </xdr:nvSpPr>
      <xdr:spPr>
        <a:xfrm>
          <a:off x="15871369" y="13645710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581022</xdr:colOff>
      <xdr:row>32</xdr:row>
      <xdr:rowOff>92997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69" y="11843657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14</xdr:col>
      <xdr:colOff>4083</xdr:colOff>
      <xdr:row>20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239489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20486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9" name="Left Arrow 4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1721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131264</xdr:colOff>
      <xdr:row>21</xdr:row>
      <xdr:rowOff>86446</xdr:rowOff>
    </xdr:from>
    <xdr:to>
      <xdr:col>12</xdr:col>
      <xdr:colOff>1861565</xdr:colOff>
      <xdr:row>22</xdr:row>
      <xdr:rowOff>336818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/>
      </xdr:nvSpPr>
      <xdr:spPr>
        <a:xfrm>
          <a:off x="11387093" y="8729703"/>
          <a:ext cx="2394329" cy="69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6บาน 6-0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58974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54694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63763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88848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42" name="รูปภาพ 226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10891</xdr:rowOff>
    </xdr:from>
    <xdr:to>
      <xdr:col>7</xdr:col>
      <xdr:colOff>288302</xdr:colOff>
      <xdr:row>29</xdr:row>
      <xdr:rowOff>413663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4" t="6227" r="30288" b="21337"/>
        <a:stretch/>
      </xdr:blipFill>
      <xdr:spPr bwMode="auto">
        <a:xfrm>
          <a:off x="0" y="6868891"/>
          <a:ext cx="8343731" cy="575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293916</xdr:colOff>
      <xdr:row>19</xdr:row>
      <xdr:rowOff>119751</xdr:rowOff>
    </xdr:from>
    <xdr:to>
      <xdr:col>11</xdr:col>
      <xdr:colOff>97974</xdr:colOff>
      <xdr:row>23</xdr:row>
      <xdr:rowOff>154095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349345" y="7870380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609594</xdr:colOff>
      <xdr:row>22</xdr:row>
      <xdr:rowOff>337458</xdr:rowOff>
    </xdr:from>
    <xdr:to>
      <xdr:col>12</xdr:col>
      <xdr:colOff>2340423</xdr:colOff>
      <xdr:row>29</xdr:row>
      <xdr:rowOff>304152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9" t="19283" r="49863" b="2117"/>
        <a:stretch/>
      </xdr:blipFill>
      <xdr:spPr bwMode="auto">
        <a:xfrm>
          <a:off x="10526480" y="9427029"/>
          <a:ext cx="3733800" cy="3090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337457</xdr:colOff>
      <xdr:row>29</xdr:row>
      <xdr:rowOff>114765</xdr:rowOff>
    </xdr:from>
    <xdr:to>
      <xdr:col>16</xdr:col>
      <xdr:colOff>630732</xdr:colOff>
      <xdr:row>29</xdr:row>
      <xdr:rowOff>409320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SpPr/>
      </xdr:nvSpPr>
      <xdr:spPr>
        <a:xfrm>
          <a:off x="15893143" y="12328536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108857</xdr:colOff>
      <xdr:row>25</xdr:row>
      <xdr:rowOff>97969</xdr:rowOff>
    </xdr:from>
    <xdr:to>
      <xdr:col>16</xdr:col>
      <xdr:colOff>631371</xdr:colOff>
      <xdr:row>29</xdr:row>
      <xdr:rowOff>114766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64543" y="10526483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250372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21574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39" name="Left Arrow 3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84556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348981</xdr:colOff>
      <xdr:row>25</xdr:row>
      <xdr:rowOff>10247</xdr:rowOff>
    </xdr:from>
    <xdr:to>
      <xdr:col>12</xdr:col>
      <xdr:colOff>653141</xdr:colOff>
      <xdr:row>26</xdr:row>
      <xdr:rowOff>152400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/>
      </xdr:nvSpPr>
      <xdr:spPr>
        <a:xfrm>
          <a:off x="10265867" y="10438761"/>
          <a:ext cx="2307131" cy="5884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6บาน 5-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54921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0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812123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702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0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0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653142</xdr:colOff>
      <xdr:row>16</xdr:row>
      <xdr:rowOff>57690</xdr:rowOff>
    </xdr:from>
    <xdr:to>
      <xdr:col>6</xdr:col>
      <xdr:colOff>1164769</xdr:colOff>
      <xdr:row>21</xdr:row>
      <xdr:rowOff>437287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004456" y="6469376"/>
          <a:ext cx="4256313" cy="261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14141</xdr:rowOff>
    </xdr:from>
    <xdr:to>
      <xdr:col>7</xdr:col>
      <xdr:colOff>974022</xdr:colOff>
      <xdr:row>32</xdr:row>
      <xdr:rowOff>410993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64770"/>
          <a:ext cx="9029451" cy="619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1447796</xdr:colOff>
      <xdr:row>16</xdr:row>
      <xdr:rowOff>163285</xdr:rowOff>
    </xdr:from>
    <xdr:to>
      <xdr:col>10</xdr:col>
      <xdr:colOff>76195</xdr:colOff>
      <xdr:row>21</xdr:row>
      <xdr:rowOff>279890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543796" y="6574971"/>
          <a:ext cx="3113313" cy="234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185057</xdr:colOff>
      <xdr:row>26</xdr:row>
      <xdr:rowOff>108858</xdr:rowOff>
    </xdr:from>
    <xdr:to>
      <xdr:col>12</xdr:col>
      <xdr:colOff>1012372</xdr:colOff>
      <xdr:row>32</xdr:row>
      <xdr:rowOff>335137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1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7" t="7886" r="50997" b="14488"/>
        <a:stretch/>
      </xdr:blipFill>
      <xdr:spPr bwMode="auto">
        <a:xfrm>
          <a:off x="9437914" y="10983687"/>
          <a:ext cx="3494315" cy="2904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326572</xdr:colOff>
      <xdr:row>32</xdr:row>
      <xdr:rowOff>92998</xdr:rowOff>
    </xdr:from>
    <xdr:to>
      <xdr:col>16</xdr:col>
      <xdr:colOff>619847</xdr:colOff>
      <xdr:row>32</xdr:row>
      <xdr:rowOff>387553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1000-00002F000000}"/>
            </a:ext>
          </a:extLst>
        </xdr:cNvPr>
        <xdr:cNvSpPr/>
      </xdr:nvSpPr>
      <xdr:spPr>
        <a:xfrm>
          <a:off x="15882258" y="13645712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97972</xdr:colOff>
      <xdr:row>28</xdr:row>
      <xdr:rowOff>76202</xdr:rowOff>
    </xdr:from>
    <xdr:to>
      <xdr:col>16</xdr:col>
      <xdr:colOff>620486</xdr:colOff>
      <xdr:row>32</xdr:row>
      <xdr:rowOff>92999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0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8" y="11843659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1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0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10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10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367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000-000034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14206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338098</xdr:colOff>
      <xdr:row>22</xdr:row>
      <xdr:rowOff>173531</xdr:rowOff>
    </xdr:from>
    <xdr:to>
      <xdr:col>12</xdr:col>
      <xdr:colOff>217715</xdr:colOff>
      <xdr:row>24</xdr:row>
      <xdr:rowOff>54428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/>
      </xdr:nvSpPr>
      <xdr:spPr>
        <a:xfrm>
          <a:off x="9588778" y="9195611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6P 4-2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1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1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100-00001B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1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9" name="รูปภาพ 226">
          <a:extLst>
            <a:ext uri="{FF2B5EF4-FFF2-40B4-BE49-F238E27FC236}">
              <a16:creationId xmlns:a16="http://schemas.microsoft.com/office/drawing/2014/main" id="{00000000-0008-0000-1100-00001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1100-000022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1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206828</xdr:colOff>
      <xdr:row>18</xdr:row>
      <xdr:rowOff>231872</xdr:rowOff>
    </xdr:from>
    <xdr:to>
      <xdr:col>13</xdr:col>
      <xdr:colOff>718458</xdr:colOff>
      <xdr:row>22</xdr:row>
      <xdr:rowOff>256630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87742" y="7536186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250373</xdr:colOff>
      <xdr:row>24</xdr:row>
      <xdr:rowOff>3583</xdr:rowOff>
    </xdr:from>
    <xdr:to>
      <xdr:col>12</xdr:col>
      <xdr:colOff>729343</xdr:colOff>
      <xdr:row>29</xdr:row>
      <xdr:rowOff>413564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1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19" t="27591" r="54283" b="30497"/>
        <a:stretch/>
      </xdr:blipFill>
      <xdr:spPr bwMode="auto">
        <a:xfrm>
          <a:off x="9503230" y="9985783"/>
          <a:ext cx="3145970" cy="2641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228599</xdr:rowOff>
    </xdr:from>
    <xdr:ext cx="1160190" cy="435429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1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4765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10885</xdr:rowOff>
    </xdr:from>
    <xdr:to>
      <xdr:col>7</xdr:col>
      <xdr:colOff>938562</xdr:colOff>
      <xdr:row>29</xdr:row>
      <xdr:rowOff>402775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1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22571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1774372</xdr:colOff>
      <xdr:row>16</xdr:row>
      <xdr:rowOff>141512</xdr:rowOff>
    </xdr:from>
    <xdr:to>
      <xdr:col>10</xdr:col>
      <xdr:colOff>457201</xdr:colOff>
      <xdr:row>20</xdr:row>
      <xdr:rowOff>274747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1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70372" y="6553198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206828</xdr:colOff>
      <xdr:row>0</xdr:row>
      <xdr:rowOff>0</xdr:rowOff>
    </xdr:from>
    <xdr:to>
      <xdr:col>18</xdr:col>
      <xdr:colOff>722710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1100-00002C000000}"/>
            </a:ext>
          </a:extLst>
        </xdr:cNvPr>
        <xdr:cNvSpPr/>
      </xdr:nvSpPr>
      <xdr:spPr>
        <a:xfrm>
          <a:off x="17754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84556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305441</xdr:colOff>
      <xdr:row>24</xdr:row>
      <xdr:rowOff>336818</xdr:rowOff>
    </xdr:from>
    <xdr:to>
      <xdr:col>12</xdr:col>
      <xdr:colOff>185058</xdr:colOff>
      <xdr:row>26</xdr:row>
      <xdr:rowOff>217715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/>
      </xdr:nvSpPr>
      <xdr:spPr>
        <a:xfrm>
          <a:off x="9556121" y="10242818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6P 3-3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2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2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2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2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2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2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2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2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2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14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14</xdr:col>
      <xdr:colOff>3267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2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14148</xdr:rowOff>
    </xdr:from>
    <xdr:to>
      <xdr:col>7</xdr:col>
      <xdr:colOff>974022</xdr:colOff>
      <xdr:row>32</xdr:row>
      <xdr:rowOff>411000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2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64777"/>
          <a:ext cx="9029451" cy="619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2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1200-00002A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582385</xdr:colOff>
      <xdr:row>32</xdr:row>
      <xdr:rowOff>92997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2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14</xdr:col>
      <xdr:colOff>4083</xdr:colOff>
      <xdr:row>21</xdr:row>
      <xdr:rowOff>382210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2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12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</xdr:colOff>
      <xdr:row>26</xdr:row>
      <xdr:rowOff>228600</xdr:rowOff>
    </xdr:from>
    <xdr:to>
      <xdr:col>12</xdr:col>
      <xdr:colOff>724880</xdr:colOff>
      <xdr:row>32</xdr:row>
      <xdr:rowOff>391886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2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9" t="31382" r="51550" b="26495"/>
        <a:stretch/>
      </xdr:blipFill>
      <xdr:spPr bwMode="auto">
        <a:xfrm>
          <a:off x="9263742" y="11103429"/>
          <a:ext cx="3380995" cy="284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239488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2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58545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239485</xdr:colOff>
      <xdr:row>0</xdr:row>
      <xdr:rowOff>0</xdr:rowOff>
    </xdr:from>
    <xdr:to>
      <xdr:col>19</xdr:col>
      <xdr:colOff>26024</xdr:colOff>
      <xdr:row>4</xdr:row>
      <xdr:rowOff>61355</xdr:rowOff>
    </xdr:to>
    <xdr:sp macro="" textlink="">
      <xdr:nvSpPr>
        <xdr:cNvPr id="47" name="Left Arrow 4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200-00002F000000}"/>
            </a:ext>
          </a:extLst>
        </xdr:cNvPr>
        <xdr:cNvSpPr/>
      </xdr:nvSpPr>
      <xdr:spPr>
        <a:xfrm>
          <a:off x="1778725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0</xdr:colOff>
      <xdr:row>11</xdr:row>
      <xdr:rowOff>32658</xdr:rowOff>
    </xdr:from>
    <xdr:to>
      <xdr:col>16</xdr:col>
      <xdr:colOff>653143</xdr:colOff>
      <xdr:row>11</xdr:row>
      <xdr:rowOff>435430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13C579B-4148-4494-87CF-C16FBB107AEF}"/>
            </a:ext>
          </a:extLst>
        </xdr:cNvPr>
        <xdr:cNvSpPr/>
      </xdr:nvSpPr>
      <xdr:spPr>
        <a:xfrm>
          <a:off x="11919857" y="4212772"/>
          <a:ext cx="5617029" cy="40277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437605</xdr:rowOff>
    </xdr:from>
    <xdr:to>
      <xdr:col>2</xdr:col>
      <xdr:colOff>1066800</xdr:colOff>
      <xdr:row>10</xdr:row>
      <xdr:rowOff>135102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25091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238555</xdr:rowOff>
    </xdr:from>
    <xdr:to>
      <xdr:col>2</xdr:col>
      <xdr:colOff>967740</xdr:colOff>
      <xdr:row>12</xdr:row>
      <xdr:rowOff>191464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261897</xdr:colOff>
      <xdr:row>24</xdr:row>
      <xdr:rowOff>369474</xdr:rowOff>
    </xdr:from>
    <xdr:to>
      <xdr:col>12</xdr:col>
      <xdr:colOff>381001</xdr:colOff>
      <xdr:row>26</xdr:row>
      <xdr:rowOff>250371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SpPr/>
      </xdr:nvSpPr>
      <xdr:spPr>
        <a:xfrm>
          <a:off x="10178783" y="10351674"/>
          <a:ext cx="2122075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7บาน 7-0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28957</xdr:rowOff>
    </xdr:from>
    <xdr:to>
      <xdr:col>13</xdr:col>
      <xdr:colOff>834688</xdr:colOff>
      <xdr:row>23</xdr:row>
      <xdr:rowOff>435428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37501" y="8176927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77959" y="7733700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16934</xdr:rowOff>
    </xdr:from>
    <xdr:to>
      <xdr:col>13</xdr:col>
      <xdr:colOff>751114</xdr:colOff>
      <xdr:row>21</xdr:row>
      <xdr:rowOff>445450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71915" y="7321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3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3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391891</xdr:rowOff>
    </xdr:from>
    <xdr:to>
      <xdr:col>7</xdr:col>
      <xdr:colOff>992398</xdr:colOff>
      <xdr:row>32</xdr:row>
      <xdr:rowOff>388628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6" t="5024" r="19759" b="3915"/>
        <a:stretch/>
      </xdr:blipFill>
      <xdr:spPr bwMode="auto">
        <a:xfrm>
          <a:off x="0" y="7696205"/>
          <a:ext cx="9047827" cy="6245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1115468</xdr:colOff>
      <xdr:row>16</xdr:row>
      <xdr:rowOff>225338</xdr:rowOff>
    </xdr:from>
    <xdr:to>
      <xdr:col>6</xdr:col>
      <xdr:colOff>588144</xdr:colOff>
      <xdr:row>20</xdr:row>
      <xdr:rowOff>388624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13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466782" y="6637024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32658</xdr:colOff>
      <xdr:row>26</xdr:row>
      <xdr:rowOff>272142</xdr:rowOff>
    </xdr:from>
    <xdr:to>
      <xdr:col>12</xdr:col>
      <xdr:colOff>1037741</xdr:colOff>
      <xdr:row>32</xdr:row>
      <xdr:rowOff>324011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2" t="33631" r="57114" b="17483"/>
        <a:stretch/>
      </xdr:blipFill>
      <xdr:spPr bwMode="auto">
        <a:xfrm>
          <a:off x="9285515" y="11146971"/>
          <a:ext cx="3672083" cy="2729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103880</xdr:rowOff>
    </xdr:from>
    <xdr:to>
      <xdr:col>16</xdr:col>
      <xdr:colOff>619846</xdr:colOff>
      <xdr:row>32</xdr:row>
      <xdr:rowOff>398435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SpPr/>
      </xdr:nvSpPr>
      <xdr:spPr>
        <a:xfrm>
          <a:off x="15882257" y="13656594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87084</xdr:rowOff>
    </xdr:from>
    <xdr:to>
      <xdr:col>16</xdr:col>
      <xdr:colOff>620485</xdr:colOff>
      <xdr:row>32</xdr:row>
      <xdr:rowOff>103881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3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7" y="11854541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3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609717" y="776151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3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3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14</xdr:row>
      <xdr:rowOff>228606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3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3086" y="574766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272143</xdr:colOff>
      <xdr:row>0</xdr:row>
      <xdr:rowOff>0</xdr:rowOff>
    </xdr:from>
    <xdr:to>
      <xdr:col>19</xdr:col>
      <xdr:colOff>58682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SpPr/>
      </xdr:nvSpPr>
      <xdr:spPr>
        <a:xfrm>
          <a:off x="17819914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1721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534039</xdr:colOff>
      <xdr:row>23</xdr:row>
      <xdr:rowOff>413022</xdr:rowOff>
    </xdr:from>
    <xdr:to>
      <xdr:col>12</xdr:col>
      <xdr:colOff>1077685</xdr:colOff>
      <xdr:row>25</xdr:row>
      <xdr:rowOff>293920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SpPr/>
      </xdr:nvSpPr>
      <xdr:spPr>
        <a:xfrm>
          <a:off x="10450925" y="9948908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6-1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4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4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4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4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4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10888</xdr:rowOff>
    </xdr:from>
    <xdr:to>
      <xdr:col>7</xdr:col>
      <xdr:colOff>938562</xdr:colOff>
      <xdr:row>32</xdr:row>
      <xdr:rowOff>402778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14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61517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1861458</xdr:colOff>
      <xdr:row>17</xdr:row>
      <xdr:rowOff>132622</xdr:rowOff>
    </xdr:from>
    <xdr:to>
      <xdr:col>10</xdr:col>
      <xdr:colOff>576945</xdr:colOff>
      <xdr:row>21</xdr:row>
      <xdr:rowOff>285636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4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57458" y="6990622"/>
          <a:ext cx="3200401" cy="1938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674915</xdr:colOff>
      <xdr:row>17</xdr:row>
      <xdr:rowOff>21771</xdr:rowOff>
    </xdr:from>
    <xdr:to>
      <xdr:col>6</xdr:col>
      <xdr:colOff>1817915</xdr:colOff>
      <xdr:row>21</xdr:row>
      <xdr:rowOff>431340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4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79" t="31055" r="28906" b="17837"/>
        <a:stretch/>
      </xdr:blipFill>
      <xdr:spPr bwMode="auto">
        <a:xfrm>
          <a:off x="3026229" y="6879771"/>
          <a:ext cx="4887686" cy="219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87086</xdr:colOff>
      <xdr:row>25</xdr:row>
      <xdr:rowOff>261263</xdr:rowOff>
    </xdr:from>
    <xdr:to>
      <xdr:col>12</xdr:col>
      <xdr:colOff>1665514</xdr:colOff>
      <xdr:row>32</xdr:row>
      <xdr:rowOff>304498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4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4" t="44227" r="52883" b="5889"/>
        <a:stretch/>
      </xdr:blipFill>
      <xdr:spPr bwMode="auto">
        <a:xfrm>
          <a:off x="9339943" y="10689777"/>
          <a:ext cx="4245428" cy="3167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315687</xdr:colOff>
      <xdr:row>32</xdr:row>
      <xdr:rowOff>92997</xdr:rowOff>
    </xdr:from>
    <xdr:to>
      <xdr:col>16</xdr:col>
      <xdr:colOff>608962</xdr:colOff>
      <xdr:row>32</xdr:row>
      <xdr:rowOff>387552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400-00002E000000}"/>
            </a:ext>
          </a:extLst>
        </xdr:cNvPr>
        <xdr:cNvSpPr/>
      </xdr:nvSpPr>
      <xdr:spPr>
        <a:xfrm>
          <a:off x="15871373" y="13645711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87087</xdr:colOff>
      <xdr:row>28</xdr:row>
      <xdr:rowOff>76201</xdr:rowOff>
    </xdr:from>
    <xdr:to>
      <xdr:col>16</xdr:col>
      <xdr:colOff>609601</xdr:colOff>
      <xdr:row>32</xdr:row>
      <xdr:rowOff>92998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4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3" y="11843658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14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4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14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228603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14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93974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400-000034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426719</xdr:rowOff>
    </xdr:from>
    <xdr:to>
      <xdr:col>2</xdr:col>
      <xdr:colOff>1066800</xdr:colOff>
      <xdr:row>10</xdr:row>
      <xdr:rowOff>124216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14205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5-2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17973"/>
          <a:ext cx="8992902" cy="613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979714</xdr:colOff>
      <xdr:row>25</xdr:row>
      <xdr:rowOff>195943</xdr:rowOff>
    </xdr:from>
    <xdr:to>
      <xdr:col>12</xdr:col>
      <xdr:colOff>1709057</xdr:colOff>
      <xdr:row>32</xdr:row>
      <xdr:rowOff>392412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60" t="24214" r="42677" b="9303"/>
        <a:stretch/>
      </xdr:blipFill>
      <xdr:spPr bwMode="auto">
        <a:xfrm>
          <a:off x="9035143" y="10624457"/>
          <a:ext cx="4593771" cy="3320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239490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20486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7" name="Left Arrow 4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4-3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6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6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6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17973"/>
          <a:ext cx="8992902" cy="613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1534886</xdr:colOff>
      <xdr:row>17</xdr:row>
      <xdr:rowOff>195943</xdr:rowOff>
    </xdr:from>
    <xdr:to>
      <xdr:col>10</xdr:col>
      <xdr:colOff>217715</xdr:colOff>
      <xdr:row>21</xdr:row>
      <xdr:rowOff>329178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30886" y="7053943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1600-000029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6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6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1045029</xdr:colOff>
      <xdr:row>25</xdr:row>
      <xdr:rowOff>272143</xdr:rowOff>
    </xdr:from>
    <xdr:to>
      <xdr:col>12</xdr:col>
      <xdr:colOff>1602568</xdr:colOff>
      <xdr:row>32</xdr:row>
      <xdr:rowOff>402772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6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39" t="31223" r="47728" b="26721"/>
        <a:stretch/>
      </xdr:blipFill>
      <xdr:spPr bwMode="auto">
        <a:xfrm>
          <a:off x="9100458" y="10700657"/>
          <a:ext cx="4421967" cy="3254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489856</xdr:colOff>
      <xdr:row>17</xdr:row>
      <xdr:rowOff>38523</xdr:rowOff>
    </xdr:from>
    <xdr:to>
      <xdr:col>6</xdr:col>
      <xdr:colOff>947057</xdr:colOff>
      <xdr:row>22</xdr:row>
      <xdr:rowOff>71703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6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841170" y="6896523"/>
          <a:ext cx="4201887" cy="2264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228606</xdr:rowOff>
    </xdr:from>
    <xdr:ext cx="1160190" cy="435429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6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939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250371</xdr:colOff>
      <xdr:row>0</xdr:row>
      <xdr:rowOff>0</xdr:rowOff>
    </xdr:from>
    <xdr:to>
      <xdr:col>19</xdr:col>
      <xdr:colOff>36910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600-00002E000000}"/>
            </a:ext>
          </a:extLst>
        </xdr:cNvPr>
        <xdr:cNvSpPr/>
      </xdr:nvSpPr>
      <xdr:spPr>
        <a:xfrm>
          <a:off x="1779814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140007</xdr:colOff>
      <xdr:row>21</xdr:row>
      <xdr:rowOff>297415</xdr:rowOff>
    </xdr:from>
    <xdr:to>
      <xdr:col>12</xdr:col>
      <xdr:colOff>2018303</xdr:colOff>
      <xdr:row>23</xdr:row>
      <xdr:rowOff>172025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SpPr/>
      </xdr:nvSpPr>
      <xdr:spPr>
        <a:xfrm>
          <a:off x="11395836" y="8940672"/>
          <a:ext cx="2542324" cy="7672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8บาน 8-0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58974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54694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63763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88848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42" name="รูปภาพ 226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10886</xdr:rowOff>
    </xdr:from>
    <xdr:to>
      <xdr:col>7</xdr:col>
      <xdr:colOff>288302</xdr:colOff>
      <xdr:row>29</xdr:row>
      <xdr:rowOff>413658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4" t="6227" r="30288" b="21337"/>
        <a:stretch/>
      </xdr:blipFill>
      <xdr:spPr bwMode="auto">
        <a:xfrm>
          <a:off x="0" y="6868886"/>
          <a:ext cx="8343731" cy="575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250372</xdr:colOff>
      <xdr:row>19</xdr:row>
      <xdr:rowOff>119746</xdr:rowOff>
    </xdr:from>
    <xdr:to>
      <xdr:col>11</xdr:col>
      <xdr:colOff>54430</xdr:colOff>
      <xdr:row>23</xdr:row>
      <xdr:rowOff>154090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305801" y="7870375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446314</xdr:colOff>
      <xdr:row>23</xdr:row>
      <xdr:rowOff>283027</xdr:rowOff>
    </xdr:from>
    <xdr:to>
      <xdr:col>13</xdr:col>
      <xdr:colOff>31743</xdr:colOff>
      <xdr:row>29</xdr:row>
      <xdr:rowOff>304799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7" t="26376" r="45257" b="23801"/>
        <a:stretch/>
      </xdr:blipFill>
      <xdr:spPr bwMode="auto">
        <a:xfrm>
          <a:off x="10363200" y="9818913"/>
          <a:ext cx="4026800" cy="2699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315687</xdr:colOff>
      <xdr:row>29</xdr:row>
      <xdr:rowOff>103881</xdr:rowOff>
    </xdr:from>
    <xdr:to>
      <xdr:col>16</xdr:col>
      <xdr:colOff>608962</xdr:colOff>
      <xdr:row>29</xdr:row>
      <xdr:rowOff>398436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/>
      </xdr:nvSpPr>
      <xdr:spPr>
        <a:xfrm>
          <a:off x="15871373" y="12317652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87087</xdr:colOff>
      <xdr:row>25</xdr:row>
      <xdr:rowOff>87085</xdr:rowOff>
    </xdr:from>
    <xdr:to>
      <xdr:col>16</xdr:col>
      <xdr:colOff>609601</xdr:colOff>
      <xdr:row>29</xdr:row>
      <xdr:rowOff>103882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3" y="10515599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217718</xdr:rowOff>
    </xdr:from>
    <xdr:ext cx="1160190" cy="435429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83089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40" name="Left Arrow 3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383177</xdr:rowOff>
    </xdr:from>
    <xdr:to>
      <xdr:col>2</xdr:col>
      <xdr:colOff>1066800</xdr:colOff>
      <xdr:row>10</xdr:row>
      <xdr:rowOff>80674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70663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28099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436068</xdr:colOff>
      <xdr:row>24</xdr:row>
      <xdr:rowOff>423904</xdr:rowOff>
    </xdr:from>
    <xdr:to>
      <xdr:col>12</xdr:col>
      <xdr:colOff>979714</xdr:colOff>
      <xdr:row>26</xdr:row>
      <xdr:rowOff>304801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SpPr/>
      </xdr:nvSpPr>
      <xdr:spPr>
        <a:xfrm>
          <a:off x="10352954" y="10406104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8บาน 7-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54921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8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812123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8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702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8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8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729337</xdr:colOff>
      <xdr:row>16</xdr:row>
      <xdr:rowOff>32653</xdr:rowOff>
    </xdr:from>
    <xdr:to>
      <xdr:col>6</xdr:col>
      <xdr:colOff>1240964</xdr:colOff>
      <xdr:row>21</xdr:row>
      <xdr:rowOff>404630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8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080651" y="6444339"/>
          <a:ext cx="4256313" cy="2603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14141</xdr:rowOff>
    </xdr:from>
    <xdr:to>
      <xdr:col>7</xdr:col>
      <xdr:colOff>974022</xdr:colOff>
      <xdr:row>32</xdr:row>
      <xdr:rowOff>410993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8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64770"/>
          <a:ext cx="9029451" cy="619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1654620</xdr:colOff>
      <xdr:row>16</xdr:row>
      <xdr:rowOff>141513</xdr:rowOff>
    </xdr:from>
    <xdr:to>
      <xdr:col>10</xdr:col>
      <xdr:colOff>275399</xdr:colOff>
      <xdr:row>21</xdr:row>
      <xdr:rowOff>258118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8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50620" y="6553199"/>
          <a:ext cx="3105693" cy="234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228601</xdr:rowOff>
    </xdr:from>
    <xdr:to>
      <xdr:col>12</xdr:col>
      <xdr:colOff>1534886</xdr:colOff>
      <xdr:row>32</xdr:row>
      <xdr:rowOff>387282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18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67" t="32794" r="50997" b="17186"/>
        <a:stretch/>
      </xdr:blipFill>
      <xdr:spPr bwMode="auto">
        <a:xfrm>
          <a:off x="9252857" y="11103430"/>
          <a:ext cx="4201886" cy="2836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315686</xdr:colOff>
      <xdr:row>32</xdr:row>
      <xdr:rowOff>92995</xdr:rowOff>
    </xdr:from>
    <xdr:to>
      <xdr:col>16</xdr:col>
      <xdr:colOff>608961</xdr:colOff>
      <xdr:row>32</xdr:row>
      <xdr:rowOff>387550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1800-00002F000000}"/>
            </a:ext>
          </a:extLst>
        </xdr:cNvPr>
        <xdr:cNvSpPr/>
      </xdr:nvSpPr>
      <xdr:spPr>
        <a:xfrm>
          <a:off x="15871372" y="13645709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87086</xdr:colOff>
      <xdr:row>28</xdr:row>
      <xdr:rowOff>76199</xdr:rowOff>
    </xdr:from>
    <xdr:to>
      <xdr:col>16</xdr:col>
      <xdr:colOff>609600</xdr:colOff>
      <xdr:row>32</xdr:row>
      <xdr:rowOff>92996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8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2" y="11843656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1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8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18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206831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18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25888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800-000034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394062</xdr:rowOff>
    </xdr:from>
    <xdr:to>
      <xdr:col>2</xdr:col>
      <xdr:colOff>1066800</xdr:colOff>
      <xdr:row>10</xdr:row>
      <xdr:rowOff>91559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81548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7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207469</xdr:colOff>
      <xdr:row>22</xdr:row>
      <xdr:rowOff>173531</xdr:rowOff>
    </xdr:from>
    <xdr:to>
      <xdr:col>12</xdr:col>
      <xdr:colOff>751115</xdr:colOff>
      <xdr:row>24</xdr:row>
      <xdr:rowOff>54428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SpPr/>
      </xdr:nvSpPr>
      <xdr:spPr>
        <a:xfrm>
          <a:off x="10124355" y="9263102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4-4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9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9" name="รูปภาพ 226">
          <a:extLst>
            <a:ext uri="{FF2B5EF4-FFF2-40B4-BE49-F238E27FC236}">
              <a16:creationId xmlns:a16="http://schemas.microsoft.com/office/drawing/2014/main" id="{00000000-0008-0000-1900-00001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1900-000022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581034</xdr:colOff>
      <xdr:row>29</xdr:row>
      <xdr:rowOff>92999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9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185056</xdr:colOff>
      <xdr:row>18</xdr:row>
      <xdr:rowOff>188328</xdr:rowOff>
    </xdr:from>
    <xdr:to>
      <xdr:col>13</xdr:col>
      <xdr:colOff>696686</xdr:colOff>
      <xdr:row>22</xdr:row>
      <xdr:rowOff>213086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9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65970" y="7492642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1088571</xdr:colOff>
      <xdr:row>23</xdr:row>
      <xdr:rowOff>435429</xdr:rowOff>
    </xdr:from>
    <xdr:to>
      <xdr:col>12</xdr:col>
      <xdr:colOff>1201103</xdr:colOff>
      <xdr:row>29</xdr:row>
      <xdr:rowOff>381000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9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60" t="13900" r="34278" b="19967"/>
        <a:stretch/>
      </xdr:blipFill>
      <xdr:spPr bwMode="auto">
        <a:xfrm>
          <a:off x="9144000" y="9971315"/>
          <a:ext cx="3976960" cy="2623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239485</xdr:rowOff>
    </xdr:from>
    <xdr:ext cx="1160190" cy="435429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9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58542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10882</xdr:rowOff>
    </xdr:from>
    <xdr:to>
      <xdr:col>7</xdr:col>
      <xdr:colOff>938562</xdr:colOff>
      <xdr:row>29</xdr:row>
      <xdr:rowOff>402772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22568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1741715</xdr:colOff>
      <xdr:row>16</xdr:row>
      <xdr:rowOff>43537</xdr:rowOff>
    </xdr:from>
    <xdr:to>
      <xdr:col>10</xdr:col>
      <xdr:colOff>424544</xdr:colOff>
      <xdr:row>20</xdr:row>
      <xdr:rowOff>176772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9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5" y="6455223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250371</xdr:colOff>
      <xdr:row>0</xdr:row>
      <xdr:rowOff>0</xdr:rowOff>
    </xdr:from>
    <xdr:to>
      <xdr:col>19</xdr:col>
      <xdr:colOff>36910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1900-00002C000000}"/>
            </a:ext>
          </a:extLst>
        </xdr:cNvPr>
        <xdr:cNvSpPr/>
      </xdr:nvSpPr>
      <xdr:spPr>
        <a:xfrm>
          <a:off x="1779814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1721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544926</xdr:colOff>
      <xdr:row>24</xdr:row>
      <xdr:rowOff>336818</xdr:rowOff>
    </xdr:from>
    <xdr:to>
      <xdr:col>12</xdr:col>
      <xdr:colOff>1088572</xdr:colOff>
      <xdr:row>26</xdr:row>
      <xdr:rowOff>217715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SpPr/>
      </xdr:nvSpPr>
      <xdr:spPr>
        <a:xfrm>
          <a:off x="10461812" y="10319018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5-3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A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A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A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A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14148</xdr:rowOff>
    </xdr:from>
    <xdr:to>
      <xdr:col>7</xdr:col>
      <xdr:colOff>974022</xdr:colOff>
      <xdr:row>32</xdr:row>
      <xdr:rowOff>411000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A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10348"/>
          <a:ext cx="9028362" cy="6142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A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A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A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1088571</xdr:colOff>
      <xdr:row>26</xdr:row>
      <xdr:rowOff>65315</xdr:rowOff>
    </xdr:from>
    <xdr:to>
      <xdr:col>12</xdr:col>
      <xdr:colOff>1774372</xdr:colOff>
      <xdr:row>32</xdr:row>
      <xdr:rowOff>398611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A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34" t="25701" r="47182" b="7391"/>
        <a:stretch/>
      </xdr:blipFill>
      <xdr:spPr bwMode="auto">
        <a:xfrm>
          <a:off x="9144000" y="10940144"/>
          <a:ext cx="4550229" cy="3011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A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367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250371</xdr:colOff>
      <xdr:row>0</xdr:row>
      <xdr:rowOff>0</xdr:rowOff>
    </xdr:from>
    <xdr:to>
      <xdr:col>19</xdr:col>
      <xdr:colOff>36910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A00-00002E000000}"/>
            </a:ext>
          </a:extLst>
        </xdr:cNvPr>
        <xdr:cNvSpPr/>
      </xdr:nvSpPr>
      <xdr:spPr>
        <a:xfrm>
          <a:off x="1779814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294555</xdr:colOff>
      <xdr:row>22</xdr:row>
      <xdr:rowOff>238845</xdr:rowOff>
    </xdr:from>
    <xdr:to>
      <xdr:col>12</xdr:col>
      <xdr:colOff>838201</xdr:colOff>
      <xdr:row>24</xdr:row>
      <xdr:rowOff>119742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/>
      </xdr:nvSpPr>
      <xdr:spPr>
        <a:xfrm>
          <a:off x="10211441" y="9328416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6-2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B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1B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9" name="รูปภาพ 226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185057</xdr:colOff>
      <xdr:row>18</xdr:row>
      <xdr:rowOff>220986</xdr:rowOff>
    </xdr:from>
    <xdr:to>
      <xdr:col>13</xdr:col>
      <xdr:colOff>696687</xdr:colOff>
      <xdr:row>22</xdr:row>
      <xdr:rowOff>245744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65971" y="7525300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1164770</xdr:colOff>
      <xdr:row>24</xdr:row>
      <xdr:rowOff>10885</xdr:rowOff>
    </xdr:from>
    <xdr:to>
      <xdr:col>12</xdr:col>
      <xdr:colOff>1251857</xdr:colOff>
      <xdr:row>29</xdr:row>
      <xdr:rowOff>419226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B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1" t="14040" r="45941" b="18740"/>
        <a:stretch/>
      </xdr:blipFill>
      <xdr:spPr bwMode="auto">
        <a:xfrm>
          <a:off x="9220199" y="9993085"/>
          <a:ext cx="3951515" cy="2639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228606</xdr:rowOff>
    </xdr:from>
    <xdr:ext cx="1160190" cy="435429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4766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1</xdr:rowOff>
    </xdr:from>
    <xdr:to>
      <xdr:col>7</xdr:col>
      <xdr:colOff>938562</xdr:colOff>
      <xdr:row>29</xdr:row>
      <xdr:rowOff>391891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B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11687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1752600</xdr:colOff>
      <xdr:row>16</xdr:row>
      <xdr:rowOff>54427</xdr:rowOff>
    </xdr:from>
    <xdr:to>
      <xdr:col>10</xdr:col>
      <xdr:colOff>435429</xdr:colOff>
      <xdr:row>20</xdr:row>
      <xdr:rowOff>187662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B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48600" y="6466113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250371</xdr:colOff>
      <xdr:row>0</xdr:row>
      <xdr:rowOff>0</xdr:rowOff>
    </xdr:from>
    <xdr:to>
      <xdr:col>19</xdr:col>
      <xdr:colOff>36910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1B00-00002C000000}"/>
            </a:ext>
          </a:extLst>
        </xdr:cNvPr>
        <xdr:cNvSpPr/>
      </xdr:nvSpPr>
      <xdr:spPr>
        <a:xfrm>
          <a:off x="17798142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28099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425181</xdr:colOff>
      <xdr:row>24</xdr:row>
      <xdr:rowOff>325932</xdr:rowOff>
    </xdr:from>
    <xdr:to>
      <xdr:col>12</xdr:col>
      <xdr:colOff>990749</xdr:colOff>
      <xdr:row>26</xdr:row>
      <xdr:rowOff>69877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SpPr/>
      </xdr:nvSpPr>
      <xdr:spPr>
        <a:xfrm>
          <a:off x="11006095" y="10308132"/>
          <a:ext cx="1904511" cy="6365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9บาน 9-0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28957</xdr:rowOff>
    </xdr:from>
    <xdr:to>
      <xdr:col>13</xdr:col>
      <xdr:colOff>834688</xdr:colOff>
      <xdr:row>23</xdr:row>
      <xdr:rowOff>435428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C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18144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C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16934</xdr:rowOff>
    </xdr:from>
    <xdr:to>
      <xdr:col>13</xdr:col>
      <xdr:colOff>751114</xdr:colOff>
      <xdr:row>21</xdr:row>
      <xdr:rowOff>445450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C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71174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C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C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C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C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402770</xdr:rowOff>
    </xdr:from>
    <xdr:to>
      <xdr:col>7</xdr:col>
      <xdr:colOff>992398</xdr:colOff>
      <xdr:row>32</xdr:row>
      <xdr:rowOff>399507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C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356" t="5024" r="19759" b="3915"/>
        <a:stretch/>
      </xdr:blipFill>
      <xdr:spPr bwMode="auto">
        <a:xfrm>
          <a:off x="0" y="7707084"/>
          <a:ext cx="9047827" cy="6245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865097</xdr:colOff>
      <xdr:row>16</xdr:row>
      <xdr:rowOff>377736</xdr:rowOff>
    </xdr:from>
    <xdr:to>
      <xdr:col>6</xdr:col>
      <xdr:colOff>337773</xdr:colOff>
      <xdr:row>21</xdr:row>
      <xdr:rowOff>94708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C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216411" y="6789422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1153885</xdr:colOff>
      <xdr:row>26</xdr:row>
      <xdr:rowOff>32657</xdr:rowOff>
    </xdr:from>
    <xdr:to>
      <xdr:col>12</xdr:col>
      <xdr:colOff>2209800</xdr:colOff>
      <xdr:row>32</xdr:row>
      <xdr:rowOff>334521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C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66" t="32586" r="47009" b="18016"/>
        <a:stretch/>
      </xdr:blipFill>
      <xdr:spPr bwMode="auto">
        <a:xfrm>
          <a:off x="9209314" y="10907486"/>
          <a:ext cx="4920343" cy="2979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304802</xdr:colOff>
      <xdr:row>32</xdr:row>
      <xdr:rowOff>92997</xdr:rowOff>
    </xdr:from>
    <xdr:to>
      <xdr:col>16</xdr:col>
      <xdr:colOff>598077</xdr:colOff>
      <xdr:row>32</xdr:row>
      <xdr:rowOff>387552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C00-00002E000000}"/>
            </a:ext>
          </a:extLst>
        </xdr:cNvPr>
        <xdr:cNvSpPr/>
      </xdr:nvSpPr>
      <xdr:spPr>
        <a:xfrm>
          <a:off x="15860488" y="13645711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76202</xdr:colOff>
      <xdr:row>28</xdr:row>
      <xdr:rowOff>76201</xdr:rowOff>
    </xdr:from>
    <xdr:to>
      <xdr:col>16</xdr:col>
      <xdr:colOff>598716</xdr:colOff>
      <xdr:row>32</xdr:row>
      <xdr:rowOff>92998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1C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8" y="11843658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C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609717" y="776151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C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239486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C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5854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1C00-000034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383177</xdr:rowOff>
    </xdr:from>
    <xdr:to>
      <xdr:col>2</xdr:col>
      <xdr:colOff>1066800</xdr:colOff>
      <xdr:row>10</xdr:row>
      <xdr:rowOff>80674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70663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65954</xdr:colOff>
      <xdr:row>24</xdr:row>
      <xdr:rowOff>282389</xdr:rowOff>
    </xdr:from>
    <xdr:to>
      <xdr:col>12</xdr:col>
      <xdr:colOff>1016252</xdr:colOff>
      <xdr:row>26</xdr:row>
      <xdr:rowOff>39971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SpPr/>
      </xdr:nvSpPr>
      <xdr:spPr>
        <a:xfrm>
          <a:off x="10646868" y="10264589"/>
          <a:ext cx="2289241" cy="6502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8-1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D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1072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D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76792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D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26028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1D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D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D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D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D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D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D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10884</xdr:rowOff>
    </xdr:from>
    <xdr:to>
      <xdr:col>7</xdr:col>
      <xdr:colOff>938562</xdr:colOff>
      <xdr:row>32</xdr:row>
      <xdr:rowOff>402774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1D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61513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740229</xdr:colOff>
      <xdr:row>17</xdr:row>
      <xdr:rowOff>32656</xdr:rowOff>
    </xdr:from>
    <xdr:to>
      <xdr:col>6</xdr:col>
      <xdr:colOff>914401</xdr:colOff>
      <xdr:row>22</xdr:row>
      <xdr:rowOff>6226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D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07" t="33987" r="38290" b="14089"/>
        <a:stretch/>
      </xdr:blipFill>
      <xdr:spPr bwMode="auto">
        <a:xfrm>
          <a:off x="3091543" y="6890656"/>
          <a:ext cx="3918858" cy="2205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1545770</xdr:colOff>
      <xdr:row>17</xdr:row>
      <xdr:rowOff>174168</xdr:rowOff>
    </xdr:from>
    <xdr:to>
      <xdr:col>10</xdr:col>
      <xdr:colOff>228599</xdr:colOff>
      <xdr:row>21</xdr:row>
      <xdr:rowOff>307403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D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41770" y="7032168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1186542</xdr:colOff>
      <xdr:row>26</xdr:row>
      <xdr:rowOff>21771</xdr:rowOff>
    </xdr:from>
    <xdr:to>
      <xdr:col>12</xdr:col>
      <xdr:colOff>1785257</xdr:colOff>
      <xdr:row>32</xdr:row>
      <xdr:rowOff>44696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D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2" t="5396" r="39832" b="16355"/>
        <a:stretch/>
      </xdr:blipFill>
      <xdr:spPr bwMode="auto">
        <a:xfrm>
          <a:off x="9241971" y="10896600"/>
          <a:ext cx="4463143" cy="2700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315689</xdr:colOff>
      <xdr:row>32</xdr:row>
      <xdr:rowOff>92997</xdr:rowOff>
    </xdr:from>
    <xdr:to>
      <xdr:col>16</xdr:col>
      <xdr:colOff>608964</xdr:colOff>
      <xdr:row>32</xdr:row>
      <xdr:rowOff>387552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1D00-00002E000000}"/>
            </a:ext>
          </a:extLst>
        </xdr:cNvPr>
        <xdr:cNvSpPr/>
      </xdr:nvSpPr>
      <xdr:spPr>
        <a:xfrm>
          <a:off x="15871375" y="13645711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87089</xdr:colOff>
      <xdr:row>28</xdr:row>
      <xdr:rowOff>76201</xdr:rowOff>
    </xdr:from>
    <xdr:to>
      <xdr:col>16</xdr:col>
      <xdr:colOff>609603</xdr:colOff>
      <xdr:row>32</xdr:row>
      <xdr:rowOff>92998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1D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5" y="11843658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1D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1D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1D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217720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1D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8309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45" name="Left Arrow 4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D00-00002D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7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109496</xdr:colOff>
      <xdr:row>24</xdr:row>
      <xdr:rowOff>21131</xdr:rowOff>
    </xdr:from>
    <xdr:to>
      <xdr:col>12</xdr:col>
      <xdr:colOff>1317170</xdr:colOff>
      <xdr:row>25</xdr:row>
      <xdr:rowOff>348343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SpPr/>
      </xdr:nvSpPr>
      <xdr:spPr>
        <a:xfrm>
          <a:off x="10690410" y="10003331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7-2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E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E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E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E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E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E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E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17973"/>
          <a:ext cx="8992902" cy="613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E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1E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1E00-000029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E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E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E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990607</xdr:colOff>
      <xdr:row>25</xdr:row>
      <xdr:rowOff>326572</xdr:rowOff>
    </xdr:from>
    <xdr:to>
      <xdr:col>12</xdr:col>
      <xdr:colOff>2423892</xdr:colOff>
      <xdr:row>32</xdr:row>
      <xdr:rowOff>381000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E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53" t="21394" r="39134" b="11883"/>
        <a:stretch/>
      </xdr:blipFill>
      <xdr:spPr bwMode="auto">
        <a:xfrm>
          <a:off x="9046036" y="10755086"/>
          <a:ext cx="5297713" cy="3178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217717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E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83088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283029</xdr:colOff>
      <xdr:row>0</xdr:row>
      <xdr:rowOff>0</xdr:rowOff>
    </xdr:from>
    <xdr:to>
      <xdr:col>19</xdr:col>
      <xdr:colOff>69568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SpPr/>
      </xdr:nvSpPr>
      <xdr:spPr>
        <a:xfrm>
          <a:off x="1783080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1F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17213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F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6-3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F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1F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1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F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1F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1F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1F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17973"/>
          <a:ext cx="8992902" cy="613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1534886</xdr:colOff>
      <xdr:row>17</xdr:row>
      <xdr:rowOff>195943</xdr:rowOff>
    </xdr:from>
    <xdr:to>
      <xdr:col>10</xdr:col>
      <xdr:colOff>217715</xdr:colOff>
      <xdr:row>21</xdr:row>
      <xdr:rowOff>329178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1F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30886" y="70082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F00-000028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1F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F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F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F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489856</xdr:colOff>
      <xdr:row>17</xdr:row>
      <xdr:rowOff>38523</xdr:rowOff>
    </xdr:from>
    <xdr:to>
      <xdr:col>6</xdr:col>
      <xdr:colOff>947057</xdr:colOff>
      <xdr:row>22</xdr:row>
      <xdr:rowOff>71703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844436" y="6850803"/>
          <a:ext cx="4198621" cy="224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979715</xdr:colOff>
      <xdr:row>25</xdr:row>
      <xdr:rowOff>293915</xdr:rowOff>
    </xdr:from>
    <xdr:to>
      <xdr:col>12</xdr:col>
      <xdr:colOff>2405744</xdr:colOff>
      <xdr:row>32</xdr:row>
      <xdr:rowOff>368361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F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7" t="12941" r="41422" b="20238"/>
        <a:stretch/>
      </xdr:blipFill>
      <xdr:spPr bwMode="auto">
        <a:xfrm>
          <a:off x="9035144" y="10722429"/>
          <a:ext cx="5290457" cy="3198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217720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1F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8309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F00-00002E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14206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109496</xdr:colOff>
      <xdr:row>24</xdr:row>
      <xdr:rowOff>21131</xdr:rowOff>
    </xdr:from>
    <xdr:to>
      <xdr:col>12</xdr:col>
      <xdr:colOff>1317170</xdr:colOff>
      <xdr:row>25</xdr:row>
      <xdr:rowOff>348343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2000-000014000000}"/>
            </a:ext>
          </a:extLst>
        </xdr:cNvPr>
        <xdr:cNvSpPr/>
      </xdr:nvSpPr>
      <xdr:spPr>
        <a:xfrm>
          <a:off x="10686056" y="9927131"/>
          <a:ext cx="2541174" cy="7691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5-4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0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20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0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21773</xdr:rowOff>
    </xdr:from>
    <xdr:to>
      <xdr:col>7</xdr:col>
      <xdr:colOff>938562</xdr:colOff>
      <xdr:row>32</xdr:row>
      <xdr:rowOff>413663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7717973"/>
          <a:ext cx="8992902" cy="6137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0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2000-000029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0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957948</xdr:colOff>
      <xdr:row>25</xdr:row>
      <xdr:rowOff>315688</xdr:rowOff>
    </xdr:from>
    <xdr:to>
      <xdr:col>12</xdr:col>
      <xdr:colOff>2416632</xdr:colOff>
      <xdr:row>32</xdr:row>
      <xdr:rowOff>341080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0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19516" r="38603" b="14086"/>
        <a:stretch/>
      </xdr:blipFill>
      <xdr:spPr bwMode="auto">
        <a:xfrm>
          <a:off x="9013377" y="10744202"/>
          <a:ext cx="5323112" cy="3149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15</xdr:row>
      <xdr:rowOff>217720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3086" y="618309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000-00002E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394062</xdr:rowOff>
    </xdr:from>
    <xdr:to>
      <xdr:col>2</xdr:col>
      <xdr:colOff>1066800</xdr:colOff>
      <xdr:row>10</xdr:row>
      <xdr:rowOff>91559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81548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1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84556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261890</xdr:colOff>
      <xdr:row>22</xdr:row>
      <xdr:rowOff>97332</xdr:rowOff>
    </xdr:from>
    <xdr:to>
      <xdr:col>12</xdr:col>
      <xdr:colOff>1469564</xdr:colOff>
      <xdr:row>23</xdr:row>
      <xdr:rowOff>424543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2100-000014000000}"/>
            </a:ext>
          </a:extLst>
        </xdr:cNvPr>
        <xdr:cNvSpPr/>
      </xdr:nvSpPr>
      <xdr:spPr>
        <a:xfrm>
          <a:off x="10842804" y="9186903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10-0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1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1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1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589745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546947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1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63763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1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1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2100-000022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1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88848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42" name="รูปภาพ 226">
          <a:extLst>
            <a:ext uri="{FF2B5EF4-FFF2-40B4-BE49-F238E27FC236}">
              <a16:creationId xmlns:a16="http://schemas.microsoft.com/office/drawing/2014/main" id="{00000000-0008-0000-2100-00002A000000}"/>
            </a:ext>
          </a:extLst>
        </xdr:cNvPr>
        <xdr:cNvPicPr/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10887</xdr:rowOff>
    </xdr:from>
    <xdr:to>
      <xdr:col>7</xdr:col>
      <xdr:colOff>288302</xdr:colOff>
      <xdr:row>29</xdr:row>
      <xdr:rowOff>413659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1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34" t="6227" r="30288" b="21337"/>
        <a:stretch/>
      </xdr:blipFill>
      <xdr:spPr bwMode="auto">
        <a:xfrm>
          <a:off x="0" y="6868887"/>
          <a:ext cx="8343731" cy="575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141512</xdr:colOff>
      <xdr:row>19</xdr:row>
      <xdr:rowOff>119747</xdr:rowOff>
    </xdr:from>
    <xdr:to>
      <xdr:col>10</xdr:col>
      <xdr:colOff>620485</xdr:colOff>
      <xdr:row>23</xdr:row>
      <xdr:rowOff>154091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196941" y="7870376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293908</xdr:colOff>
      <xdr:row>23</xdr:row>
      <xdr:rowOff>348343</xdr:rowOff>
    </xdr:from>
    <xdr:to>
      <xdr:col>12</xdr:col>
      <xdr:colOff>2415930</xdr:colOff>
      <xdr:row>29</xdr:row>
      <xdr:rowOff>334773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21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21" t="2490" r="36730" b="48319"/>
        <a:stretch/>
      </xdr:blipFill>
      <xdr:spPr bwMode="auto">
        <a:xfrm>
          <a:off x="9546765" y="9884229"/>
          <a:ext cx="4789022" cy="2664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315685</xdr:colOff>
      <xdr:row>29</xdr:row>
      <xdr:rowOff>103881</xdr:rowOff>
    </xdr:from>
    <xdr:to>
      <xdr:col>16</xdr:col>
      <xdr:colOff>608960</xdr:colOff>
      <xdr:row>29</xdr:row>
      <xdr:rowOff>398436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2100-000030000000}"/>
            </a:ext>
          </a:extLst>
        </xdr:cNvPr>
        <xdr:cNvSpPr/>
      </xdr:nvSpPr>
      <xdr:spPr>
        <a:xfrm>
          <a:off x="15871371" y="12317652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87085</xdr:colOff>
      <xdr:row>25</xdr:row>
      <xdr:rowOff>87085</xdr:rowOff>
    </xdr:from>
    <xdr:to>
      <xdr:col>16</xdr:col>
      <xdr:colOff>609599</xdr:colOff>
      <xdr:row>29</xdr:row>
      <xdr:rowOff>103882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1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0515599"/>
          <a:ext cx="1850571" cy="1802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228606</xdr:rowOff>
    </xdr:from>
    <xdr:ext cx="1160190" cy="435429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21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61939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228599</xdr:colOff>
      <xdr:row>0</xdr:row>
      <xdr:rowOff>0</xdr:rowOff>
    </xdr:from>
    <xdr:to>
      <xdr:col>19</xdr:col>
      <xdr:colOff>15138</xdr:colOff>
      <xdr:row>4</xdr:row>
      <xdr:rowOff>61355</xdr:rowOff>
    </xdr:to>
    <xdr:sp macro="" textlink="">
      <xdr:nvSpPr>
        <xdr:cNvPr id="40" name="Left Arrow 39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2100-000028000000}"/>
            </a:ext>
          </a:extLst>
        </xdr:cNvPr>
        <xdr:cNvSpPr/>
      </xdr:nvSpPr>
      <xdr:spPr>
        <a:xfrm>
          <a:off x="1777637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2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2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404949</xdr:rowOff>
    </xdr:from>
    <xdr:to>
      <xdr:col>2</xdr:col>
      <xdr:colOff>1066800</xdr:colOff>
      <xdr:row>10</xdr:row>
      <xdr:rowOff>102446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2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5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2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2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174805</xdr:colOff>
      <xdr:row>25</xdr:row>
      <xdr:rowOff>21132</xdr:rowOff>
    </xdr:from>
    <xdr:to>
      <xdr:col>12</xdr:col>
      <xdr:colOff>1382479</xdr:colOff>
      <xdr:row>26</xdr:row>
      <xdr:rowOff>348343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2200-000014000000}"/>
            </a:ext>
          </a:extLst>
        </xdr:cNvPr>
        <xdr:cNvSpPr/>
      </xdr:nvSpPr>
      <xdr:spPr>
        <a:xfrm>
          <a:off x="10755719" y="10449646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9-1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2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2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2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2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2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2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854921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2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812123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2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7702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2200-000020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2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500742</xdr:colOff>
      <xdr:row>16</xdr:row>
      <xdr:rowOff>35919</xdr:rowOff>
    </xdr:from>
    <xdr:to>
      <xdr:col>6</xdr:col>
      <xdr:colOff>1012369</xdr:colOff>
      <xdr:row>21</xdr:row>
      <xdr:rowOff>415516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2200-00003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2852056" y="6447605"/>
          <a:ext cx="4256313" cy="2611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14141</xdr:rowOff>
    </xdr:from>
    <xdr:to>
      <xdr:col>7</xdr:col>
      <xdr:colOff>974022</xdr:colOff>
      <xdr:row>32</xdr:row>
      <xdr:rowOff>410993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2200-00003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64770"/>
          <a:ext cx="9029451" cy="6198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1567538</xdr:colOff>
      <xdr:row>16</xdr:row>
      <xdr:rowOff>141513</xdr:rowOff>
    </xdr:from>
    <xdr:to>
      <xdr:col>10</xdr:col>
      <xdr:colOff>195937</xdr:colOff>
      <xdr:row>21</xdr:row>
      <xdr:rowOff>258118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2200-00003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663538" y="6553199"/>
          <a:ext cx="3113313" cy="2348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1099450</xdr:colOff>
      <xdr:row>26</xdr:row>
      <xdr:rowOff>239489</xdr:rowOff>
    </xdr:from>
    <xdr:to>
      <xdr:col>12</xdr:col>
      <xdr:colOff>2423878</xdr:colOff>
      <xdr:row>32</xdr:row>
      <xdr:rowOff>391889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22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8" t="26586" r="49420" b="24430"/>
        <a:stretch/>
      </xdr:blipFill>
      <xdr:spPr bwMode="auto">
        <a:xfrm>
          <a:off x="9154879" y="11114318"/>
          <a:ext cx="5188856" cy="2830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315688</xdr:colOff>
      <xdr:row>32</xdr:row>
      <xdr:rowOff>92997</xdr:rowOff>
    </xdr:from>
    <xdr:to>
      <xdr:col>16</xdr:col>
      <xdr:colOff>608963</xdr:colOff>
      <xdr:row>32</xdr:row>
      <xdr:rowOff>387552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2200-00002F000000}"/>
            </a:ext>
          </a:extLst>
        </xdr:cNvPr>
        <xdr:cNvSpPr/>
      </xdr:nvSpPr>
      <xdr:spPr>
        <a:xfrm>
          <a:off x="15871374" y="13645711"/>
          <a:ext cx="1621332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87088</xdr:colOff>
      <xdr:row>28</xdr:row>
      <xdr:rowOff>68581</xdr:rowOff>
    </xdr:from>
    <xdr:to>
      <xdr:col>16</xdr:col>
      <xdr:colOff>609602</xdr:colOff>
      <xdr:row>32</xdr:row>
      <xdr:rowOff>92998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22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4" y="11836038"/>
          <a:ext cx="1850571" cy="1809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2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22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217715</xdr:rowOff>
    </xdr:from>
    <xdr:ext cx="1160190" cy="435429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2200-00003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36772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49" name="Left Arrow 4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200-000031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7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490498</xdr:colOff>
      <xdr:row>22</xdr:row>
      <xdr:rowOff>238845</xdr:rowOff>
    </xdr:from>
    <xdr:to>
      <xdr:col>12</xdr:col>
      <xdr:colOff>1034144</xdr:colOff>
      <xdr:row>24</xdr:row>
      <xdr:rowOff>119742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SpPr/>
      </xdr:nvSpPr>
      <xdr:spPr>
        <a:xfrm>
          <a:off x="10407384" y="9328416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8-2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3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3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3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3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3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3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3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3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3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2300-00001B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3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9" name="รูปภาพ 226">
          <a:extLst>
            <a:ext uri="{FF2B5EF4-FFF2-40B4-BE49-F238E27FC236}">
              <a16:creationId xmlns:a16="http://schemas.microsoft.com/office/drawing/2014/main" id="{00000000-0008-0000-2300-00001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2300-000022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3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163286</xdr:colOff>
      <xdr:row>18</xdr:row>
      <xdr:rowOff>242758</xdr:rowOff>
    </xdr:from>
    <xdr:to>
      <xdr:col>13</xdr:col>
      <xdr:colOff>674916</xdr:colOff>
      <xdr:row>22</xdr:row>
      <xdr:rowOff>267516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3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44200" y="7547072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43545</xdr:colOff>
      <xdr:row>24</xdr:row>
      <xdr:rowOff>0</xdr:rowOff>
    </xdr:from>
    <xdr:to>
      <xdr:col>12</xdr:col>
      <xdr:colOff>2183998</xdr:colOff>
      <xdr:row>29</xdr:row>
      <xdr:rowOff>391886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3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2" t="29099" r="36564" b="29057"/>
        <a:stretch/>
      </xdr:blipFill>
      <xdr:spPr bwMode="auto">
        <a:xfrm>
          <a:off x="9296402" y="9982200"/>
          <a:ext cx="4807453" cy="2623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206834</xdr:rowOff>
    </xdr:from>
    <xdr:ext cx="1160190" cy="435429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3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2589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0</xdr:rowOff>
    </xdr:from>
    <xdr:to>
      <xdr:col>7</xdr:col>
      <xdr:colOff>938562</xdr:colOff>
      <xdr:row>29</xdr:row>
      <xdr:rowOff>391890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3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11686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1709058</xdr:colOff>
      <xdr:row>16</xdr:row>
      <xdr:rowOff>119741</xdr:rowOff>
    </xdr:from>
    <xdr:to>
      <xdr:col>10</xdr:col>
      <xdr:colOff>391887</xdr:colOff>
      <xdr:row>20</xdr:row>
      <xdr:rowOff>252976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3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05058" y="6531427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2300-00002C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65955</xdr:colOff>
      <xdr:row>24</xdr:row>
      <xdr:rowOff>358589</xdr:rowOff>
    </xdr:from>
    <xdr:to>
      <xdr:col>12</xdr:col>
      <xdr:colOff>1273629</xdr:colOff>
      <xdr:row>26</xdr:row>
      <xdr:rowOff>239486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2400-000014000000}"/>
            </a:ext>
          </a:extLst>
        </xdr:cNvPr>
        <xdr:cNvSpPr/>
      </xdr:nvSpPr>
      <xdr:spPr>
        <a:xfrm>
          <a:off x="10646869" y="10340789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7-3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4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4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4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4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4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4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4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24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4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4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14148</xdr:rowOff>
    </xdr:from>
    <xdr:to>
      <xdr:col>7</xdr:col>
      <xdr:colOff>974022</xdr:colOff>
      <xdr:row>32</xdr:row>
      <xdr:rowOff>411000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4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10348"/>
          <a:ext cx="9028362" cy="6142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4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2400-000029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4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4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4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1023256</xdr:colOff>
      <xdr:row>26</xdr:row>
      <xdr:rowOff>174170</xdr:rowOff>
    </xdr:from>
    <xdr:to>
      <xdr:col>13</xdr:col>
      <xdr:colOff>15045</xdr:colOff>
      <xdr:row>32</xdr:row>
      <xdr:rowOff>402771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4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8" t="8684" r="37184" b="24804"/>
        <a:stretch/>
      </xdr:blipFill>
      <xdr:spPr bwMode="auto">
        <a:xfrm>
          <a:off x="9078685" y="11048999"/>
          <a:ext cx="5294617" cy="2906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43544</xdr:colOff>
      <xdr:row>14</xdr:row>
      <xdr:rowOff>228600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4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94858" y="574765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239485</xdr:colOff>
      <xdr:row>0</xdr:row>
      <xdr:rowOff>0</xdr:rowOff>
    </xdr:from>
    <xdr:to>
      <xdr:col>19</xdr:col>
      <xdr:colOff>26024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400-00002E000000}"/>
            </a:ext>
          </a:extLst>
        </xdr:cNvPr>
        <xdr:cNvSpPr/>
      </xdr:nvSpPr>
      <xdr:spPr>
        <a:xfrm>
          <a:off x="1778725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5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0332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5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306328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5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490498</xdr:colOff>
      <xdr:row>22</xdr:row>
      <xdr:rowOff>238845</xdr:rowOff>
    </xdr:from>
    <xdr:to>
      <xdr:col>12</xdr:col>
      <xdr:colOff>1034144</xdr:colOff>
      <xdr:row>24</xdr:row>
      <xdr:rowOff>119742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2500-000010000000}"/>
            </a:ext>
          </a:extLst>
        </xdr:cNvPr>
        <xdr:cNvSpPr/>
      </xdr:nvSpPr>
      <xdr:spPr>
        <a:xfrm>
          <a:off x="10404118" y="9260925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6-4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5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5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5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5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5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5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5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5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5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2500-00001B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5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9" name="รูปภาพ 226">
          <a:extLst>
            <a:ext uri="{FF2B5EF4-FFF2-40B4-BE49-F238E27FC236}">
              <a16:creationId xmlns:a16="http://schemas.microsoft.com/office/drawing/2014/main" id="{00000000-0008-0000-2500-00001D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2500-000022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5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152400</xdr:colOff>
      <xdr:row>18</xdr:row>
      <xdr:rowOff>144788</xdr:rowOff>
    </xdr:from>
    <xdr:to>
      <xdr:col>13</xdr:col>
      <xdr:colOff>664030</xdr:colOff>
      <xdr:row>22</xdr:row>
      <xdr:rowOff>169546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5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33314" y="7449102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43542</xdr:colOff>
      <xdr:row>23</xdr:row>
      <xdr:rowOff>424542</xdr:rowOff>
    </xdr:from>
    <xdr:to>
      <xdr:col>12</xdr:col>
      <xdr:colOff>2285999</xdr:colOff>
      <xdr:row>29</xdr:row>
      <xdr:rowOff>398794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5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1" t="10636" r="31071" b="23633"/>
        <a:stretch/>
      </xdr:blipFill>
      <xdr:spPr bwMode="auto">
        <a:xfrm>
          <a:off x="9296399" y="9960428"/>
          <a:ext cx="4909457" cy="2652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5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367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16</xdr:row>
      <xdr:rowOff>10888</xdr:rowOff>
    </xdr:from>
    <xdr:to>
      <xdr:col>7</xdr:col>
      <xdr:colOff>938562</xdr:colOff>
      <xdr:row>29</xdr:row>
      <xdr:rowOff>402778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5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2" t="2511" r="34550" b="5799"/>
        <a:stretch/>
      </xdr:blipFill>
      <xdr:spPr bwMode="auto">
        <a:xfrm>
          <a:off x="0" y="6422574"/>
          <a:ext cx="8993991" cy="619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1741716</xdr:colOff>
      <xdr:row>16</xdr:row>
      <xdr:rowOff>43543</xdr:rowOff>
    </xdr:from>
    <xdr:to>
      <xdr:col>10</xdr:col>
      <xdr:colOff>424545</xdr:colOff>
      <xdr:row>20</xdr:row>
      <xdr:rowOff>176778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5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6" y="6455229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2500-00002C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205740</xdr:colOff>
      <xdr:row>6</xdr:row>
      <xdr:rowOff>38100</xdr:rowOff>
    </xdr:from>
    <xdr:to>
      <xdr:col>2</xdr:col>
      <xdr:colOff>1028700</xdr:colOff>
      <xdr:row>6</xdr:row>
      <xdr:rowOff>420925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76" t="26686" r="62731" b="48827"/>
        <a:stretch/>
      </xdr:blipFill>
      <xdr:spPr bwMode="auto">
        <a:xfrm>
          <a:off x="2560320" y="1988820"/>
          <a:ext cx="822960" cy="38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6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714206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6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796604" y="4295442"/>
          <a:ext cx="399224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6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65955</xdr:colOff>
      <xdr:row>24</xdr:row>
      <xdr:rowOff>358589</xdr:rowOff>
    </xdr:from>
    <xdr:to>
      <xdr:col>12</xdr:col>
      <xdr:colOff>1273629</xdr:colOff>
      <xdr:row>26</xdr:row>
      <xdr:rowOff>239486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2600-000014000000}"/>
            </a:ext>
          </a:extLst>
        </xdr:cNvPr>
        <xdr:cNvSpPr/>
      </xdr:nvSpPr>
      <xdr:spPr>
        <a:xfrm>
          <a:off x="10642515" y="10264589"/>
          <a:ext cx="2541174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5-5</a:t>
          </a: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6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6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6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6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6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6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26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6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6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14148</xdr:rowOff>
    </xdr:from>
    <xdr:to>
      <xdr:col>7</xdr:col>
      <xdr:colOff>974022</xdr:colOff>
      <xdr:row>32</xdr:row>
      <xdr:rowOff>411000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6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0" t="6489" r="27972" b="2240"/>
        <a:stretch/>
      </xdr:blipFill>
      <xdr:spPr bwMode="auto">
        <a:xfrm>
          <a:off x="0" y="7710348"/>
          <a:ext cx="9028362" cy="6142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2600-000029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6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6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6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979712</xdr:colOff>
      <xdr:row>26</xdr:row>
      <xdr:rowOff>97970</xdr:rowOff>
    </xdr:from>
    <xdr:to>
      <xdr:col>12</xdr:col>
      <xdr:colOff>2438397</xdr:colOff>
      <xdr:row>32</xdr:row>
      <xdr:rowOff>351521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6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5" t="13788" r="30717" b="19389"/>
        <a:stretch/>
      </xdr:blipFill>
      <xdr:spPr bwMode="auto">
        <a:xfrm>
          <a:off x="9035141" y="10972799"/>
          <a:ext cx="5323113" cy="2931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6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3972" y="57367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239486</xdr:colOff>
      <xdr:row>0</xdr:row>
      <xdr:rowOff>0</xdr:rowOff>
    </xdr:from>
    <xdr:to>
      <xdr:col>19</xdr:col>
      <xdr:colOff>26025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600-00002E000000}"/>
            </a:ext>
          </a:extLst>
        </xdr:cNvPr>
        <xdr:cNvSpPr/>
      </xdr:nvSpPr>
      <xdr:spPr>
        <a:xfrm>
          <a:off x="177872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138544</xdr:rowOff>
    </xdr:from>
    <xdr:to>
      <xdr:col>16</xdr:col>
      <xdr:colOff>488568</xdr:colOff>
      <xdr:row>86</xdr:row>
      <xdr:rowOff>124690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7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41" t="14161" r="42540" b="16509"/>
        <a:stretch/>
      </xdr:blipFill>
      <xdr:spPr bwMode="auto">
        <a:xfrm>
          <a:off x="0" y="12829308"/>
          <a:ext cx="17418823" cy="12870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3" name="รูปภาพ 226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7560" y="252984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85917" y="431618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46580" y="477012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67560" y="342791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44701" y="298595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98040" y="387749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446602" y="535190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45640" y="56311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721841" y="60807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7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842259" y="2747556"/>
          <a:ext cx="562793" cy="42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7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598421" y="438150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7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758440" y="476903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7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743201" y="573024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7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929884</xdr:colOff>
      <xdr:row>34</xdr:row>
      <xdr:rowOff>24103</xdr:rowOff>
    </xdr:from>
    <xdr:to>
      <xdr:col>9</xdr:col>
      <xdr:colOff>80159</xdr:colOff>
      <xdr:row>35</xdr:row>
      <xdr:rowOff>152400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2700-000011000000}"/>
            </a:ext>
          </a:extLst>
        </xdr:cNvPr>
        <xdr:cNvSpPr/>
      </xdr:nvSpPr>
      <xdr:spPr>
        <a:xfrm>
          <a:off x="4698320" y="13601558"/>
          <a:ext cx="5592639" cy="5716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คู่+คู่</a:t>
          </a:r>
        </a:p>
      </xdr:txBody>
    </xdr:sp>
    <xdr:clientData/>
  </xdr:twoCellAnchor>
  <xdr:twoCellAnchor>
    <xdr:from>
      <xdr:col>22</xdr:col>
      <xdr:colOff>153485</xdr:colOff>
      <xdr:row>17</xdr:row>
      <xdr:rowOff>45720</xdr:rowOff>
    </xdr:from>
    <xdr:to>
      <xdr:col>22</xdr:col>
      <xdr:colOff>603065</xdr:colOff>
      <xdr:row>17</xdr:row>
      <xdr:rowOff>420989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350545" y="6096000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18</xdr:row>
      <xdr:rowOff>38100</xdr:rowOff>
    </xdr:from>
    <xdr:to>
      <xdr:col>22</xdr:col>
      <xdr:colOff>603065</xdr:colOff>
      <xdr:row>18</xdr:row>
      <xdr:rowOff>413369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7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350545" y="6530340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19</xdr:row>
      <xdr:rowOff>21773</xdr:rowOff>
    </xdr:from>
    <xdr:to>
      <xdr:col>22</xdr:col>
      <xdr:colOff>566058</xdr:colOff>
      <xdr:row>19</xdr:row>
      <xdr:rowOff>428045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7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360348" y="6955973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20</xdr:row>
      <xdr:rowOff>32659</xdr:rowOff>
    </xdr:from>
    <xdr:to>
      <xdr:col>22</xdr:col>
      <xdr:colOff>566058</xdr:colOff>
      <xdr:row>20</xdr:row>
      <xdr:rowOff>438931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7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360348" y="7408819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21770</xdr:rowOff>
    </xdr:from>
    <xdr:to>
      <xdr:col>22</xdr:col>
      <xdr:colOff>609663</xdr:colOff>
      <xdr:row>21</xdr:row>
      <xdr:rowOff>438693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7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403890" y="7839890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21</xdr:row>
      <xdr:rowOff>18071</xdr:rowOff>
    </xdr:from>
    <xdr:to>
      <xdr:col>13</xdr:col>
      <xdr:colOff>834688</xdr:colOff>
      <xdr:row>21</xdr:row>
      <xdr:rowOff>424542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96284" y="778721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20</xdr:row>
      <xdr:rowOff>51228</xdr:rowOff>
    </xdr:from>
    <xdr:to>
      <xdr:col>13</xdr:col>
      <xdr:colOff>839403</xdr:colOff>
      <xdr:row>20</xdr:row>
      <xdr:rowOff>402772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836742" y="735923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19</xdr:row>
      <xdr:rowOff>6048</xdr:rowOff>
    </xdr:from>
    <xdr:to>
      <xdr:col>13</xdr:col>
      <xdr:colOff>751114</xdr:colOff>
      <xdr:row>19</xdr:row>
      <xdr:rowOff>434564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7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830698" y="69402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2700-00001A000000}"/>
            </a:ext>
          </a:extLst>
        </xdr:cNvPr>
        <xdr:cNvSpPr/>
      </xdr:nvSpPr>
      <xdr:spPr>
        <a:xfrm>
          <a:off x="11316787" y="1092925"/>
          <a:ext cx="625384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195940</xdr:colOff>
      <xdr:row>0</xdr:row>
      <xdr:rowOff>1</xdr:rowOff>
    </xdr:from>
    <xdr:to>
      <xdr:col>18</xdr:col>
      <xdr:colOff>721719</xdr:colOff>
      <xdr:row>4</xdr:row>
      <xdr:rowOff>65315</xdr:rowOff>
    </xdr:to>
    <xdr:sp macro="" textlink="">
      <xdr:nvSpPr>
        <xdr:cNvPr id="27" name="Left Arrow 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2700-00001B000000}"/>
            </a:ext>
          </a:extLst>
        </xdr:cNvPr>
        <xdr:cNvSpPr/>
      </xdr:nvSpPr>
      <xdr:spPr>
        <a:xfrm>
          <a:off x="17798140" y="1"/>
          <a:ext cx="1196339" cy="107115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427926" y="666641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2700-00001D000000}"/>
            </a:ext>
          </a:extLst>
        </xdr:cNvPr>
        <xdr:cNvSpPr/>
      </xdr:nvSpPr>
      <xdr:spPr>
        <a:xfrm>
          <a:off x="5200105" y="1767778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916116</xdr:colOff>
      <xdr:row>43</xdr:row>
      <xdr:rowOff>38568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7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4874624" y="15331440"/>
          <a:ext cx="2327992" cy="2248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2</xdr:col>
      <xdr:colOff>1153888</xdr:colOff>
      <xdr:row>25</xdr:row>
      <xdr:rowOff>215323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7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632168" y="9405258"/>
          <a:ext cx="1066800" cy="3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26</xdr:row>
      <xdr:rowOff>10885</xdr:rowOff>
    </xdr:from>
    <xdr:to>
      <xdr:col>2</xdr:col>
      <xdr:colOff>892629</xdr:colOff>
      <xdr:row>26</xdr:row>
      <xdr:rowOff>423496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700-00002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926604" y="9940312"/>
          <a:ext cx="412611" cy="609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7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992547" y="6631516"/>
          <a:ext cx="394870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7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992547" y="7532854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22</xdr:row>
      <xdr:rowOff>21770</xdr:rowOff>
    </xdr:from>
    <xdr:to>
      <xdr:col>22</xdr:col>
      <xdr:colOff>609663</xdr:colOff>
      <xdr:row>22</xdr:row>
      <xdr:rowOff>438693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7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403890" y="8281850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293915</xdr:colOff>
      <xdr:row>27</xdr:row>
      <xdr:rowOff>32657</xdr:rowOff>
    </xdr:from>
    <xdr:to>
      <xdr:col>2</xdr:col>
      <xdr:colOff>979714</xdr:colOff>
      <xdr:row>27</xdr:row>
      <xdr:rowOff>424542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7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80" t="23378" r="45807" b="53033"/>
        <a:stretch/>
      </xdr:blipFill>
      <xdr:spPr bwMode="auto">
        <a:xfrm>
          <a:off x="2838995" y="10502537"/>
          <a:ext cx="685799" cy="391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7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632168" y="856487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153485</xdr:colOff>
      <xdr:row>25</xdr:row>
      <xdr:rowOff>38100</xdr:rowOff>
    </xdr:from>
    <xdr:to>
      <xdr:col>22</xdr:col>
      <xdr:colOff>603065</xdr:colOff>
      <xdr:row>25</xdr:row>
      <xdr:rowOff>413369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7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350545" y="9624060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26</xdr:row>
      <xdr:rowOff>21773</xdr:rowOff>
    </xdr:from>
    <xdr:to>
      <xdr:col>22</xdr:col>
      <xdr:colOff>566058</xdr:colOff>
      <xdr:row>26</xdr:row>
      <xdr:rowOff>428045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7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360348" y="10049693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27</xdr:row>
      <xdr:rowOff>32659</xdr:rowOff>
    </xdr:from>
    <xdr:to>
      <xdr:col>22</xdr:col>
      <xdr:colOff>566058</xdr:colOff>
      <xdr:row>27</xdr:row>
      <xdr:rowOff>438931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7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2360348" y="10502539"/>
          <a:ext cx="40277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28</xdr:row>
      <xdr:rowOff>21770</xdr:rowOff>
    </xdr:from>
    <xdr:to>
      <xdr:col>22</xdr:col>
      <xdr:colOff>609663</xdr:colOff>
      <xdr:row>28</xdr:row>
      <xdr:rowOff>438693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7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403890" y="10933610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29</xdr:row>
      <xdr:rowOff>21770</xdr:rowOff>
    </xdr:from>
    <xdr:to>
      <xdr:col>22</xdr:col>
      <xdr:colOff>609663</xdr:colOff>
      <xdr:row>29</xdr:row>
      <xdr:rowOff>438693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7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2403890" y="11375570"/>
          <a:ext cx="402833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24</xdr:row>
      <xdr:rowOff>45720</xdr:rowOff>
    </xdr:from>
    <xdr:to>
      <xdr:col>22</xdr:col>
      <xdr:colOff>603065</xdr:colOff>
      <xdr:row>24</xdr:row>
      <xdr:rowOff>420989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7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2350545" y="9189720"/>
          <a:ext cx="44958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119744</xdr:colOff>
      <xdr:row>0</xdr:row>
      <xdr:rowOff>32657</xdr:rowOff>
    </xdr:from>
    <xdr:to>
      <xdr:col>6</xdr:col>
      <xdr:colOff>1796144</xdr:colOff>
      <xdr:row>6</xdr:row>
      <xdr:rowOff>229896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7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96" t="32013" r="43344" b="21441"/>
        <a:stretch/>
      </xdr:blipFill>
      <xdr:spPr bwMode="auto">
        <a:xfrm>
          <a:off x="6406244" y="32657"/>
          <a:ext cx="1676400" cy="1705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413658</xdr:colOff>
      <xdr:row>28</xdr:row>
      <xdr:rowOff>21772</xdr:rowOff>
    </xdr:from>
    <xdr:to>
      <xdr:col>2</xdr:col>
      <xdr:colOff>816428</xdr:colOff>
      <xdr:row>28</xdr:row>
      <xdr:rowOff>430465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27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2958738" y="10933612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110837</xdr:colOff>
      <xdr:row>0</xdr:row>
      <xdr:rowOff>110837</xdr:rowOff>
    </xdr:from>
    <xdr:to>
      <xdr:col>14</xdr:col>
      <xdr:colOff>96982</xdr:colOff>
      <xdr:row>3</xdr:row>
      <xdr:rowOff>110838</xdr:rowOff>
    </xdr:to>
    <xdr:sp macro="" textlink="">
      <xdr:nvSpPr>
        <xdr:cNvPr id="47" name="Line Callout 1 46">
          <a:extLst>
            <a:ext uri="{FF2B5EF4-FFF2-40B4-BE49-F238E27FC236}">
              <a16:creationId xmlns:a16="http://schemas.microsoft.com/office/drawing/2014/main" id="{00000000-0008-0000-2700-00002F000000}"/>
            </a:ext>
          </a:extLst>
        </xdr:cNvPr>
        <xdr:cNvSpPr/>
      </xdr:nvSpPr>
      <xdr:spPr>
        <a:xfrm>
          <a:off x="12089477" y="110837"/>
          <a:ext cx="3620885" cy="754381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1"/>
              </a:solidFill>
            </a:rPr>
            <a:t>Confirm</a:t>
          </a:r>
          <a:r>
            <a:rPr lang="en-US" sz="1800" baseline="0">
              <a:solidFill>
                <a:schemeClr val="tx1"/>
              </a:solidFill>
            </a:rPr>
            <a:t> </a:t>
          </a:r>
          <a:r>
            <a:rPr lang="th-TH" sz="1800" baseline="0">
              <a:solidFill>
                <a:schemeClr val="tx1"/>
              </a:solidFill>
            </a:rPr>
            <a:t>กับลูกค้าว่าต้องการ ว่าต้องการเปิดด้านไหนก่อน</a:t>
          </a:r>
          <a:endParaRPr lang="th-TH" sz="1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13855</xdr:colOff>
      <xdr:row>0</xdr:row>
      <xdr:rowOff>124691</xdr:rowOff>
    </xdr:from>
    <xdr:to>
      <xdr:col>12</xdr:col>
      <xdr:colOff>124692</xdr:colOff>
      <xdr:row>5</xdr:row>
      <xdr:rowOff>152400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2700-000030000000}"/>
            </a:ext>
          </a:extLst>
        </xdr:cNvPr>
        <xdr:cNvCxnSpPr/>
      </xdr:nvCxnSpPr>
      <xdr:spPr>
        <a:xfrm flipH="1">
          <a:off x="10895215" y="124691"/>
          <a:ext cx="1208117" cy="1285009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263236</xdr:colOff>
      <xdr:row>11</xdr:row>
      <xdr:rowOff>249382</xdr:rowOff>
    </xdr:from>
    <xdr:to>
      <xdr:col>2</xdr:col>
      <xdr:colOff>938149</xdr:colOff>
      <xdr:row>12</xdr:row>
      <xdr:rowOff>166461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7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812472" y="3629891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55418</xdr:rowOff>
    </xdr:from>
    <xdr:to>
      <xdr:col>16</xdr:col>
      <xdr:colOff>440082</xdr:colOff>
      <xdr:row>86</xdr:row>
      <xdr:rowOff>110837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8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67" t="10442" r="32351" b="20147"/>
        <a:stretch/>
      </xdr:blipFill>
      <xdr:spPr bwMode="auto">
        <a:xfrm>
          <a:off x="0" y="12746182"/>
          <a:ext cx="17661282" cy="12940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3" name="รูปภาพ 226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57120" y="252984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5477" y="431618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6140" y="477012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57120" y="342791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34261" y="298595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87600" y="387749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36162" y="535190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35200" y="56311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11401" y="60807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3284219" y="2747556"/>
          <a:ext cx="562793" cy="42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8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3040381" y="438150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8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3200400" y="476903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8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3185161" y="573024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8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791339</xdr:colOff>
      <xdr:row>33</xdr:row>
      <xdr:rowOff>398175</xdr:rowOff>
    </xdr:from>
    <xdr:to>
      <xdr:col>9</xdr:col>
      <xdr:colOff>94015</xdr:colOff>
      <xdr:row>35</xdr:row>
      <xdr:rowOff>83126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2800-000011000000}"/>
            </a:ext>
          </a:extLst>
        </xdr:cNvPr>
        <xdr:cNvSpPr/>
      </xdr:nvSpPr>
      <xdr:spPr>
        <a:xfrm>
          <a:off x="5003121" y="13532284"/>
          <a:ext cx="5592639" cy="5716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คี่+คู่</a:t>
          </a:r>
        </a:p>
      </xdr:txBody>
    </xdr:sp>
    <xdr:clientData/>
  </xdr:twoCellAnchor>
  <xdr:twoCellAnchor>
    <xdr:from>
      <xdr:col>13</xdr:col>
      <xdr:colOff>330271</xdr:colOff>
      <xdr:row>28</xdr:row>
      <xdr:rowOff>18071</xdr:rowOff>
    </xdr:from>
    <xdr:to>
      <xdr:col>13</xdr:col>
      <xdr:colOff>834688</xdr:colOff>
      <xdr:row>28</xdr:row>
      <xdr:rowOff>424542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8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5085844" y="108809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27</xdr:row>
      <xdr:rowOff>51228</xdr:rowOff>
    </xdr:from>
    <xdr:to>
      <xdr:col>13</xdr:col>
      <xdr:colOff>839403</xdr:colOff>
      <xdr:row>27</xdr:row>
      <xdr:rowOff>402772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8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5126302" y="104529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26</xdr:row>
      <xdr:rowOff>6048</xdr:rowOff>
    </xdr:from>
    <xdr:to>
      <xdr:col>13</xdr:col>
      <xdr:colOff>751114</xdr:colOff>
      <xdr:row>26</xdr:row>
      <xdr:rowOff>434564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8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5120258" y="100339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2800-000015000000}"/>
            </a:ext>
          </a:extLst>
        </xdr:cNvPr>
        <xdr:cNvSpPr/>
      </xdr:nvSpPr>
      <xdr:spPr>
        <a:xfrm>
          <a:off x="11606347" y="1092925"/>
          <a:ext cx="625384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388621</xdr:colOff>
      <xdr:row>18</xdr:row>
      <xdr:rowOff>22860</xdr:rowOff>
    </xdr:from>
    <xdr:to>
      <xdr:col>13</xdr:col>
      <xdr:colOff>709394</xdr:colOff>
      <xdr:row>18</xdr:row>
      <xdr:rowOff>415834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095221" y="651510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20</xdr:row>
      <xdr:rowOff>53340</xdr:rowOff>
    </xdr:from>
    <xdr:to>
      <xdr:col>13</xdr:col>
      <xdr:colOff>666207</xdr:colOff>
      <xdr:row>21</xdr:row>
      <xdr:rowOff>1203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171421" y="7429500"/>
          <a:ext cx="201386" cy="389823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19</xdr:row>
      <xdr:rowOff>167640</xdr:rowOff>
    </xdr:from>
    <xdr:to>
      <xdr:col>13</xdr:col>
      <xdr:colOff>1070067</xdr:colOff>
      <xdr:row>19</xdr:row>
      <xdr:rowOff>320714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8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29461" y="710184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21</xdr:row>
      <xdr:rowOff>47112</xdr:rowOff>
    </xdr:from>
    <xdr:to>
      <xdr:col>13</xdr:col>
      <xdr:colOff>831019</xdr:colOff>
      <xdr:row>21</xdr:row>
      <xdr:rowOff>384865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8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46085" y="786523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22</xdr:row>
      <xdr:rowOff>174171</xdr:rowOff>
    </xdr:from>
    <xdr:to>
      <xdr:col>14</xdr:col>
      <xdr:colOff>1030</xdr:colOff>
      <xdr:row>22</xdr:row>
      <xdr:rowOff>275408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17486" y="843425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2800-00001C000000}"/>
            </a:ext>
          </a:extLst>
        </xdr:cNvPr>
        <xdr:cNvSpPr/>
      </xdr:nvSpPr>
      <xdr:spPr>
        <a:xfrm>
          <a:off x="5489665" y="1767778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999937</xdr:colOff>
      <xdr:row>43</xdr:row>
      <xdr:rowOff>38568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5248004" y="15331440"/>
          <a:ext cx="2327993" cy="2248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24</xdr:row>
      <xdr:rowOff>32656</xdr:rowOff>
    </xdr:from>
    <xdr:to>
      <xdr:col>13</xdr:col>
      <xdr:colOff>761999</xdr:colOff>
      <xdr:row>24</xdr:row>
      <xdr:rowOff>417941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131142" y="91766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25</xdr:row>
      <xdr:rowOff>119743</xdr:rowOff>
    </xdr:from>
    <xdr:to>
      <xdr:col>13</xdr:col>
      <xdr:colOff>1099458</xdr:colOff>
      <xdr:row>25</xdr:row>
      <xdr:rowOff>382210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8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793686" y="97057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23</xdr:row>
      <xdr:rowOff>32659</xdr:rowOff>
    </xdr:from>
    <xdr:to>
      <xdr:col>13</xdr:col>
      <xdr:colOff>849089</xdr:colOff>
      <xdr:row>23</xdr:row>
      <xdr:rowOff>425803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8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6017" t="4571" r="2994" b="8560"/>
        <a:stretch/>
      </xdr:blipFill>
      <xdr:spPr>
        <a:xfrm>
          <a:off x="15054947" y="87346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2</xdr:col>
      <xdr:colOff>1153888</xdr:colOff>
      <xdr:row>25</xdr:row>
      <xdr:rowOff>215323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8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9405258"/>
          <a:ext cx="1066800" cy="3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8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6631516"/>
          <a:ext cx="394870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8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7532854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8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856487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413658</xdr:colOff>
      <xdr:row>27</xdr:row>
      <xdr:rowOff>21772</xdr:rowOff>
    </xdr:from>
    <xdr:to>
      <xdr:col>2</xdr:col>
      <xdr:colOff>816428</xdr:colOff>
      <xdr:row>27</xdr:row>
      <xdr:rowOff>430465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8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3400698" y="10491652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263234</xdr:colOff>
      <xdr:row>26</xdr:row>
      <xdr:rowOff>13855</xdr:rowOff>
    </xdr:from>
    <xdr:to>
      <xdr:col>2</xdr:col>
      <xdr:colOff>883375</xdr:colOff>
      <xdr:row>26</xdr:row>
      <xdr:rowOff>415636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8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13" t="14837" r="28422" b="35527"/>
        <a:stretch/>
      </xdr:blipFill>
      <xdr:spPr bwMode="auto">
        <a:xfrm>
          <a:off x="3250274" y="10041775"/>
          <a:ext cx="620141" cy="401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318663</xdr:colOff>
      <xdr:row>0</xdr:row>
      <xdr:rowOff>0</xdr:rowOff>
    </xdr:from>
    <xdr:to>
      <xdr:col>6</xdr:col>
      <xdr:colOff>1814955</xdr:colOff>
      <xdr:row>6</xdr:row>
      <xdr:rowOff>244076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8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84" t="25627" r="56383" b="30593"/>
        <a:stretch/>
      </xdr:blipFill>
      <xdr:spPr bwMode="auto">
        <a:xfrm>
          <a:off x="6894723" y="0"/>
          <a:ext cx="1496292" cy="17528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110837</xdr:colOff>
      <xdr:row>0</xdr:row>
      <xdr:rowOff>83128</xdr:rowOff>
    </xdr:from>
    <xdr:to>
      <xdr:col>14</xdr:col>
      <xdr:colOff>96982</xdr:colOff>
      <xdr:row>3</xdr:row>
      <xdr:rowOff>83129</xdr:rowOff>
    </xdr:to>
    <xdr:sp macro="" textlink="">
      <xdr:nvSpPr>
        <xdr:cNvPr id="41" name="Line Callout 1 40">
          <a:extLst>
            <a:ext uri="{FF2B5EF4-FFF2-40B4-BE49-F238E27FC236}">
              <a16:creationId xmlns:a16="http://schemas.microsoft.com/office/drawing/2014/main" id="{00000000-0008-0000-2800-000029000000}"/>
            </a:ext>
          </a:extLst>
        </xdr:cNvPr>
        <xdr:cNvSpPr/>
      </xdr:nvSpPr>
      <xdr:spPr>
        <a:xfrm>
          <a:off x="12379037" y="83128"/>
          <a:ext cx="3620885" cy="754381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800">
              <a:solidFill>
                <a:schemeClr val="tx1"/>
              </a:solidFill>
            </a:rPr>
            <a:t>บานคี่ จะเป็นบานที่เปิดก่อน</a:t>
          </a:r>
        </a:p>
      </xdr:txBody>
    </xdr:sp>
    <xdr:clientData/>
  </xdr:twoCellAnchor>
  <xdr:twoCellAnchor editAs="oneCell">
    <xdr:from>
      <xdr:col>2</xdr:col>
      <xdr:colOff>263236</xdr:colOff>
      <xdr:row>11</xdr:row>
      <xdr:rowOff>249382</xdr:rowOff>
    </xdr:from>
    <xdr:to>
      <xdr:col>2</xdr:col>
      <xdr:colOff>938149</xdr:colOff>
      <xdr:row>12</xdr:row>
      <xdr:rowOff>166461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8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808316" y="3647902"/>
          <a:ext cx="674913" cy="359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180115</xdr:colOff>
      <xdr:row>0</xdr:row>
      <xdr:rowOff>13852</xdr:rowOff>
    </xdr:from>
    <xdr:to>
      <xdr:col>18</xdr:col>
      <xdr:colOff>705894</xdr:colOff>
      <xdr:row>4</xdr:row>
      <xdr:rowOff>79166</xdr:rowOff>
    </xdr:to>
    <xdr:sp macro="" textlink="">
      <xdr:nvSpPr>
        <xdr:cNvPr id="45" name="Left Arrow 4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2800-00002D000000}"/>
            </a:ext>
          </a:extLst>
        </xdr:cNvPr>
        <xdr:cNvSpPr/>
      </xdr:nvSpPr>
      <xdr:spPr>
        <a:xfrm>
          <a:off x="18066333" y="13852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93786</xdr:rowOff>
    </xdr:from>
    <xdr:to>
      <xdr:col>16</xdr:col>
      <xdr:colOff>443344</xdr:colOff>
      <xdr:row>86</xdr:row>
      <xdr:rowOff>117764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9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23" t="17230" r="33368" b="13327"/>
        <a:stretch/>
      </xdr:blipFill>
      <xdr:spPr bwMode="auto">
        <a:xfrm>
          <a:off x="0" y="12784550"/>
          <a:ext cx="17664544" cy="12908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9</xdr:row>
      <xdr:rowOff>15241</xdr:rowOff>
    </xdr:from>
    <xdr:to>
      <xdr:col>13</xdr:col>
      <xdr:colOff>807720</xdr:colOff>
      <xdr:row>9</xdr:row>
      <xdr:rowOff>410657</xdr:rowOff>
    </xdr:to>
    <xdr:pic>
      <xdr:nvPicPr>
        <xdr:cNvPr id="3" name="รูปภาพ 226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57120" y="252984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13</xdr:row>
      <xdr:rowOff>33747</xdr:rowOff>
    </xdr:from>
    <xdr:to>
      <xdr:col>13</xdr:col>
      <xdr:colOff>849283</xdr:colOff>
      <xdr:row>13</xdr:row>
      <xdr:rowOff>422367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75477" y="431618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14</xdr:row>
      <xdr:rowOff>45720</xdr:rowOff>
    </xdr:from>
    <xdr:to>
      <xdr:col>13</xdr:col>
      <xdr:colOff>921111</xdr:colOff>
      <xdr:row>14</xdr:row>
      <xdr:rowOff>411480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36140" y="477012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11</xdr:row>
      <xdr:rowOff>29393</xdr:rowOff>
    </xdr:from>
    <xdr:to>
      <xdr:col>13</xdr:col>
      <xdr:colOff>777913</xdr:colOff>
      <xdr:row>11</xdr:row>
      <xdr:rowOff>440872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57120" y="342791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10</xdr:row>
      <xdr:rowOff>29393</xdr:rowOff>
    </xdr:from>
    <xdr:to>
      <xdr:col>13</xdr:col>
      <xdr:colOff>707572</xdr:colOff>
      <xdr:row>10</xdr:row>
      <xdr:rowOff>431014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34261" y="298595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12</xdr:row>
      <xdr:rowOff>37013</xdr:rowOff>
    </xdr:from>
    <xdr:to>
      <xdr:col>13</xdr:col>
      <xdr:colOff>751114</xdr:colOff>
      <xdr:row>12</xdr:row>
      <xdr:rowOff>433035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87600" y="387749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15</xdr:row>
      <xdr:rowOff>185547</xdr:rowOff>
    </xdr:from>
    <xdr:to>
      <xdr:col>13</xdr:col>
      <xdr:colOff>1059180</xdr:colOff>
      <xdr:row>15</xdr:row>
      <xdr:rowOff>279537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36162" y="535190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16</xdr:row>
      <xdr:rowOff>22861</xdr:rowOff>
    </xdr:from>
    <xdr:to>
      <xdr:col>13</xdr:col>
      <xdr:colOff>822960</xdr:colOff>
      <xdr:row>16</xdr:row>
      <xdr:rowOff>429057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35200" y="563118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17</xdr:row>
      <xdr:rowOff>30480</xdr:rowOff>
    </xdr:from>
    <xdr:to>
      <xdr:col>13</xdr:col>
      <xdr:colOff>800101</xdr:colOff>
      <xdr:row>17</xdr:row>
      <xdr:rowOff>407995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11401" y="608076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297179</xdr:colOff>
      <xdr:row>9</xdr:row>
      <xdr:rowOff>232956</xdr:rowOff>
    </xdr:from>
    <xdr:to>
      <xdr:col>2</xdr:col>
      <xdr:colOff>859972</xdr:colOff>
      <xdr:row>10</xdr:row>
      <xdr:rowOff>212169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9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3284219" y="2747556"/>
          <a:ext cx="562793" cy="421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13</xdr:row>
      <xdr:rowOff>99060</xdr:rowOff>
    </xdr:from>
    <xdr:to>
      <xdr:col>2</xdr:col>
      <xdr:colOff>1165861</xdr:colOff>
      <xdr:row>13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9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3040381" y="438150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14</xdr:row>
      <xdr:rowOff>44633</xdr:rowOff>
    </xdr:from>
    <xdr:to>
      <xdr:col>2</xdr:col>
      <xdr:colOff>998220</xdr:colOff>
      <xdr:row>14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9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3200400" y="476903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16</xdr:row>
      <xdr:rowOff>121920</xdr:rowOff>
    </xdr:from>
    <xdr:to>
      <xdr:col>2</xdr:col>
      <xdr:colOff>1066800</xdr:colOff>
      <xdr:row>16</xdr:row>
      <xdr:rowOff>265731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9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3185161" y="5730240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9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70902</xdr:colOff>
      <xdr:row>33</xdr:row>
      <xdr:rowOff>51813</xdr:rowOff>
    </xdr:from>
    <xdr:to>
      <xdr:col>9</xdr:col>
      <xdr:colOff>412669</xdr:colOff>
      <xdr:row>34</xdr:row>
      <xdr:rowOff>180109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2900-000011000000}"/>
            </a:ext>
          </a:extLst>
        </xdr:cNvPr>
        <xdr:cNvSpPr/>
      </xdr:nvSpPr>
      <xdr:spPr>
        <a:xfrm>
          <a:off x="5321775" y="13185922"/>
          <a:ext cx="5592639" cy="5716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3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บานเฟื้ยมเข้ามุม คี่+คี่</a:t>
          </a:r>
        </a:p>
      </xdr:txBody>
    </xdr:sp>
    <xdr:clientData/>
  </xdr:twoCellAnchor>
  <xdr:twoCellAnchor>
    <xdr:from>
      <xdr:col>13</xdr:col>
      <xdr:colOff>330271</xdr:colOff>
      <xdr:row>28</xdr:row>
      <xdr:rowOff>18071</xdr:rowOff>
    </xdr:from>
    <xdr:to>
      <xdr:col>13</xdr:col>
      <xdr:colOff>834688</xdr:colOff>
      <xdr:row>28</xdr:row>
      <xdr:rowOff>424542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9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5085844" y="108809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27</xdr:row>
      <xdr:rowOff>51228</xdr:rowOff>
    </xdr:from>
    <xdr:to>
      <xdr:col>13</xdr:col>
      <xdr:colOff>839403</xdr:colOff>
      <xdr:row>27</xdr:row>
      <xdr:rowOff>402772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9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5126302" y="104529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26</xdr:row>
      <xdr:rowOff>6048</xdr:rowOff>
    </xdr:from>
    <xdr:to>
      <xdr:col>13</xdr:col>
      <xdr:colOff>751114</xdr:colOff>
      <xdr:row>26</xdr:row>
      <xdr:rowOff>434564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9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5120258" y="100339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4</xdr:row>
      <xdr:rowOff>87085</xdr:rowOff>
    </xdr:from>
    <xdr:to>
      <xdr:col>16</xdr:col>
      <xdr:colOff>631371</xdr:colOff>
      <xdr:row>6</xdr:row>
      <xdr:rowOff>195942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2900-000015000000}"/>
            </a:ext>
          </a:extLst>
        </xdr:cNvPr>
        <xdr:cNvSpPr/>
      </xdr:nvSpPr>
      <xdr:spPr>
        <a:xfrm>
          <a:off x="11606347" y="1092925"/>
          <a:ext cx="625384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388621</xdr:colOff>
      <xdr:row>18</xdr:row>
      <xdr:rowOff>22860</xdr:rowOff>
    </xdr:from>
    <xdr:to>
      <xdr:col>13</xdr:col>
      <xdr:colOff>709394</xdr:colOff>
      <xdr:row>18</xdr:row>
      <xdr:rowOff>415834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095221" y="651510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20</xdr:row>
      <xdr:rowOff>53340</xdr:rowOff>
    </xdr:from>
    <xdr:to>
      <xdr:col>13</xdr:col>
      <xdr:colOff>666207</xdr:colOff>
      <xdr:row>21</xdr:row>
      <xdr:rowOff>1203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171421" y="7429500"/>
          <a:ext cx="201386" cy="389823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19</xdr:row>
      <xdr:rowOff>167640</xdr:rowOff>
    </xdr:from>
    <xdr:to>
      <xdr:col>13</xdr:col>
      <xdr:colOff>1070067</xdr:colOff>
      <xdr:row>19</xdr:row>
      <xdr:rowOff>320714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729461" y="710184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21</xdr:row>
      <xdr:rowOff>47112</xdr:rowOff>
    </xdr:from>
    <xdr:to>
      <xdr:col>13</xdr:col>
      <xdr:colOff>831019</xdr:colOff>
      <xdr:row>21</xdr:row>
      <xdr:rowOff>384865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46085" y="786523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22</xdr:row>
      <xdr:rowOff>174171</xdr:rowOff>
    </xdr:from>
    <xdr:to>
      <xdr:col>14</xdr:col>
      <xdr:colOff>1030</xdr:colOff>
      <xdr:row>22</xdr:row>
      <xdr:rowOff>275408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17486" y="8434251"/>
          <a:ext cx="1186484" cy="101237"/>
        </a:xfrm>
        <a:prstGeom prst="rect">
          <a:avLst/>
        </a:prstGeom>
      </xdr:spPr>
    </xdr:pic>
    <xdr:clientData/>
  </xdr:twoCellAnchor>
  <xdr:twoCellAnchor>
    <xdr:from>
      <xdr:col>4</xdr:col>
      <xdr:colOff>239485</xdr:colOff>
      <xdr:row>43</xdr:row>
      <xdr:rowOff>136540</xdr:rowOff>
    </xdr:from>
    <xdr:to>
      <xdr:col>6</xdr:col>
      <xdr:colOff>532760</xdr:colOff>
      <xdr:row>43</xdr:row>
      <xdr:rowOff>431095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2900-00001C000000}"/>
            </a:ext>
          </a:extLst>
        </xdr:cNvPr>
        <xdr:cNvSpPr/>
      </xdr:nvSpPr>
      <xdr:spPr>
        <a:xfrm>
          <a:off x="5489665" y="1767778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3</xdr:col>
      <xdr:colOff>1110344</xdr:colOff>
      <xdr:row>38</xdr:row>
      <xdr:rowOff>0</xdr:rowOff>
    </xdr:from>
    <xdr:to>
      <xdr:col>6</xdr:col>
      <xdr:colOff>999937</xdr:colOff>
      <xdr:row>43</xdr:row>
      <xdr:rowOff>38568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9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5248004" y="15331440"/>
          <a:ext cx="2327993" cy="2248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24</xdr:row>
      <xdr:rowOff>32656</xdr:rowOff>
    </xdr:from>
    <xdr:to>
      <xdr:col>13</xdr:col>
      <xdr:colOff>761999</xdr:colOff>
      <xdr:row>24</xdr:row>
      <xdr:rowOff>417941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131142" y="91766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25</xdr:row>
      <xdr:rowOff>119743</xdr:rowOff>
    </xdr:from>
    <xdr:to>
      <xdr:col>13</xdr:col>
      <xdr:colOff>1099458</xdr:colOff>
      <xdr:row>25</xdr:row>
      <xdr:rowOff>382210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9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793686" y="97057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23</xdr:row>
      <xdr:rowOff>32659</xdr:rowOff>
    </xdr:from>
    <xdr:to>
      <xdr:col>13</xdr:col>
      <xdr:colOff>849089</xdr:colOff>
      <xdr:row>23</xdr:row>
      <xdr:rowOff>425803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900-00002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/>
        <a:srcRect l="6017" t="4571" r="2994" b="8560"/>
        <a:stretch/>
      </xdr:blipFill>
      <xdr:spPr>
        <a:xfrm>
          <a:off x="15054947" y="87346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87088</xdr:colOff>
      <xdr:row>24</xdr:row>
      <xdr:rowOff>261258</xdr:rowOff>
    </xdr:from>
    <xdr:to>
      <xdr:col>2</xdr:col>
      <xdr:colOff>1153888</xdr:colOff>
      <xdr:row>25</xdr:row>
      <xdr:rowOff>215323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9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9405258"/>
          <a:ext cx="1066800" cy="396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18</xdr:row>
      <xdr:rowOff>264679</xdr:rowOff>
    </xdr:from>
    <xdr:to>
      <xdr:col>2</xdr:col>
      <xdr:colOff>967740</xdr:colOff>
      <xdr:row>19</xdr:row>
      <xdr:rowOff>217589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9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6631516"/>
          <a:ext cx="394870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20</xdr:row>
      <xdr:rowOff>282097</xdr:rowOff>
    </xdr:from>
    <xdr:to>
      <xdr:col>2</xdr:col>
      <xdr:colOff>967740</xdr:colOff>
      <xdr:row>21</xdr:row>
      <xdr:rowOff>235006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9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3434507" y="7532854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87088</xdr:colOff>
      <xdr:row>22</xdr:row>
      <xdr:rowOff>304799</xdr:rowOff>
    </xdr:from>
    <xdr:ext cx="1066800" cy="40037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9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3074128" y="8564879"/>
          <a:ext cx="1066800" cy="400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413658</xdr:colOff>
      <xdr:row>27</xdr:row>
      <xdr:rowOff>21772</xdr:rowOff>
    </xdr:from>
    <xdr:to>
      <xdr:col>2</xdr:col>
      <xdr:colOff>816428</xdr:colOff>
      <xdr:row>27</xdr:row>
      <xdr:rowOff>430465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9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423" t="27170" r="47495" b="43765"/>
        <a:stretch/>
      </xdr:blipFill>
      <xdr:spPr bwMode="auto">
        <a:xfrm>
          <a:off x="3400698" y="10491652"/>
          <a:ext cx="402770" cy="40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263234</xdr:colOff>
      <xdr:row>26</xdr:row>
      <xdr:rowOff>13855</xdr:rowOff>
    </xdr:from>
    <xdr:to>
      <xdr:col>2</xdr:col>
      <xdr:colOff>883375</xdr:colOff>
      <xdr:row>26</xdr:row>
      <xdr:rowOff>415636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9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13" t="14837" r="28422" b="35527"/>
        <a:stretch/>
      </xdr:blipFill>
      <xdr:spPr bwMode="auto">
        <a:xfrm>
          <a:off x="3250274" y="10041775"/>
          <a:ext cx="620141" cy="401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193968</xdr:colOff>
      <xdr:row>0</xdr:row>
      <xdr:rowOff>13855</xdr:rowOff>
    </xdr:from>
    <xdr:to>
      <xdr:col>6</xdr:col>
      <xdr:colOff>1842658</xdr:colOff>
      <xdr:row>6</xdr:row>
      <xdr:rowOff>166255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9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60" t="19747" r="59092" b="21814"/>
        <a:stretch/>
      </xdr:blipFill>
      <xdr:spPr bwMode="auto">
        <a:xfrm>
          <a:off x="6770028" y="13855"/>
          <a:ext cx="1648690" cy="1661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124691</xdr:colOff>
      <xdr:row>0</xdr:row>
      <xdr:rowOff>138546</xdr:rowOff>
    </xdr:from>
    <xdr:to>
      <xdr:col>14</xdr:col>
      <xdr:colOff>110836</xdr:colOff>
      <xdr:row>3</xdr:row>
      <xdr:rowOff>138547</xdr:rowOff>
    </xdr:to>
    <xdr:sp macro="" textlink="">
      <xdr:nvSpPr>
        <xdr:cNvPr id="41" name="Line Callout 1 40">
          <a:extLst>
            <a:ext uri="{FF2B5EF4-FFF2-40B4-BE49-F238E27FC236}">
              <a16:creationId xmlns:a16="http://schemas.microsoft.com/office/drawing/2014/main" id="{00000000-0008-0000-2900-000029000000}"/>
            </a:ext>
          </a:extLst>
        </xdr:cNvPr>
        <xdr:cNvSpPr/>
      </xdr:nvSpPr>
      <xdr:spPr>
        <a:xfrm>
          <a:off x="12392891" y="138546"/>
          <a:ext cx="3620885" cy="754381"/>
        </a:xfrm>
        <a:prstGeom prst="borderCallout1">
          <a:avLst>
            <a:gd name="adj1" fmla="val 1017"/>
            <a:gd name="adj2" fmla="val 98"/>
            <a:gd name="adj3" fmla="val 103241"/>
            <a:gd name="adj4" fmla="val -32942"/>
          </a:avLst>
        </a:prstGeom>
        <a:ln>
          <a:solidFill>
            <a:srgbClr val="C00000"/>
          </a:solidFill>
          <a:headEnd type="none" w="med" len="med"/>
          <a:tailEnd type="triangle" w="med" len="med"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1"/>
              </a:solidFill>
            </a:rPr>
            <a:t>Confirm</a:t>
          </a:r>
          <a:r>
            <a:rPr lang="en-US" sz="1800" baseline="0">
              <a:solidFill>
                <a:schemeClr val="tx1"/>
              </a:solidFill>
            </a:rPr>
            <a:t> </a:t>
          </a:r>
          <a:r>
            <a:rPr lang="th-TH" sz="1800" baseline="0">
              <a:solidFill>
                <a:schemeClr val="tx1"/>
              </a:solidFill>
            </a:rPr>
            <a:t>กับลูกค้าว่าต้องการ ว่าต้องการเปิดด้านไหนก่อน</a:t>
          </a:r>
          <a:endParaRPr lang="th-TH" sz="18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27709</xdr:colOff>
      <xdr:row>0</xdr:row>
      <xdr:rowOff>152400</xdr:rowOff>
    </xdr:from>
    <xdr:to>
      <xdr:col>12</xdr:col>
      <xdr:colOff>138546</xdr:colOff>
      <xdr:row>5</xdr:row>
      <xdr:rowOff>180109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2900-00002A000000}"/>
            </a:ext>
          </a:extLst>
        </xdr:cNvPr>
        <xdr:cNvCxnSpPr/>
      </xdr:nvCxnSpPr>
      <xdr:spPr>
        <a:xfrm flipH="1">
          <a:off x="11198629" y="152400"/>
          <a:ext cx="1208117" cy="1285009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263236</xdr:colOff>
      <xdr:row>11</xdr:row>
      <xdr:rowOff>249382</xdr:rowOff>
    </xdr:from>
    <xdr:to>
      <xdr:col>2</xdr:col>
      <xdr:colOff>938149</xdr:colOff>
      <xdr:row>12</xdr:row>
      <xdr:rowOff>166461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9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808316" y="3647902"/>
          <a:ext cx="674913" cy="359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207825</xdr:colOff>
      <xdr:row>0</xdr:row>
      <xdr:rowOff>0</xdr:rowOff>
    </xdr:from>
    <xdr:to>
      <xdr:col>19</xdr:col>
      <xdr:colOff>13167</xdr:colOff>
      <xdr:row>4</xdr:row>
      <xdr:rowOff>65314</xdr:rowOff>
    </xdr:to>
    <xdr:sp macro="" textlink="">
      <xdr:nvSpPr>
        <xdr:cNvPr id="46" name="Left Arrow 4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2900-00002E000000}"/>
            </a:ext>
          </a:extLst>
        </xdr:cNvPr>
        <xdr:cNvSpPr/>
      </xdr:nvSpPr>
      <xdr:spPr>
        <a:xfrm>
          <a:off x="180940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A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A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A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394063</xdr:rowOff>
    </xdr:from>
    <xdr:to>
      <xdr:col>2</xdr:col>
      <xdr:colOff>1066800</xdr:colOff>
      <xdr:row>10</xdr:row>
      <xdr:rowOff>91560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A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70663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A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A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1067438</xdr:colOff>
      <xdr:row>18</xdr:row>
      <xdr:rowOff>336817</xdr:rowOff>
    </xdr:from>
    <xdr:to>
      <xdr:col>11</xdr:col>
      <xdr:colOff>413655</xdr:colOff>
      <xdr:row>20</xdr:row>
      <xdr:rowOff>217714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2A00-000012000000}"/>
            </a:ext>
          </a:extLst>
        </xdr:cNvPr>
        <xdr:cNvSpPr/>
      </xdr:nvSpPr>
      <xdr:spPr>
        <a:xfrm>
          <a:off x="9121778" y="7591057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2P 2-0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2-0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A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A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A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A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A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A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A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A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A00-00001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A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2A00-00001E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A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761999</xdr:colOff>
      <xdr:row>20</xdr:row>
      <xdr:rowOff>163285</xdr:rowOff>
    </xdr:from>
    <xdr:to>
      <xdr:col>10</xdr:col>
      <xdr:colOff>642257</xdr:colOff>
      <xdr:row>29</xdr:row>
      <xdr:rowOff>217715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A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97" t="13188" r="54026" b="8519"/>
        <a:stretch/>
      </xdr:blipFill>
      <xdr:spPr bwMode="auto">
        <a:xfrm>
          <a:off x="8816339" y="8301445"/>
          <a:ext cx="2402478" cy="4032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337458</xdr:colOff>
      <xdr:row>29</xdr:row>
      <xdr:rowOff>114766</xdr:rowOff>
    </xdr:from>
    <xdr:to>
      <xdr:col>16</xdr:col>
      <xdr:colOff>630733</xdr:colOff>
      <xdr:row>29</xdr:row>
      <xdr:rowOff>409321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2A00-000023000000}"/>
            </a:ext>
          </a:extLst>
        </xdr:cNvPr>
        <xdr:cNvSpPr/>
      </xdr:nvSpPr>
      <xdr:spPr>
        <a:xfrm>
          <a:off x="15882258" y="1223056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108858</xdr:colOff>
      <xdr:row>25</xdr:row>
      <xdr:rowOff>97970</xdr:rowOff>
    </xdr:from>
    <xdr:to>
      <xdr:col>16</xdr:col>
      <xdr:colOff>631372</xdr:colOff>
      <xdr:row>29</xdr:row>
      <xdr:rowOff>114767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A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8" y="1044593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15</xdr:row>
      <xdr:rowOff>228600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A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6352" y="615696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A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A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A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43544</xdr:rowOff>
    </xdr:from>
    <xdr:to>
      <xdr:col>7</xdr:col>
      <xdr:colOff>553051</xdr:colOff>
      <xdr:row>29</xdr:row>
      <xdr:rowOff>388625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A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29" t="10316" r="32595" b="14948"/>
        <a:stretch/>
      </xdr:blipFill>
      <xdr:spPr bwMode="auto">
        <a:xfrm>
          <a:off x="0" y="6901544"/>
          <a:ext cx="8608480" cy="5700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163286</xdr:colOff>
      <xdr:row>0</xdr:row>
      <xdr:rowOff>0</xdr:rowOff>
    </xdr:from>
    <xdr:to>
      <xdr:col>18</xdr:col>
      <xdr:colOff>679168</xdr:colOff>
      <xdr:row>4</xdr:row>
      <xdr:rowOff>61355</xdr:rowOff>
    </xdr:to>
    <xdr:sp macro="" textlink="">
      <xdr:nvSpPr>
        <xdr:cNvPr id="43" name="Left Arrow 4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2A00-00002B000000}"/>
            </a:ext>
          </a:extLst>
        </xdr:cNvPr>
        <xdr:cNvSpPr/>
      </xdr:nvSpPr>
      <xdr:spPr>
        <a:xfrm>
          <a:off x="17711057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372291</xdr:rowOff>
    </xdr:from>
    <xdr:to>
      <xdr:col>2</xdr:col>
      <xdr:colOff>1066800</xdr:colOff>
      <xdr:row>10</xdr:row>
      <xdr:rowOff>69788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48891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9544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B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370753</xdr:colOff>
      <xdr:row>23</xdr:row>
      <xdr:rowOff>369474</xdr:rowOff>
    </xdr:from>
    <xdr:to>
      <xdr:col>12</xdr:col>
      <xdr:colOff>250370</xdr:colOff>
      <xdr:row>25</xdr:row>
      <xdr:rowOff>250372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2B00-000012000000}"/>
            </a:ext>
          </a:extLst>
        </xdr:cNvPr>
        <xdr:cNvSpPr/>
      </xdr:nvSpPr>
      <xdr:spPr>
        <a:xfrm>
          <a:off x="9621433" y="9833514"/>
          <a:ext cx="2538997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3P 3-0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B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B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B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B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B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B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B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B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2B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B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B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B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1006032</xdr:colOff>
      <xdr:row>16</xdr:row>
      <xdr:rowOff>185057</xdr:rowOff>
    </xdr:from>
    <xdr:to>
      <xdr:col>6</xdr:col>
      <xdr:colOff>478708</xdr:colOff>
      <xdr:row>20</xdr:row>
      <xdr:rowOff>348343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B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357346" y="6596743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152399</xdr:colOff>
      <xdr:row>25</xdr:row>
      <xdr:rowOff>195944</xdr:rowOff>
    </xdr:from>
    <xdr:to>
      <xdr:col>11</xdr:col>
      <xdr:colOff>576942</xdr:colOff>
      <xdr:row>32</xdr:row>
      <xdr:rowOff>378793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B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55" t="10033" r="54187" b="11371"/>
        <a:stretch/>
      </xdr:blipFill>
      <xdr:spPr bwMode="auto">
        <a:xfrm>
          <a:off x="9403079" y="10543904"/>
          <a:ext cx="2420983" cy="3276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337456</xdr:colOff>
      <xdr:row>32</xdr:row>
      <xdr:rowOff>114768</xdr:rowOff>
    </xdr:from>
    <xdr:to>
      <xdr:col>16</xdr:col>
      <xdr:colOff>630731</xdr:colOff>
      <xdr:row>32</xdr:row>
      <xdr:rowOff>409323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2B00-000026000000}"/>
            </a:ext>
          </a:extLst>
        </xdr:cNvPr>
        <xdr:cNvSpPr/>
      </xdr:nvSpPr>
      <xdr:spPr>
        <a:xfrm>
          <a:off x="15882256" y="1355644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108856</xdr:colOff>
      <xdr:row>28</xdr:row>
      <xdr:rowOff>97972</xdr:rowOff>
    </xdr:from>
    <xdr:to>
      <xdr:col>16</xdr:col>
      <xdr:colOff>631370</xdr:colOff>
      <xdr:row>32</xdr:row>
      <xdr:rowOff>114769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B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6" y="1177181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B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09717" y="731955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B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B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37243</xdr:colOff>
      <xdr:row>14</xdr:row>
      <xdr:rowOff>261257</xdr:rowOff>
    </xdr:from>
    <xdr:ext cx="1160190" cy="4354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B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91823" y="574765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B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B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2B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90346</xdr:rowOff>
    </xdr:from>
    <xdr:to>
      <xdr:col>7</xdr:col>
      <xdr:colOff>1164195</xdr:colOff>
      <xdr:row>32</xdr:row>
      <xdr:rowOff>402772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2B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0" t="8210" r="28635" b="16632"/>
        <a:stretch/>
      </xdr:blipFill>
      <xdr:spPr bwMode="auto">
        <a:xfrm>
          <a:off x="0" y="7840975"/>
          <a:ext cx="9219624" cy="611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195943</xdr:colOff>
      <xdr:row>0</xdr:row>
      <xdr:rowOff>0</xdr:rowOff>
    </xdr:from>
    <xdr:to>
      <xdr:col>18</xdr:col>
      <xdr:colOff>711825</xdr:colOff>
      <xdr:row>4</xdr:row>
      <xdr:rowOff>61355</xdr:rowOff>
    </xdr:to>
    <xdr:sp macro="" textlink="">
      <xdr:nvSpPr>
        <xdr:cNvPr id="49" name="Left Arrow 4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2B00-000031000000}"/>
            </a:ext>
          </a:extLst>
        </xdr:cNvPr>
        <xdr:cNvSpPr/>
      </xdr:nvSpPr>
      <xdr:spPr>
        <a:xfrm>
          <a:off x="17743714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C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394063</xdr:rowOff>
    </xdr:from>
    <xdr:to>
      <xdr:col>2</xdr:col>
      <xdr:colOff>1066800</xdr:colOff>
      <xdr:row>10</xdr:row>
      <xdr:rowOff>91560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70663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174808</xdr:colOff>
      <xdr:row>24</xdr:row>
      <xdr:rowOff>184417</xdr:rowOff>
    </xdr:from>
    <xdr:to>
      <xdr:col>11</xdr:col>
      <xdr:colOff>261887</xdr:colOff>
      <xdr:row>25</xdr:row>
      <xdr:rowOff>371644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SpPr/>
      </xdr:nvSpPr>
      <xdr:spPr>
        <a:xfrm>
          <a:off x="9425488" y="10090417"/>
          <a:ext cx="2083519" cy="629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3P 2-1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C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C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C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C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C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C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C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2C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348344</xdr:colOff>
      <xdr:row>32</xdr:row>
      <xdr:rowOff>108859</xdr:rowOff>
    </xdr:from>
    <xdr:to>
      <xdr:col>16</xdr:col>
      <xdr:colOff>641619</xdr:colOff>
      <xdr:row>32</xdr:row>
      <xdr:rowOff>403414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2C00-00001D000000}"/>
            </a:ext>
          </a:extLst>
        </xdr:cNvPr>
        <xdr:cNvSpPr/>
      </xdr:nvSpPr>
      <xdr:spPr>
        <a:xfrm>
          <a:off x="15893144" y="13550539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119744</xdr:colOff>
      <xdr:row>28</xdr:row>
      <xdr:rowOff>92063</xdr:rowOff>
    </xdr:from>
    <xdr:to>
      <xdr:col>16</xdr:col>
      <xdr:colOff>642258</xdr:colOff>
      <xdr:row>32</xdr:row>
      <xdr:rowOff>108860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C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64544" y="11765903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C00-00001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C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555171</xdr:colOff>
      <xdr:row>17</xdr:row>
      <xdr:rowOff>43542</xdr:rowOff>
    </xdr:from>
    <xdr:to>
      <xdr:col>6</xdr:col>
      <xdr:colOff>729342</xdr:colOff>
      <xdr:row>22</xdr:row>
      <xdr:rowOff>27997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C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07" t="33731" r="38290" b="14088"/>
        <a:stretch/>
      </xdr:blipFill>
      <xdr:spPr bwMode="auto">
        <a:xfrm>
          <a:off x="2906485" y="6901542"/>
          <a:ext cx="3918857" cy="221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1034137</xdr:colOff>
      <xdr:row>25</xdr:row>
      <xdr:rowOff>391886</xdr:rowOff>
    </xdr:from>
    <xdr:to>
      <xdr:col>11</xdr:col>
      <xdr:colOff>93036</xdr:colOff>
      <xdr:row>32</xdr:row>
      <xdr:rowOff>315686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C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60" t="10886" r="52082" b="11450"/>
        <a:stretch/>
      </xdr:blipFill>
      <xdr:spPr bwMode="auto">
        <a:xfrm>
          <a:off x="9088477" y="10739846"/>
          <a:ext cx="2251679" cy="3017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C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C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239486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C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6784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2C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2C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2C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406031</xdr:rowOff>
    </xdr:from>
    <xdr:to>
      <xdr:col>7</xdr:col>
      <xdr:colOff>990693</xdr:colOff>
      <xdr:row>32</xdr:row>
      <xdr:rowOff>416917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2C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56660"/>
          <a:ext cx="9046122" cy="5812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195943</xdr:colOff>
      <xdr:row>0</xdr:row>
      <xdr:rowOff>0</xdr:rowOff>
    </xdr:from>
    <xdr:to>
      <xdr:col>18</xdr:col>
      <xdr:colOff>711825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C00-000032000000}"/>
            </a:ext>
          </a:extLst>
        </xdr:cNvPr>
        <xdr:cNvSpPr/>
      </xdr:nvSpPr>
      <xdr:spPr>
        <a:xfrm>
          <a:off x="17743714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D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D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D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D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610241</xdr:colOff>
      <xdr:row>20</xdr:row>
      <xdr:rowOff>140873</xdr:rowOff>
    </xdr:from>
    <xdr:to>
      <xdr:col>13</xdr:col>
      <xdr:colOff>54430</xdr:colOff>
      <xdr:row>22</xdr:row>
      <xdr:rowOff>21771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2D00-00000E000000}"/>
            </a:ext>
          </a:extLst>
        </xdr:cNvPr>
        <xdr:cNvSpPr/>
      </xdr:nvSpPr>
      <xdr:spPr>
        <a:xfrm>
          <a:off x="11857361" y="8279033"/>
          <a:ext cx="2545529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4บาน 4-0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D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D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D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D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D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D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D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D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D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2D00-00001A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D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8" name="รูปภาพ 226">
          <a:extLst>
            <a:ext uri="{FF2B5EF4-FFF2-40B4-BE49-F238E27FC236}">
              <a16:creationId xmlns:a16="http://schemas.microsoft.com/office/drawing/2014/main" id="{00000000-0008-0000-2D00-00001C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7</xdr:col>
      <xdr:colOff>620489</xdr:colOff>
      <xdr:row>18</xdr:row>
      <xdr:rowOff>424547</xdr:rowOff>
    </xdr:from>
    <xdr:to>
      <xdr:col>11</xdr:col>
      <xdr:colOff>424547</xdr:colOff>
      <xdr:row>23</xdr:row>
      <xdr:rowOff>12576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D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675918" y="7728861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587827</xdr:colOff>
      <xdr:row>22</xdr:row>
      <xdr:rowOff>10886</xdr:rowOff>
    </xdr:from>
    <xdr:to>
      <xdr:col>12</xdr:col>
      <xdr:colOff>2357370</xdr:colOff>
      <xdr:row>29</xdr:row>
      <xdr:rowOff>359229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D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3" t="14841" r="58281" b="7400"/>
        <a:stretch/>
      </xdr:blipFill>
      <xdr:spPr bwMode="auto">
        <a:xfrm>
          <a:off x="11164387" y="9032966"/>
          <a:ext cx="3103043" cy="3442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2D00-000024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D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228599</xdr:rowOff>
    </xdr:from>
    <xdr:ext cx="1160190" cy="4354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D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56959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D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D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D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206829</xdr:colOff>
      <xdr:row>0</xdr:row>
      <xdr:rowOff>0</xdr:rowOff>
    </xdr:from>
    <xdr:to>
      <xdr:col>18</xdr:col>
      <xdr:colOff>722711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2D00-00002C000000}"/>
            </a:ext>
          </a:extLst>
        </xdr:cNvPr>
        <xdr:cNvSpPr/>
      </xdr:nvSpPr>
      <xdr:spPr>
        <a:xfrm>
          <a:off x="1775460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17</xdr:row>
      <xdr:rowOff>35921</xdr:rowOff>
    </xdr:from>
    <xdr:to>
      <xdr:col>7</xdr:col>
      <xdr:colOff>553051</xdr:colOff>
      <xdr:row>29</xdr:row>
      <xdr:rowOff>381002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3441D87-F107-4C3A-AE06-6152C1E82876}"/>
            </a:ext>
          </a:extLst>
        </xdr:cNvPr>
        <xdr:cNvGrpSpPr/>
      </xdr:nvGrpSpPr>
      <xdr:grpSpPr>
        <a:xfrm>
          <a:off x="0" y="6893921"/>
          <a:ext cx="8608480" cy="5700852"/>
          <a:chOff x="0" y="6893921"/>
          <a:chExt cx="8608480" cy="5700852"/>
        </a:xfrm>
      </xdr:grpSpPr>
      <xdr:pic>
        <xdr:nvPicPr>
          <xdr:cNvPr id="43" name="Picture 42">
            <a:extLst>
              <a:ext uri="{FF2B5EF4-FFF2-40B4-BE49-F238E27FC236}">
                <a16:creationId xmlns:a16="http://schemas.microsoft.com/office/drawing/2014/main" id="{00000000-0008-0000-2D00-00002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9929" t="10316" r="32595" b="14948"/>
          <a:stretch/>
        </xdr:blipFill>
        <xdr:spPr bwMode="auto">
          <a:xfrm>
            <a:off x="0" y="6893921"/>
            <a:ext cx="8608480" cy="5700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FFD0C115-2D40-4851-AC94-6E443C7EE9A7}"/>
              </a:ext>
            </a:extLst>
          </xdr:cNvPr>
          <xdr:cNvSpPr/>
        </xdr:nvSpPr>
        <xdr:spPr>
          <a:xfrm rot="16200000">
            <a:off x="2492827" y="11593285"/>
            <a:ext cx="76201" cy="16328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7</a:t>
            </a:r>
            <a:endParaRPr lang="th-TH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FAB1E34D-016D-4683-802E-441E06F2A97A}"/>
              </a:ext>
            </a:extLst>
          </xdr:cNvPr>
          <xdr:cNvSpPr/>
        </xdr:nvSpPr>
        <xdr:spPr>
          <a:xfrm rot="16200000">
            <a:off x="2492828" y="8371114"/>
            <a:ext cx="76201" cy="163286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7</a:t>
            </a:r>
            <a:endParaRPr lang="th-TH" sz="11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E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E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2E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E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03320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E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E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305441</xdr:colOff>
      <xdr:row>24</xdr:row>
      <xdr:rowOff>336818</xdr:rowOff>
    </xdr:from>
    <xdr:to>
      <xdr:col>12</xdr:col>
      <xdr:colOff>185058</xdr:colOff>
      <xdr:row>26</xdr:row>
      <xdr:rowOff>217715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2E00-000012000000}"/>
            </a:ext>
          </a:extLst>
        </xdr:cNvPr>
        <xdr:cNvSpPr/>
      </xdr:nvSpPr>
      <xdr:spPr>
        <a:xfrm>
          <a:off x="9556121" y="10242818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4P 3-1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E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E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E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E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E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E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2E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E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2E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2E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E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2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2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2E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E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E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1175658</xdr:colOff>
      <xdr:row>26</xdr:row>
      <xdr:rowOff>185057</xdr:rowOff>
    </xdr:from>
    <xdr:to>
      <xdr:col>11</xdr:col>
      <xdr:colOff>532478</xdr:colOff>
      <xdr:row>32</xdr:row>
      <xdr:rowOff>381001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E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77" t="28086" r="58721" b="22448"/>
        <a:stretch/>
      </xdr:blipFill>
      <xdr:spPr bwMode="auto">
        <a:xfrm>
          <a:off x="9229998" y="10974977"/>
          <a:ext cx="2549600" cy="2847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2E00-000028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E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2E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2E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2E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21772</xdr:colOff>
      <xdr:row>14</xdr:row>
      <xdr:rowOff>228600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2E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6352" y="571500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2E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2E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2E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348345</xdr:rowOff>
    </xdr:from>
    <xdr:to>
      <xdr:col>7</xdr:col>
      <xdr:colOff>968632</xdr:colOff>
      <xdr:row>32</xdr:row>
      <xdr:rowOff>402778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2E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98974"/>
          <a:ext cx="9024061" cy="5856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217715</xdr:colOff>
      <xdr:row>0</xdr:row>
      <xdr:rowOff>0</xdr:rowOff>
    </xdr:from>
    <xdr:to>
      <xdr:col>19</xdr:col>
      <xdr:colOff>4254</xdr:colOff>
      <xdr:row>4</xdr:row>
      <xdr:rowOff>61355</xdr:rowOff>
    </xdr:to>
    <xdr:sp macro="" textlink="">
      <xdr:nvSpPr>
        <xdr:cNvPr id="51" name="Left Arrow 5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2E00-000033000000}"/>
            </a:ext>
          </a:extLst>
        </xdr:cNvPr>
        <xdr:cNvSpPr/>
      </xdr:nvSpPr>
      <xdr:spPr>
        <a:xfrm>
          <a:off x="17765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F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2F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49435" y="3692434"/>
          <a:ext cx="868679" cy="143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2F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62785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2F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338098</xdr:colOff>
      <xdr:row>22</xdr:row>
      <xdr:rowOff>173531</xdr:rowOff>
    </xdr:from>
    <xdr:to>
      <xdr:col>12</xdr:col>
      <xdr:colOff>217715</xdr:colOff>
      <xdr:row>24</xdr:row>
      <xdr:rowOff>54428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2F00-00000E000000}"/>
            </a:ext>
          </a:extLst>
        </xdr:cNvPr>
        <xdr:cNvSpPr/>
      </xdr:nvSpPr>
      <xdr:spPr>
        <a:xfrm>
          <a:off x="9588778" y="9195611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2-2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2F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2F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2F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2F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2F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2F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2F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2F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2F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2F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2F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2F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2F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2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2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2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2F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2F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54428</xdr:colOff>
      <xdr:row>18</xdr:row>
      <xdr:rowOff>318960</xdr:rowOff>
    </xdr:from>
    <xdr:to>
      <xdr:col>12</xdr:col>
      <xdr:colOff>1676401</xdr:colOff>
      <xdr:row>22</xdr:row>
      <xdr:rowOff>343718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2F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9307285" y="7623274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185057</xdr:colOff>
      <xdr:row>23</xdr:row>
      <xdr:rowOff>370115</xdr:rowOff>
    </xdr:from>
    <xdr:to>
      <xdr:col>11</xdr:col>
      <xdr:colOff>609600</xdr:colOff>
      <xdr:row>29</xdr:row>
      <xdr:rowOff>411390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2F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90" t="17902" r="51536" b="15333"/>
        <a:stretch/>
      </xdr:blipFill>
      <xdr:spPr bwMode="auto">
        <a:xfrm>
          <a:off x="9435737" y="9834155"/>
          <a:ext cx="2420983" cy="2693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250371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2F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3677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2F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2F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2F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10884</xdr:colOff>
      <xdr:row>16</xdr:row>
      <xdr:rowOff>108855</xdr:rowOff>
    </xdr:from>
    <xdr:to>
      <xdr:col>7</xdr:col>
      <xdr:colOff>1022715</xdr:colOff>
      <xdr:row>29</xdr:row>
      <xdr:rowOff>385380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2F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78" t="10211" r="31539" b="13210"/>
        <a:stretch/>
      </xdr:blipFill>
      <xdr:spPr bwMode="auto">
        <a:xfrm>
          <a:off x="10884" y="6520541"/>
          <a:ext cx="9067260" cy="6078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217714</xdr:colOff>
      <xdr:row>0</xdr:row>
      <xdr:rowOff>0</xdr:rowOff>
    </xdr:from>
    <xdr:to>
      <xdr:col>19</xdr:col>
      <xdr:colOff>4253</xdr:colOff>
      <xdr:row>4</xdr:row>
      <xdr:rowOff>61355</xdr:rowOff>
    </xdr:to>
    <xdr:sp macro="" textlink="">
      <xdr:nvSpPr>
        <xdr:cNvPr id="42" name="Left Arrow 4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2F00-00002A000000}"/>
            </a:ext>
          </a:extLst>
        </xdr:cNvPr>
        <xdr:cNvSpPr/>
      </xdr:nvSpPr>
      <xdr:spPr>
        <a:xfrm>
          <a:off x="1776548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404949</xdr:rowOff>
    </xdr:from>
    <xdr:to>
      <xdr:col>2</xdr:col>
      <xdr:colOff>1066800</xdr:colOff>
      <xdr:row>10</xdr:row>
      <xdr:rowOff>102446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9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306328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640</xdr:colOff>
      <xdr:row>24</xdr:row>
      <xdr:rowOff>86446</xdr:rowOff>
    </xdr:from>
    <xdr:to>
      <xdr:col>12</xdr:col>
      <xdr:colOff>320744</xdr:colOff>
      <xdr:row>25</xdr:row>
      <xdr:rowOff>265590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SpPr/>
      </xdr:nvSpPr>
      <xdr:spPr>
        <a:xfrm>
          <a:off x="9914260" y="9992446"/>
          <a:ext cx="2316544" cy="621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5-0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293915</xdr:colOff>
      <xdr:row>17</xdr:row>
      <xdr:rowOff>47112</xdr:rowOff>
    </xdr:from>
    <xdr:to>
      <xdr:col>13</xdr:col>
      <xdr:colOff>885449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64237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3</xdr:col>
      <xdr:colOff>211954</xdr:colOff>
      <xdr:row>16</xdr:row>
      <xdr:rowOff>214451</xdr:rowOff>
    </xdr:from>
    <xdr:to>
      <xdr:col>6</xdr:col>
      <xdr:colOff>903830</xdr:colOff>
      <xdr:row>20</xdr:row>
      <xdr:rowOff>377737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782468" y="6626137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21774</xdr:colOff>
      <xdr:row>25</xdr:row>
      <xdr:rowOff>272143</xdr:rowOff>
    </xdr:from>
    <xdr:to>
      <xdr:col>12</xdr:col>
      <xdr:colOff>500746</xdr:colOff>
      <xdr:row>32</xdr:row>
      <xdr:rowOff>156784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85" t="11514" r="48268" b="10404"/>
        <a:stretch/>
      </xdr:blipFill>
      <xdr:spPr bwMode="auto">
        <a:xfrm>
          <a:off x="9272454" y="10620103"/>
          <a:ext cx="3138352" cy="29783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326570</xdr:colOff>
      <xdr:row>32</xdr:row>
      <xdr:rowOff>103881</xdr:rowOff>
    </xdr:from>
    <xdr:to>
      <xdr:col>16</xdr:col>
      <xdr:colOff>619845</xdr:colOff>
      <xdr:row>32</xdr:row>
      <xdr:rowOff>398436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3000-000026000000}"/>
            </a:ext>
          </a:extLst>
        </xdr:cNvPr>
        <xdr:cNvSpPr/>
      </xdr:nvSpPr>
      <xdr:spPr>
        <a:xfrm>
          <a:off x="15871370" y="13545561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97970</xdr:colOff>
      <xdr:row>28</xdr:row>
      <xdr:rowOff>87085</xdr:rowOff>
    </xdr:from>
    <xdr:to>
      <xdr:col>16</xdr:col>
      <xdr:colOff>620484</xdr:colOff>
      <xdr:row>32</xdr:row>
      <xdr:rowOff>103882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0" y="11760925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09717" y="731955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32657</xdr:colOff>
      <xdr:row>14</xdr:row>
      <xdr:rowOff>239487</xdr:rowOff>
    </xdr:from>
    <xdr:ext cx="1160190" cy="4354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7" y="572588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87082</xdr:rowOff>
    </xdr:from>
    <xdr:to>
      <xdr:col>7</xdr:col>
      <xdr:colOff>1164195</xdr:colOff>
      <xdr:row>32</xdr:row>
      <xdr:rowOff>399508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0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0" t="8210" r="28635" b="16632"/>
        <a:stretch/>
      </xdr:blipFill>
      <xdr:spPr bwMode="auto">
        <a:xfrm>
          <a:off x="0" y="7837711"/>
          <a:ext cx="9219624" cy="611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217715</xdr:colOff>
      <xdr:row>0</xdr:row>
      <xdr:rowOff>0</xdr:rowOff>
    </xdr:from>
    <xdr:to>
      <xdr:col>19</xdr:col>
      <xdr:colOff>4254</xdr:colOff>
      <xdr:row>4</xdr:row>
      <xdr:rowOff>61355</xdr:rowOff>
    </xdr:to>
    <xdr:sp macro="" textlink="">
      <xdr:nvSpPr>
        <xdr:cNvPr id="49" name="Left Arrow 48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3000-000031000000}"/>
            </a:ext>
          </a:extLst>
        </xdr:cNvPr>
        <xdr:cNvSpPr/>
      </xdr:nvSpPr>
      <xdr:spPr>
        <a:xfrm>
          <a:off x="17765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22416</xdr:colOff>
      <xdr:row>23</xdr:row>
      <xdr:rowOff>445674</xdr:rowOff>
    </xdr:from>
    <xdr:to>
      <xdr:col>12</xdr:col>
      <xdr:colOff>566062</xdr:colOff>
      <xdr:row>25</xdr:row>
      <xdr:rowOff>326572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SpPr/>
      </xdr:nvSpPr>
      <xdr:spPr>
        <a:xfrm>
          <a:off x="9936036" y="9909714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4-1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1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1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1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32657</xdr:colOff>
      <xdr:row>17</xdr:row>
      <xdr:rowOff>76200</xdr:rowOff>
    </xdr:from>
    <xdr:to>
      <xdr:col>11</xdr:col>
      <xdr:colOff>0</xdr:colOff>
      <xdr:row>21</xdr:row>
      <xdr:rowOff>209435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1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086997" y="6888480"/>
          <a:ext cx="3160123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446319</xdr:colOff>
      <xdr:row>17</xdr:row>
      <xdr:rowOff>32657</xdr:rowOff>
    </xdr:from>
    <xdr:to>
      <xdr:col>6</xdr:col>
      <xdr:colOff>914401</xdr:colOff>
      <xdr:row>22</xdr:row>
      <xdr:rowOff>71702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1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797633" y="6890657"/>
          <a:ext cx="4212768" cy="22706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1186549</xdr:colOff>
      <xdr:row>25</xdr:row>
      <xdr:rowOff>239487</xdr:rowOff>
    </xdr:from>
    <xdr:to>
      <xdr:col>12</xdr:col>
      <xdr:colOff>674915</xdr:colOff>
      <xdr:row>32</xdr:row>
      <xdr:rowOff>329463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1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05" t="1263" r="54920" b="20648"/>
        <a:stretch/>
      </xdr:blipFill>
      <xdr:spPr bwMode="auto">
        <a:xfrm>
          <a:off x="9240889" y="10587447"/>
          <a:ext cx="3344086" cy="3183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326570</xdr:colOff>
      <xdr:row>32</xdr:row>
      <xdr:rowOff>103883</xdr:rowOff>
    </xdr:from>
    <xdr:to>
      <xdr:col>16</xdr:col>
      <xdr:colOff>619845</xdr:colOff>
      <xdr:row>32</xdr:row>
      <xdr:rowOff>398438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3100-000028000000}"/>
            </a:ext>
          </a:extLst>
        </xdr:cNvPr>
        <xdr:cNvSpPr/>
      </xdr:nvSpPr>
      <xdr:spPr>
        <a:xfrm>
          <a:off x="15871370" y="13545563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97970</xdr:colOff>
      <xdr:row>28</xdr:row>
      <xdr:rowOff>87087</xdr:rowOff>
    </xdr:from>
    <xdr:to>
      <xdr:col>16</xdr:col>
      <xdr:colOff>620484</xdr:colOff>
      <xdr:row>32</xdr:row>
      <xdr:rowOff>103884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1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0" y="11760927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1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32657</xdr:colOff>
      <xdr:row>15</xdr:row>
      <xdr:rowOff>250373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1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7" y="617873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1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1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395152</xdr:rowOff>
    </xdr:from>
    <xdr:to>
      <xdr:col>7</xdr:col>
      <xdr:colOff>990693</xdr:colOff>
      <xdr:row>32</xdr:row>
      <xdr:rowOff>413658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1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45781"/>
          <a:ext cx="9046122" cy="582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206828</xdr:colOff>
      <xdr:row>0</xdr:row>
      <xdr:rowOff>0</xdr:rowOff>
    </xdr:from>
    <xdr:to>
      <xdr:col>18</xdr:col>
      <xdr:colOff>722710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100-000032000000}"/>
            </a:ext>
          </a:extLst>
        </xdr:cNvPr>
        <xdr:cNvSpPr/>
      </xdr:nvSpPr>
      <xdr:spPr>
        <a:xfrm>
          <a:off x="17754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6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5P 3-2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2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2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2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2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2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2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2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2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2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2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2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65315</xdr:colOff>
      <xdr:row>25</xdr:row>
      <xdr:rowOff>239486</xdr:rowOff>
    </xdr:from>
    <xdr:to>
      <xdr:col>12</xdr:col>
      <xdr:colOff>805543</xdr:colOff>
      <xdr:row>32</xdr:row>
      <xdr:rowOff>356981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2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86" t="26238" r="52436" b="24433"/>
        <a:stretch/>
      </xdr:blipFill>
      <xdr:spPr bwMode="auto">
        <a:xfrm>
          <a:off x="9315995" y="10587446"/>
          <a:ext cx="3399608" cy="3211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2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3200-000028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2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2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2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239489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2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67849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2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2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2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370116</xdr:rowOff>
    </xdr:from>
    <xdr:to>
      <xdr:col>7</xdr:col>
      <xdr:colOff>990693</xdr:colOff>
      <xdr:row>32</xdr:row>
      <xdr:rowOff>388622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3200-00003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20745"/>
          <a:ext cx="9046122" cy="582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1" name="Left Arrow 5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200-000033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9544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131264</xdr:colOff>
      <xdr:row>21</xdr:row>
      <xdr:rowOff>86446</xdr:rowOff>
    </xdr:from>
    <xdr:to>
      <xdr:col>12</xdr:col>
      <xdr:colOff>1861565</xdr:colOff>
      <xdr:row>22</xdr:row>
      <xdr:rowOff>336818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/>
      </xdr:nvSpPr>
      <xdr:spPr>
        <a:xfrm>
          <a:off x="11378384" y="8666566"/>
          <a:ext cx="2393241" cy="6923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6บาน 6-0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3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3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3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8" name="รูปภาพ 226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3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685802</xdr:colOff>
      <xdr:row>18</xdr:row>
      <xdr:rowOff>435437</xdr:rowOff>
    </xdr:from>
    <xdr:to>
      <xdr:col>11</xdr:col>
      <xdr:colOff>489860</xdr:colOff>
      <xdr:row>23</xdr:row>
      <xdr:rowOff>23466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3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741231" y="7739751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609594</xdr:colOff>
      <xdr:row>22</xdr:row>
      <xdr:rowOff>337458</xdr:rowOff>
    </xdr:from>
    <xdr:to>
      <xdr:col>12</xdr:col>
      <xdr:colOff>2130873</xdr:colOff>
      <xdr:row>29</xdr:row>
      <xdr:rowOff>304152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3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09" t="19283" r="49863" b="2117"/>
        <a:stretch/>
      </xdr:blipFill>
      <xdr:spPr bwMode="auto">
        <a:xfrm>
          <a:off x="10523214" y="9359538"/>
          <a:ext cx="3727269" cy="3060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337457</xdr:colOff>
      <xdr:row>29</xdr:row>
      <xdr:rowOff>114765</xdr:rowOff>
    </xdr:from>
    <xdr:to>
      <xdr:col>16</xdr:col>
      <xdr:colOff>630732</xdr:colOff>
      <xdr:row>29</xdr:row>
      <xdr:rowOff>409320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3300-000024000000}"/>
            </a:ext>
          </a:extLst>
        </xdr:cNvPr>
        <xdr:cNvSpPr/>
      </xdr:nvSpPr>
      <xdr:spPr>
        <a:xfrm>
          <a:off x="15882257" y="12230565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108857</xdr:colOff>
      <xdr:row>25</xdr:row>
      <xdr:rowOff>97969</xdr:rowOff>
    </xdr:from>
    <xdr:to>
      <xdr:col>16</xdr:col>
      <xdr:colOff>583746</xdr:colOff>
      <xdr:row>29</xdr:row>
      <xdr:rowOff>114766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3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53657" y="10445929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250372</xdr:rowOff>
    </xdr:from>
    <xdr:ext cx="1160190" cy="4354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3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78732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3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3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3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10884</xdr:colOff>
      <xdr:row>17</xdr:row>
      <xdr:rowOff>43540</xdr:rowOff>
    </xdr:from>
    <xdr:to>
      <xdr:col>7</xdr:col>
      <xdr:colOff>563935</xdr:colOff>
      <xdr:row>29</xdr:row>
      <xdr:rowOff>388621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3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29" t="10316" r="32595" b="14948"/>
        <a:stretch/>
      </xdr:blipFill>
      <xdr:spPr bwMode="auto">
        <a:xfrm>
          <a:off x="10884" y="6901540"/>
          <a:ext cx="8608480" cy="5700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206834</xdr:colOff>
      <xdr:row>0</xdr:row>
      <xdr:rowOff>0</xdr:rowOff>
    </xdr:from>
    <xdr:to>
      <xdr:col>18</xdr:col>
      <xdr:colOff>722716</xdr:colOff>
      <xdr:row>4</xdr:row>
      <xdr:rowOff>61355</xdr:rowOff>
    </xdr:to>
    <xdr:sp macro="" textlink="">
      <xdr:nvSpPr>
        <xdr:cNvPr id="43" name="Left Arrow 4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300-00002B000000}"/>
            </a:ext>
          </a:extLst>
        </xdr:cNvPr>
        <xdr:cNvSpPr/>
      </xdr:nvSpPr>
      <xdr:spPr>
        <a:xfrm>
          <a:off x="1775460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4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4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4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4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4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62785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4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348981</xdr:colOff>
      <xdr:row>25</xdr:row>
      <xdr:rowOff>10247</xdr:rowOff>
    </xdr:from>
    <xdr:to>
      <xdr:col>12</xdr:col>
      <xdr:colOff>653141</xdr:colOff>
      <xdr:row>26</xdr:row>
      <xdr:rowOff>152400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400-000012000000}"/>
            </a:ext>
          </a:extLst>
        </xdr:cNvPr>
        <xdr:cNvSpPr/>
      </xdr:nvSpPr>
      <xdr:spPr>
        <a:xfrm>
          <a:off x="10262601" y="10358207"/>
          <a:ext cx="2300600" cy="5841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6บาน 5-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4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4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4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4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653142</xdr:colOff>
      <xdr:row>16</xdr:row>
      <xdr:rowOff>57690</xdr:rowOff>
    </xdr:from>
    <xdr:to>
      <xdr:col>6</xdr:col>
      <xdr:colOff>1164769</xdr:colOff>
      <xdr:row>21</xdr:row>
      <xdr:rowOff>437287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4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007722" y="6428010"/>
          <a:ext cx="4253047" cy="2589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1447796</xdr:colOff>
      <xdr:row>16</xdr:row>
      <xdr:rowOff>163285</xdr:rowOff>
    </xdr:from>
    <xdr:to>
      <xdr:col>10</xdr:col>
      <xdr:colOff>76195</xdr:colOff>
      <xdr:row>21</xdr:row>
      <xdr:rowOff>279890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4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543796" y="6533605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185057</xdr:colOff>
      <xdr:row>26</xdr:row>
      <xdr:rowOff>108858</xdr:rowOff>
    </xdr:from>
    <xdr:to>
      <xdr:col>12</xdr:col>
      <xdr:colOff>1012372</xdr:colOff>
      <xdr:row>32</xdr:row>
      <xdr:rowOff>335137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4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27" t="7886" r="50997" b="14488"/>
        <a:stretch/>
      </xdr:blipFill>
      <xdr:spPr bwMode="auto">
        <a:xfrm>
          <a:off x="9437914" y="10983687"/>
          <a:ext cx="3494315" cy="2904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326572</xdr:colOff>
      <xdr:row>32</xdr:row>
      <xdr:rowOff>92998</xdr:rowOff>
    </xdr:from>
    <xdr:to>
      <xdr:col>16</xdr:col>
      <xdr:colOff>619847</xdr:colOff>
      <xdr:row>32</xdr:row>
      <xdr:rowOff>387553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3400-000028000000}"/>
            </a:ext>
          </a:extLst>
        </xdr:cNvPr>
        <xdr:cNvSpPr/>
      </xdr:nvSpPr>
      <xdr:spPr>
        <a:xfrm>
          <a:off x="15871372" y="1353467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97972</xdr:colOff>
      <xdr:row>28</xdr:row>
      <xdr:rowOff>76202</xdr:rowOff>
    </xdr:from>
    <xdr:to>
      <xdr:col>16</xdr:col>
      <xdr:colOff>620486</xdr:colOff>
      <xdr:row>32</xdr:row>
      <xdr:rowOff>92999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4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2" y="1175004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4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4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4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0412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4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4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4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329829</xdr:rowOff>
    </xdr:from>
    <xdr:to>
      <xdr:col>7</xdr:col>
      <xdr:colOff>968632</xdr:colOff>
      <xdr:row>32</xdr:row>
      <xdr:rowOff>384262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4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80458"/>
          <a:ext cx="9024061" cy="5856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206828</xdr:colOff>
      <xdr:row>0</xdr:row>
      <xdr:rowOff>0</xdr:rowOff>
    </xdr:from>
    <xdr:to>
      <xdr:col>18</xdr:col>
      <xdr:colOff>722710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400-000032000000}"/>
            </a:ext>
          </a:extLst>
        </xdr:cNvPr>
        <xdr:cNvSpPr/>
      </xdr:nvSpPr>
      <xdr:spPr>
        <a:xfrm>
          <a:off x="17754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5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5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5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03320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338098</xdr:colOff>
      <xdr:row>22</xdr:row>
      <xdr:rowOff>173531</xdr:rowOff>
    </xdr:from>
    <xdr:to>
      <xdr:col>12</xdr:col>
      <xdr:colOff>217715</xdr:colOff>
      <xdr:row>24</xdr:row>
      <xdr:rowOff>54428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3500-00000E000000}"/>
            </a:ext>
          </a:extLst>
        </xdr:cNvPr>
        <xdr:cNvSpPr/>
      </xdr:nvSpPr>
      <xdr:spPr>
        <a:xfrm>
          <a:off x="9588778" y="9195611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6P 4-2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5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5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5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5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5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5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5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5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5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35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5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35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3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35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5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174170</xdr:colOff>
      <xdr:row>18</xdr:row>
      <xdr:rowOff>79474</xdr:rowOff>
    </xdr:from>
    <xdr:to>
      <xdr:col>13</xdr:col>
      <xdr:colOff>685800</xdr:colOff>
      <xdr:row>22</xdr:row>
      <xdr:rowOff>104232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5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55084" y="7383788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250373</xdr:colOff>
      <xdr:row>24</xdr:row>
      <xdr:rowOff>3583</xdr:rowOff>
    </xdr:from>
    <xdr:to>
      <xdr:col>12</xdr:col>
      <xdr:colOff>729343</xdr:colOff>
      <xdr:row>29</xdr:row>
      <xdr:rowOff>413564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5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19" t="27591" r="54283" b="30497"/>
        <a:stretch/>
      </xdr:blipFill>
      <xdr:spPr bwMode="auto">
        <a:xfrm>
          <a:off x="9501053" y="9909583"/>
          <a:ext cx="3138350" cy="26197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228599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5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14999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5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5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5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362493</xdr:rowOff>
    </xdr:from>
    <xdr:to>
      <xdr:col>7</xdr:col>
      <xdr:colOff>990693</xdr:colOff>
      <xdr:row>29</xdr:row>
      <xdr:rowOff>388619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5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6774179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1741715</xdr:colOff>
      <xdr:row>16</xdr:row>
      <xdr:rowOff>32657</xdr:rowOff>
    </xdr:from>
    <xdr:to>
      <xdr:col>10</xdr:col>
      <xdr:colOff>402265</xdr:colOff>
      <xdr:row>20</xdr:row>
      <xdr:rowOff>152399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5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5" y="6444343"/>
          <a:ext cx="3145464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206827</xdr:colOff>
      <xdr:row>0</xdr:row>
      <xdr:rowOff>0</xdr:rowOff>
    </xdr:from>
    <xdr:to>
      <xdr:col>18</xdr:col>
      <xdr:colOff>722709</xdr:colOff>
      <xdr:row>4</xdr:row>
      <xdr:rowOff>61355</xdr:rowOff>
    </xdr:to>
    <xdr:sp macro="" textlink="">
      <xdr:nvSpPr>
        <xdr:cNvPr id="45" name="Left Arrow 4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500-00002D000000}"/>
            </a:ext>
          </a:extLst>
        </xdr:cNvPr>
        <xdr:cNvSpPr/>
      </xdr:nvSpPr>
      <xdr:spPr>
        <a:xfrm>
          <a:off x="17754598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62785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6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305441</xdr:colOff>
      <xdr:row>24</xdr:row>
      <xdr:rowOff>336818</xdr:rowOff>
    </xdr:from>
    <xdr:to>
      <xdr:col>12</xdr:col>
      <xdr:colOff>185058</xdr:colOff>
      <xdr:row>26</xdr:row>
      <xdr:rowOff>217715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600-000012000000}"/>
            </a:ext>
          </a:extLst>
        </xdr:cNvPr>
        <xdr:cNvSpPr/>
      </xdr:nvSpPr>
      <xdr:spPr>
        <a:xfrm>
          <a:off x="9556121" y="10242818"/>
          <a:ext cx="2538997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6P 3-3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6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6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6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6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6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6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6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6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6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6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3600-000027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6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6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6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8</xdr:col>
      <xdr:colOff>10885</xdr:colOff>
      <xdr:row>26</xdr:row>
      <xdr:rowOff>228600</xdr:rowOff>
    </xdr:from>
    <xdr:to>
      <xdr:col>12</xdr:col>
      <xdr:colOff>724880</xdr:colOff>
      <xdr:row>32</xdr:row>
      <xdr:rowOff>391886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6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9" t="31382" r="51550" b="26495"/>
        <a:stretch/>
      </xdr:blipFill>
      <xdr:spPr bwMode="auto">
        <a:xfrm>
          <a:off x="9261565" y="11018520"/>
          <a:ext cx="3373375" cy="2815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239488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6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25888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6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6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6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329833</xdr:rowOff>
    </xdr:from>
    <xdr:to>
      <xdr:col>7</xdr:col>
      <xdr:colOff>968632</xdr:colOff>
      <xdr:row>32</xdr:row>
      <xdr:rowOff>391886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6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80462"/>
          <a:ext cx="9024061" cy="5864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217715</xdr:colOff>
      <xdr:row>0</xdr:row>
      <xdr:rowOff>0</xdr:rowOff>
    </xdr:from>
    <xdr:to>
      <xdr:col>19</xdr:col>
      <xdr:colOff>4254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600-000032000000}"/>
            </a:ext>
          </a:extLst>
        </xdr:cNvPr>
        <xdr:cNvSpPr/>
      </xdr:nvSpPr>
      <xdr:spPr>
        <a:xfrm>
          <a:off x="17765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437605</xdr:rowOff>
    </xdr:from>
    <xdr:to>
      <xdr:col>2</xdr:col>
      <xdr:colOff>1066800</xdr:colOff>
      <xdr:row>10</xdr:row>
      <xdr:rowOff>135102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14205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238555</xdr:rowOff>
    </xdr:from>
    <xdr:to>
      <xdr:col>2</xdr:col>
      <xdr:colOff>967740</xdr:colOff>
      <xdr:row>12</xdr:row>
      <xdr:rowOff>191464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7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261897</xdr:colOff>
      <xdr:row>24</xdr:row>
      <xdr:rowOff>369474</xdr:rowOff>
    </xdr:from>
    <xdr:to>
      <xdr:col>12</xdr:col>
      <xdr:colOff>381001</xdr:colOff>
      <xdr:row>26</xdr:row>
      <xdr:rowOff>250371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700-000012000000}"/>
            </a:ext>
          </a:extLst>
        </xdr:cNvPr>
        <xdr:cNvSpPr/>
      </xdr:nvSpPr>
      <xdr:spPr>
        <a:xfrm>
          <a:off x="10175517" y="10275474"/>
          <a:ext cx="2115544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7บาน 7-0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7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7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7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7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28957</xdr:rowOff>
    </xdr:from>
    <xdr:to>
      <xdr:col>13</xdr:col>
      <xdr:colOff>834688</xdr:colOff>
      <xdr:row>23</xdr:row>
      <xdr:rowOff>435428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7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44024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7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16934</xdr:rowOff>
    </xdr:from>
    <xdr:to>
      <xdr:col>13</xdr:col>
      <xdr:colOff>751114</xdr:colOff>
      <xdr:row>21</xdr:row>
      <xdr:rowOff>445450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7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97054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7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7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7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7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7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1115468</xdr:colOff>
      <xdr:row>16</xdr:row>
      <xdr:rowOff>225338</xdr:rowOff>
    </xdr:from>
    <xdr:to>
      <xdr:col>6</xdr:col>
      <xdr:colOff>588144</xdr:colOff>
      <xdr:row>20</xdr:row>
      <xdr:rowOff>388624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7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470048" y="6595658"/>
          <a:ext cx="3214096" cy="1931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32658</xdr:colOff>
      <xdr:row>26</xdr:row>
      <xdr:rowOff>272142</xdr:rowOff>
    </xdr:from>
    <xdr:to>
      <xdr:col>12</xdr:col>
      <xdr:colOff>1037741</xdr:colOff>
      <xdr:row>32</xdr:row>
      <xdr:rowOff>324011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7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2" t="33631" r="57114" b="17483"/>
        <a:stretch/>
      </xdr:blipFill>
      <xdr:spPr bwMode="auto">
        <a:xfrm>
          <a:off x="9283338" y="11062062"/>
          <a:ext cx="3664463" cy="270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103880</xdr:rowOff>
    </xdr:from>
    <xdr:to>
      <xdr:col>16</xdr:col>
      <xdr:colOff>619846</xdr:colOff>
      <xdr:row>32</xdr:row>
      <xdr:rowOff>398435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3700-000026000000}"/>
            </a:ext>
          </a:extLst>
        </xdr:cNvPr>
        <xdr:cNvSpPr/>
      </xdr:nvSpPr>
      <xdr:spPr>
        <a:xfrm>
          <a:off x="15871371" y="13545560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87084</xdr:rowOff>
    </xdr:from>
    <xdr:to>
      <xdr:col>16</xdr:col>
      <xdr:colOff>620485</xdr:colOff>
      <xdr:row>32</xdr:row>
      <xdr:rowOff>103881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7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60924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09717" y="731955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7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14</xdr:row>
      <xdr:rowOff>228606</xdr:rowOff>
    </xdr:from>
    <xdr:ext cx="1160190" cy="4354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7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6352" y="571500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7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7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7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65321</xdr:rowOff>
    </xdr:from>
    <xdr:to>
      <xdr:col>7</xdr:col>
      <xdr:colOff>1164195</xdr:colOff>
      <xdr:row>32</xdr:row>
      <xdr:rowOff>377747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7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0" t="8210" r="28635" b="16632"/>
        <a:stretch/>
      </xdr:blipFill>
      <xdr:spPr bwMode="auto">
        <a:xfrm>
          <a:off x="0" y="7815950"/>
          <a:ext cx="9219624" cy="611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206829</xdr:colOff>
      <xdr:row>0</xdr:row>
      <xdr:rowOff>0</xdr:rowOff>
    </xdr:from>
    <xdr:to>
      <xdr:col>18</xdr:col>
      <xdr:colOff>722711</xdr:colOff>
      <xdr:row>4</xdr:row>
      <xdr:rowOff>61355</xdr:rowOff>
    </xdr:to>
    <xdr:sp macro="" textlink="">
      <xdr:nvSpPr>
        <xdr:cNvPr id="48" name="Left Arrow 4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3700-000030000000}"/>
            </a:ext>
          </a:extLst>
        </xdr:cNvPr>
        <xdr:cNvSpPr/>
      </xdr:nvSpPr>
      <xdr:spPr>
        <a:xfrm>
          <a:off x="1775460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8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9544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8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534039</xdr:colOff>
      <xdr:row>23</xdr:row>
      <xdr:rowOff>413022</xdr:rowOff>
    </xdr:from>
    <xdr:to>
      <xdr:col>12</xdr:col>
      <xdr:colOff>1077685</xdr:colOff>
      <xdr:row>25</xdr:row>
      <xdr:rowOff>293920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800-000012000000}"/>
            </a:ext>
          </a:extLst>
        </xdr:cNvPr>
        <xdr:cNvSpPr/>
      </xdr:nvSpPr>
      <xdr:spPr>
        <a:xfrm>
          <a:off x="10447659" y="9877062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6-1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8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8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8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8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8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8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8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8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8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8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8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1861458</xdr:colOff>
      <xdr:row>17</xdr:row>
      <xdr:rowOff>132622</xdr:rowOff>
    </xdr:from>
    <xdr:to>
      <xdr:col>10</xdr:col>
      <xdr:colOff>576945</xdr:colOff>
      <xdr:row>21</xdr:row>
      <xdr:rowOff>285636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8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57458" y="6944902"/>
          <a:ext cx="3196047" cy="1920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674915</xdr:colOff>
      <xdr:row>17</xdr:row>
      <xdr:rowOff>21771</xdr:rowOff>
    </xdr:from>
    <xdr:to>
      <xdr:col>6</xdr:col>
      <xdr:colOff>1817915</xdr:colOff>
      <xdr:row>21</xdr:row>
      <xdr:rowOff>431340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8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079" t="31055" r="28906" b="17837"/>
        <a:stretch/>
      </xdr:blipFill>
      <xdr:spPr bwMode="auto">
        <a:xfrm>
          <a:off x="3029495" y="6834051"/>
          <a:ext cx="4884420" cy="21774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87086</xdr:colOff>
      <xdr:row>25</xdr:row>
      <xdr:rowOff>261263</xdr:rowOff>
    </xdr:from>
    <xdr:to>
      <xdr:col>12</xdr:col>
      <xdr:colOff>1665514</xdr:colOff>
      <xdr:row>32</xdr:row>
      <xdr:rowOff>304498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8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4" t="44227" r="52883" b="5889"/>
        <a:stretch/>
      </xdr:blipFill>
      <xdr:spPr bwMode="auto">
        <a:xfrm>
          <a:off x="9337766" y="10609223"/>
          <a:ext cx="4237808" cy="3136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315687</xdr:colOff>
      <xdr:row>32</xdr:row>
      <xdr:rowOff>92997</xdr:rowOff>
    </xdr:from>
    <xdr:to>
      <xdr:col>16</xdr:col>
      <xdr:colOff>608962</xdr:colOff>
      <xdr:row>32</xdr:row>
      <xdr:rowOff>387552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3800-000028000000}"/>
            </a:ext>
          </a:extLst>
        </xdr:cNvPr>
        <xdr:cNvSpPr/>
      </xdr:nvSpPr>
      <xdr:spPr>
        <a:xfrm>
          <a:off x="15860487" y="13534677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87087</xdr:colOff>
      <xdr:row>28</xdr:row>
      <xdr:rowOff>76201</xdr:rowOff>
    </xdr:from>
    <xdr:to>
      <xdr:col>16</xdr:col>
      <xdr:colOff>609601</xdr:colOff>
      <xdr:row>32</xdr:row>
      <xdr:rowOff>92998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8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7" y="11750041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8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8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228603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8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56963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8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8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8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380999</xdr:rowOff>
    </xdr:from>
    <xdr:to>
      <xdr:col>7</xdr:col>
      <xdr:colOff>990693</xdr:colOff>
      <xdr:row>32</xdr:row>
      <xdr:rowOff>399505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8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31628"/>
          <a:ext cx="9046122" cy="582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206829</xdr:colOff>
      <xdr:row>0</xdr:row>
      <xdr:rowOff>0</xdr:rowOff>
    </xdr:from>
    <xdr:to>
      <xdr:col>18</xdr:col>
      <xdr:colOff>722711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800-000032000000}"/>
            </a:ext>
          </a:extLst>
        </xdr:cNvPr>
        <xdr:cNvSpPr/>
      </xdr:nvSpPr>
      <xdr:spPr>
        <a:xfrm>
          <a:off x="1775460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9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9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9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426719</xdr:rowOff>
    </xdr:from>
    <xdr:to>
      <xdr:col>2</xdr:col>
      <xdr:colOff>1066800</xdr:colOff>
      <xdr:row>10</xdr:row>
      <xdr:rowOff>124216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9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03319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9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9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900-000012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5-2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9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9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9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9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9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9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9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9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9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9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9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9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9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9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9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3900-000027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9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9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9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979714</xdr:colOff>
      <xdr:row>25</xdr:row>
      <xdr:rowOff>195943</xdr:rowOff>
    </xdr:from>
    <xdr:to>
      <xdr:col>12</xdr:col>
      <xdr:colOff>1709057</xdr:colOff>
      <xdr:row>32</xdr:row>
      <xdr:rowOff>392412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9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60" t="24214" r="42677" b="9303"/>
        <a:stretch/>
      </xdr:blipFill>
      <xdr:spPr bwMode="auto">
        <a:xfrm>
          <a:off x="9034054" y="10543903"/>
          <a:ext cx="4585063" cy="3290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239490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9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6785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9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9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9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381004</xdr:rowOff>
    </xdr:from>
    <xdr:to>
      <xdr:col>7</xdr:col>
      <xdr:colOff>990693</xdr:colOff>
      <xdr:row>32</xdr:row>
      <xdr:rowOff>399510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9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31633"/>
          <a:ext cx="9046122" cy="582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217714</xdr:colOff>
      <xdr:row>0</xdr:row>
      <xdr:rowOff>0</xdr:rowOff>
    </xdr:from>
    <xdr:to>
      <xdr:col>19</xdr:col>
      <xdr:colOff>4253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900-000032000000}"/>
            </a:ext>
          </a:extLst>
        </xdr:cNvPr>
        <xdr:cNvSpPr/>
      </xdr:nvSpPr>
      <xdr:spPr>
        <a:xfrm>
          <a:off x="1776548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A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A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A00-000012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7P 4-3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A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A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A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A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A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A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A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A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A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A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A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1534886</xdr:colOff>
      <xdr:row>17</xdr:row>
      <xdr:rowOff>195943</xdr:rowOff>
    </xdr:from>
    <xdr:to>
      <xdr:col>10</xdr:col>
      <xdr:colOff>217715</xdr:colOff>
      <xdr:row>21</xdr:row>
      <xdr:rowOff>329178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A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30886" y="70082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3A00-000026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A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A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A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1045029</xdr:colOff>
      <xdr:row>25</xdr:row>
      <xdr:rowOff>272143</xdr:rowOff>
    </xdr:from>
    <xdr:to>
      <xdr:col>12</xdr:col>
      <xdr:colOff>1602568</xdr:colOff>
      <xdr:row>32</xdr:row>
      <xdr:rowOff>402772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A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39" t="31223" r="47728" b="26721"/>
        <a:stretch/>
      </xdr:blipFill>
      <xdr:spPr bwMode="auto">
        <a:xfrm>
          <a:off x="9099369" y="10620103"/>
          <a:ext cx="4413259" cy="3224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489856</xdr:colOff>
      <xdr:row>17</xdr:row>
      <xdr:rowOff>38523</xdr:rowOff>
    </xdr:from>
    <xdr:to>
      <xdr:col>6</xdr:col>
      <xdr:colOff>947057</xdr:colOff>
      <xdr:row>22</xdr:row>
      <xdr:rowOff>71703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A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844436" y="6850803"/>
          <a:ext cx="4198621" cy="2242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228606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A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5696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A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A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A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373375</xdr:rowOff>
    </xdr:from>
    <xdr:to>
      <xdr:col>7</xdr:col>
      <xdr:colOff>990693</xdr:colOff>
      <xdr:row>32</xdr:row>
      <xdr:rowOff>399501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A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24004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217714</xdr:colOff>
      <xdr:row>0</xdr:row>
      <xdr:rowOff>0</xdr:rowOff>
    </xdr:from>
    <xdr:to>
      <xdr:col>19</xdr:col>
      <xdr:colOff>4253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A00-000032000000}"/>
            </a:ext>
          </a:extLst>
        </xdr:cNvPr>
        <xdr:cNvSpPr/>
      </xdr:nvSpPr>
      <xdr:spPr>
        <a:xfrm>
          <a:off x="17765485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140007</xdr:colOff>
      <xdr:row>21</xdr:row>
      <xdr:rowOff>297415</xdr:rowOff>
    </xdr:from>
    <xdr:to>
      <xdr:col>12</xdr:col>
      <xdr:colOff>2018303</xdr:colOff>
      <xdr:row>23</xdr:row>
      <xdr:rowOff>172025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3B00-00000E000000}"/>
            </a:ext>
          </a:extLst>
        </xdr:cNvPr>
        <xdr:cNvSpPr/>
      </xdr:nvSpPr>
      <xdr:spPr>
        <a:xfrm>
          <a:off x="11387127" y="8877535"/>
          <a:ext cx="2541236" cy="75853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8บาน 8-0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B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B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B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B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B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B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B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B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B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3B00-00001A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B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8" name="รูปภาพ 226">
          <a:extLst>
            <a:ext uri="{FF2B5EF4-FFF2-40B4-BE49-F238E27FC236}">
              <a16:creationId xmlns:a16="http://schemas.microsoft.com/office/drawing/2014/main" id="{00000000-0008-0000-3B00-00001C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3B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B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7</xdr:col>
      <xdr:colOff>620486</xdr:colOff>
      <xdr:row>19</xdr:row>
      <xdr:rowOff>0</xdr:rowOff>
    </xdr:from>
    <xdr:to>
      <xdr:col>11</xdr:col>
      <xdr:colOff>424544</xdr:colOff>
      <xdr:row>23</xdr:row>
      <xdr:rowOff>34344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B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675915" y="7750629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446314</xdr:colOff>
      <xdr:row>23</xdr:row>
      <xdr:rowOff>283027</xdr:rowOff>
    </xdr:from>
    <xdr:to>
      <xdr:col>13</xdr:col>
      <xdr:colOff>31743</xdr:colOff>
      <xdr:row>29</xdr:row>
      <xdr:rowOff>304799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B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97" t="26376" r="45257" b="23801"/>
        <a:stretch/>
      </xdr:blipFill>
      <xdr:spPr bwMode="auto">
        <a:xfrm>
          <a:off x="10359934" y="9747067"/>
          <a:ext cx="4020269" cy="2673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315687</xdr:colOff>
      <xdr:row>29</xdr:row>
      <xdr:rowOff>103881</xdr:rowOff>
    </xdr:from>
    <xdr:to>
      <xdr:col>16</xdr:col>
      <xdr:colOff>608962</xdr:colOff>
      <xdr:row>29</xdr:row>
      <xdr:rowOff>398436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3B00-000024000000}"/>
            </a:ext>
          </a:extLst>
        </xdr:cNvPr>
        <xdr:cNvSpPr/>
      </xdr:nvSpPr>
      <xdr:spPr>
        <a:xfrm>
          <a:off x="15860487" y="12219681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87087</xdr:colOff>
      <xdr:row>25</xdr:row>
      <xdr:rowOff>87085</xdr:rowOff>
    </xdr:from>
    <xdr:to>
      <xdr:col>16</xdr:col>
      <xdr:colOff>609601</xdr:colOff>
      <xdr:row>29</xdr:row>
      <xdr:rowOff>103882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B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7" y="10435045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217718</xdr:rowOff>
    </xdr:from>
    <xdr:ext cx="1160190" cy="4354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B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46078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B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B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B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54426</xdr:rowOff>
    </xdr:from>
    <xdr:to>
      <xdr:col>7</xdr:col>
      <xdr:colOff>553051</xdr:colOff>
      <xdr:row>29</xdr:row>
      <xdr:rowOff>399507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B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29" t="10316" r="32595" b="14948"/>
        <a:stretch/>
      </xdr:blipFill>
      <xdr:spPr bwMode="auto">
        <a:xfrm>
          <a:off x="0" y="6912426"/>
          <a:ext cx="8608480" cy="5700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43" name="Left Arrow 4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B00-00002B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C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383177</xdr:rowOff>
    </xdr:from>
    <xdr:to>
      <xdr:col>2</xdr:col>
      <xdr:colOff>1066800</xdr:colOff>
      <xdr:row>10</xdr:row>
      <xdr:rowOff>80674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59777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306328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C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436068</xdr:colOff>
      <xdr:row>24</xdr:row>
      <xdr:rowOff>423904</xdr:rowOff>
    </xdr:from>
    <xdr:to>
      <xdr:col>12</xdr:col>
      <xdr:colOff>979714</xdr:colOff>
      <xdr:row>26</xdr:row>
      <xdr:rowOff>304801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C00-000012000000}"/>
            </a:ext>
          </a:extLst>
        </xdr:cNvPr>
        <xdr:cNvSpPr/>
      </xdr:nvSpPr>
      <xdr:spPr>
        <a:xfrm>
          <a:off x="10349688" y="10329904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8บาน 7-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C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C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C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C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C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C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C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C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C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C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C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C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729337</xdr:colOff>
      <xdr:row>16</xdr:row>
      <xdr:rowOff>32653</xdr:rowOff>
    </xdr:from>
    <xdr:to>
      <xdr:col>6</xdr:col>
      <xdr:colOff>1240964</xdr:colOff>
      <xdr:row>21</xdr:row>
      <xdr:rowOff>404630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C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083917" y="6402973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1654620</xdr:colOff>
      <xdr:row>16</xdr:row>
      <xdr:rowOff>141513</xdr:rowOff>
    </xdr:from>
    <xdr:to>
      <xdr:col>10</xdr:col>
      <xdr:colOff>275399</xdr:colOff>
      <xdr:row>21</xdr:row>
      <xdr:rowOff>258118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C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50620" y="6511833"/>
          <a:ext cx="310133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228601</xdr:rowOff>
    </xdr:from>
    <xdr:to>
      <xdr:col>12</xdr:col>
      <xdr:colOff>1534886</xdr:colOff>
      <xdr:row>32</xdr:row>
      <xdr:rowOff>387282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C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67" t="32794" r="50997" b="17186"/>
        <a:stretch/>
      </xdr:blipFill>
      <xdr:spPr bwMode="auto">
        <a:xfrm>
          <a:off x="9250680" y="11018521"/>
          <a:ext cx="4194266" cy="281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315686</xdr:colOff>
      <xdr:row>32</xdr:row>
      <xdr:rowOff>92995</xdr:rowOff>
    </xdr:from>
    <xdr:to>
      <xdr:col>16</xdr:col>
      <xdr:colOff>608961</xdr:colOff>
      <xdr:row>32</xdr:row>
      <xdr:rowOff>387550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3C00-000028000000}"/>
            </a:ext>
          </a:extLst>
        </xdr:cNvPr>
        <xdr:cNvSpPr/>
      </xdr:nvSpPr>
      <xdr:spPr>
        <a:xfrm>
          <a:off x="15860486" y="13534675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87086</xdr:colOff>
      <xdr:row>28</xdr:row>
      <xdr:rowOff>76199</xdr:rowOff>
    </xdr:from>
    <xdr:to>
      <xdr:col>16</xdr:col>
      <xdr:colOff>609600</xdr:colOff>
      <xdr:row>32</xdr:row>
      <xdr:rowOff>92996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C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6" y="11750039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C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C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206831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C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693231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C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C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C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329832</xdr:rowOff>
    </xdr:from>
    <xdr:to>
      <xdr:col>7</xdr:col>
      <xdr:colOff>968632</xdr:colOff>
      <xdr:row>32</xdr:row>
      <xdr:rowOff>399505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C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80461"/>
          <a:ext cx="9024061" cy="587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C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394062</xdr:rowOff>
    </xdr:from>
    <xdr:to>
      <xdr:col>2</xdr:col>
      <xdr:colOff>1066800</xdr:colOff>
      <xdr:row>10</xdr:row>
      <xdr:rowOff>91559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70662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6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446954</xdr:colOff>
      <xdr:row>22</xdr:row>
      <xdr:rowOff>173531</xdr:rowOff>
    </xdr:from>
    <xdr:to>
      <xdr:col>12</xdr:col>
      <xdr:colOff>990600</xdr:colOff>
      <xdr:row>24</xdr:row>
      <xdr:rowOff>54428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3D00-00000E000000}"/>
            </a:ext>
          </a:extLst>
        </xdr:cNvPr>
        <xdr:cNvSpPr/>
      </xdr:nvSpPr>
      <xdr:spPr>
        <a:xfrm>
          <a:off x="10363840" y="9263102"/>
          <a:ext cx="2546617" cy="7735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4-4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D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D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D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D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D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D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D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D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3D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D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3D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3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3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3D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D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185057</xdr:colOff>
      <xdr:row>18</xdr:row>
      <xdr:rowOff>101246</xdr:rowOff>
    </xdr:from>
    <xdr:to>
      <xdr:col>13</xdr:col>
      <xdr:colOff>696687</xdr:colOff>
      <xdr:row>22</xdr:row>
      <xdr:rowOff>126004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D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65971" y="7405560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130628</xdr:colOff>
      <xdr:row>23</xdr:row>
      <xdr:rowOff>435429</xdr:rowOff>
    </xdr:from>
    <xdr:to>
      <xdr:col>12</xdr:col>
      <xdr:colOff>1440588</xdr:colOff>
      <xdr:row>29</xdr:row>
      <xdr:rowOff>381000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D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60" t="13900" r="34278" b="19967"/>
        <a:stretch/>
      </xdr:blipFill>
      <xdr:spPr bwMode="auto">
        <a:xfrm>
          <a:off x="9383485" y="9971315"/>
          <a:ext cx="3976960" cy="2623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239485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D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25885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D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D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D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351611</xdr:rowOff>
    </xdr:from>
    <xdr:to>
      <xdr:col>7</xdr:col>
      <xdr:colOff>990693</xdr:colOff>
      <xdr:row>29</xdr:row>
      <xdr:rowOff>377737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D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6763297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1763486</xdr:colOff>
      <xdr:row>16</xdr:row>
      <xdr:rowOff>87086</xdr:rowOff>
    </xdr:from>
    <xdr:to>
      <xdr:col>10</xdr:col>
      <xdr:colOff>424036</xdr:colOff>
      <xdr:row>20</xdr:row>
      <xdr:rowOff>206828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D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59486" y="6498772"/>
          <a:ext cx="3145464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217715</xdr:colOff>
      <xdr:row>0</xdr:row>
      <xdr:rowOff>0</xdr:rowOff>
    </xdr:from>
    <xdr:to>
      <xdr:col>19</xdr:col>
      <xdr:colOff>4254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D00-00002C000000}"/>
            </a:ext>
          </a:extLst>
        </xdr:cNvPr>
        <xdr:cNvSpPr/>
      </xdr:nvSpPr>
      <xdr:spPr>
        <a:xfrm>
          <a:off x="17765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3E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9544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E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544926</xdr:colOff>
      <xdr:row>24</xdr:row>
      <xdr:rowOff>336818</xdr:rowOff>
    </xdr:from>
    <xdr:to>
      <xdr:col>12</xdr:col>
      <xdr:colOff>1088572</xdr:colOff>
      <xdr:row>26</xdr:row>
      <xdr:rowOff>217715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3E00-000012000000}"/>
            </a:ext>
          </a:extLst>
        </xdr:cNvPr>
        <xdr:cNvSpPr/>
      </xdr:nvSpPr>
      <xdr:spPr>
        <a:xfrm>
          <a:off x="10458546" y="10242818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5-3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E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E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E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E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E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E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3E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E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3E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3E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E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3E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3E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E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3E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E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E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E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3E00-000027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E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E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E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E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1088571</xdr:colOff>
      <xdr:row>26</xdr:row>
      <xdr:rowOff>65315</xdr:rowOff>
    </xdr:from>
    <xdr:to>
      <xdr:col>12</xdr:col>
      <xdr:colOff>1774372</xdr:colOff>
      <xdr:row>32</xdr:row>
      <xdr:rowOff>398611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E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34" t="25701" r="47182" b="7391"/>
        <a:stretch/>
      </xdr:blipFill>
      <xdr:spPr bwMode="auto">
        <a:xfrm>
          <a:off x="9142911" y="10855235"/>
          <a:ext cx="4541521" cy="2985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E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0412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3E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3E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3E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337454</xdr:rowOff>
    </xdr:from>
    <xdr:to>
      <xdr:col>7</xdr:col>
      <xdr:colOff>968632</xdr:colOff>
      <xdr:row>32</xdr:row>
      <xdr:rowOff>407127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3E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88083"/>
          <a:ext cx="9024061" cy="587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3E00-000032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F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3F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294555</xdr:colOff>
      <xdr:row>22</xdr:row>
      <xdr:rowOff>238845</xdr:rowOff>
    </xdr:from>
    <xdr:to>
      <xdr:col>12</xdr:col>
      <xdr:colOff>838201</xdr:colOff>
      <xdr:row>24</xdr:row>
      <xdr:rowOff>119742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3F00-00000E000000}"/>
            </a:ext>
          </a:extLst>
        </xdr:cNvPr>
        <xdr:cNvSpPr/>
      </xdr:nvSpPr>
      <xdr:spPr>
        <a:xfrm>
          <a:off x="10208175" y="9260925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8P 6-2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3F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3F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3F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3F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3F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3F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3F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3F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3F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3F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3F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3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3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3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3F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3F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174171</xdr:colOff>
      <xdr:row>18</xdr:row>
      <xdr:rowOff>242758</xdr:rowOff>
    </xdr:from>
    <xdr:to>
      <xdr:col>13</xdr:col>
      <xdr:colOff>685801</xdr:colOff>
      <xdr:row>22</xdr:row>
      <xdr:rowOff>267516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3F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55085" y="7547072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1164770</xdr:colOff>
      <xdr:row>24</xdr:row>
      <xdr:rowOff>10885</xdr:rowOff>
    </xdr:from>
    <xdr:to>
      <xdr:col>12</xdr:col>
      <xdr:colOff>1251857</xdr:colOff>
      <xdr:row>29</xdr:row>
      <xdr:rowOff>419226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3F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41" t="14040" r="45941" b="18740"/>
        <a:stretch/>
      </xdr:blipFill>
      <xdr:spPr bwMode="auto">
        <a:xfrm>
          <a:off x="9219110" y="9916885"/>
          <a:ext cx="3942807" cy="2618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228606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3F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1500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3F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3F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3F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3F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3F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3F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373379</xdr:rowOff>
    </xdr:from>
    <xdr:to>
      <xdr:col>7</xdr:col>
      <xdr:colOff>990693</xdr:colOff>
      <xdr:row>29</xdr:row>
      <xdr:rowOff>399505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3F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6785065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1741715</xdr:colOff>
      <xdr:row>16</xdr:row>
      <xdr:rowOff>43543</xdr:rowOff>
    </xdr:from>
    <xdr:to>
      <xdr:col>10</xdr:col>
      <xdr:colOff>402265</xdr:colOff>
      <xdr:row>20</xdr:row>
      <xdr:rowOff>163285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3F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5" y="6455229"/>
          <a:ext cx="3145464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46" name="Left Arrow 45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3F00-00002E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0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0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0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271211</xdr:rowOff>
    </xdr:from>
    <xdr:to>
      <xdr:col>2</xdr:col>
      <xdr:colOff>967740</xdr:colOff>
      <xdr:row>12</xdr:row>
      <xdr:rowOff>224120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306328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425181</xdr:colOff>
      <xdr:row>24</xdr:row>
      <xdr:rowOff>325932</xdr:rowOff>
    </xdr:from>
    <xdr:to>
      <xdr:col>12</xdr:col>
      <xdr:colOff>990749</xdr:colOff>
      <xdr:row>26</xdr:row>
      <xdr:rowOff>69877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000-000012000000}"/>
            </a:ext>
          </a:extLst>
        </xdr:cNvPr>
        <xdr:cNvSpPr/>
      </xdr:nvSpPr>
      <xdr:spPr>
        <a:xfrm>
          <a:off x="11001741" y="10231932"/>
          <a:ext cx="1899068" cy="6278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9บาน 9-0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0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0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0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28957</xdr:rowOff>
    </xdr:from>
    <xdr:to>
      <xdr:col>13</xdr:col>
      <xdr:colOff>834688</xdr:colOff>
      <xdr:row>23</xdr:row>
      <xdr:rowOff>435428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0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44024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0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16934</xdr:rowOff>
    </xdr:from>
    <xdr:to>
      <xdr:col>13</xdr:col>
      <xdr:colOff>751114</xdr:colOff>
      <xdr:row>21</xdr:row>
      <xdr:rowOff>445450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0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97054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0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0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3</xdr:col>
      <xdr:colOff>59554</xdr:colOff>
      <xdr:row>16</xdr:row>
      <xdr:rowOff>312422</xdr:rowOff>
    </xdr:from>
    <xdr:to>
      <xdr:col>6</xdr:col>
      <xdr:colOff>751430</xdr:colOff>
      <xdr:row>21</xdr:row>
      <xdr:rowOff>29394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0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3630068" y="6724108"/>
          <a:ext cx="3217362" cy="1948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1153885</xdr:colOff>
      <xdr:row>26</xdr:row>
      <xdr:rowOff>32657</xdr:rowOff>
    </xdr:from>
    <xdr:to>
      <xdr:col>12</xdr:col>
      <xdr:colOff>2209800</xdr:colOff>
      <xdr:row>32</xdr:row>
      <xdr:rowOff>334521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0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66" t="32586" r="47009" b="18016"/>
        <a:stretch/>
      </xdr:blipFill>
      <xdr:spPr bwMode="auto">
        <a:xfrm>
          <a:off x="9208225" y="10822577"/>
          <a:ext cx="4911635" cy="2953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304802</xdr:colOff>
      <xdr:row>32</xdr:row>
      <xdr:rowOff>92997</xdr:rowOff>
    </xdr:from>
    <xdr:to>
      <xdr:col>16</xdr:col>
      <xdr:colOff>598077</xdr:colOff>
      <xdr:row>32</xdr:row>
      <xdr:rowOff>387552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4000-000026000000}"/>
            </a:ext>
          </a:extLst>
        </xdr:cNvPr>
        <xdr:cNvSpPr/>
      </xdr:nvSpPr>
      <xdr:spPr>
        <a:xfrm>
          <a:off x="15849602" y="13534677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76202</xdr:colOff>
      <xdr:row>28</xdr:row>
      <xdr:rowOff>76201</xdr:rowOff>
    </xdr:from>
    <xdr:to>
      <xdr:col>16</xdr:col>
      <xdr:colOff>598716</xdr:colOff>
      <xdr:row>32</xdr:row>
      <xdr:rowOff>92998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0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21002" y="11750041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261257</xdr:colOff>
      <xdr:row>18</xdr:row>
      <xdr:rowOff>65315</xdr:rowOff>
    </xdr:from>
    <xdr:to>
      <xdr:col>13</xdr:col>
      <xdr:colOff>1001486</xdr:colOff>
      <xdr:row>18</xdr:row>
      <xdr:rowOff>398663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09717" y="7319555"/>
          <a:ext cx="740229" cy="333348"/>
        </a:xfrm>
        <a:prstGeom prst="rect">
          <a:avLst/>
        </a:prstGeom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239486</xdr:rowOff>
    </xdr:from>
    <xdr:ext cx="1160190" cy="435429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0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2588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0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0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0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97973</xdr:rowOff>
    </xdr:from>
    <xdr:to>
      <xdr:col>7</xdr:col>
      <xdr:colOff>1164195</xdr:colOff>
      <xdr:row>32</xdr:row>
      <xdr:rowOff>410399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0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40" t="8210" r="28635" b="16632"/>
        <a:stretch/>
      </xdr:blipFill>
      <xdr:spPr bwMode="auto">
        <a:xfrm>
          <a:off x="0" y="7848602"/>
          <a:ext cx="9219624" cy="611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48" name="Left Arrow 4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4000-000030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1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383177</xdr:rowOff>
    </xdr:from>
    <xdr:to>
      <xdr:col>2</xdr:col>
      <xdr:colOff>1066800</xdr:colOff>
      <xdr:row>10</xdr:row>
      <xdr:rowOff>80674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59777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1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1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65954</xdr:colOff>
      <xdr:row>24</xdr:row>
      <xdr:rowOff>282389</xdr:rowOff>
    </xdr:from>
    <xdr:to>
      <xdr:col>12</xdr:col>
      <xdr:colOff>1016252</xdr:colOff>
      <xdr:row>26</xdr:row>
      <xdr:rowOff>39971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100-000012000000}"/>
            </a:ext>
          </a:extLst>
        </xdr:cNvPr>
        <xdr:cNvSpPr/>
      </xdr:nvSpPr>
      <xdr:spPr>
        <a:xfrm>
          <a:off x="10642514" y="10188389"/>
          <a:ext cx="2283798" cy="6415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8-1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1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1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1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1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1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1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1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1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1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1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1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1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740229</xdr:colOff>
      <xdr:row>17</xdr:row>
      <xdr:rowOff>32656</xdr:rowOff>
    </xdr:from>
    <xdr:to>
      <xdr:col>6</xdr:col>
      <xdr:colOff>914401</xdr:colOff>
      <xdr:row>22</xdr:row>
      <xdr:rowOff>6226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1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07" t="33987" r="38290" b="14089"/>
        <a:stretch/>
      </xdr:blipFill>
      <xdr:spPr bwMode="auto">
        <a:xfrm>
          <a:off x="3094809" y="6844936"/>
          <a:ext cx="3915592" cy="218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1545770</xdr:colOff>
      <xdr:row>17</xdr:row>
      <xdr:rowOff>174168</xdr:rowOff>
    </xdr:from>
    <xdr:to>
      <xdr:col>10</xdr:col>
      <xdr:colOff>228599</xdr:colOff>
      <xdr:row>21</xdr:row>
      <xdr:rowOff>307403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1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41770" y="6986448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1186542</xdr:colOff>
      <xdr:row>26</xdr:row>
      <xdr:rowOff>21771</xdr:rowOff>
    </xdr:from>
    <xdr:to>
      <xdr:col>12</xdr:col>
      <xdr:colOff>1785257</xdr:colOff>
      <xdr:row>32</xdr:row>
      <xdr:rowOff>44696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1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2" t="5396" r="39832" b="16355"/>
        <a:stretch/>
      </xdr:blipFill>
      <xdr:spPr bwMode="auto">
        <a:xfrm>
          <a:off x="9240882" y="10811691"/>
          <a:ext cx="4454435" cy="2674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315689</xdr:colOff>
      <xdr:row>32</xdr:row>
      <xdr:rowOff>92997</xdr:rowOff>
    </xdr:from>
    <xdr:to>
      <xdr:col>16</xdr:col>
      <xdr:colOff>608964</xdr:colOff>
      <xdr:row>32</xdr:row>
      <xdr:rowOff>387552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4100-000028000000}"/>
            </a:ext>
          </a:extLst>
        </xdr:cNvPr>
        <xdr:cNvSpPr/>
      </xdr:nvSpPr>
      <xdr:spPr>
        <a:xfrm>
          <a:off x="15860489" y="13534677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87089</xdr:colOff>
      <xdr:row>28</xdr:row>
      <xdr:rowOff>76201</xdr:rowOff>
    </xdr:from>
    <xdr:to>
      <xdr:col>16</xdr:col>
      <xdr:colOff>609603</xdr:colOff>
      <xdr:row>32</xdr:row>
      <xdr:rowOff>92998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1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9" y="11750041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1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1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15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1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4608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1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1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1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373377</xdr:rowOff>
    </xdr:from>
    <xdr:to>
      <xdr:col>7</xdr:col>
      <xdr:colOff>990693</xdr:colOff>
      <xdr:row>32</xdr:row>
      <xdr:rowOff>399503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1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24006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206828</xdr:colOff>
      <xdr:row>0</xdr:row>
      <xdr:rowOff>0</xdr:rowOff>
    </xdr:from>
    <xdr:to>
      <xdr:col>18</xdr:col>
      <xdr:colOff>722710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100-000032000000}"/>
            </a:ext>
          </a:extLst>
        </xdr:cNvPr>
        <xdr:cNvSpPr/>
      </xdr:nvSpPr>
      <xdr:spPr>
        <a:xfrm>
          <a:off x="17754599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2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2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2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404948</xdr:rowOff>
    </xdr:from>
    <xdr:to>
      <xdr:col>2</xdr:col>
      <xdr:colOff>1066800</xdr:colOff>
      <xdr:row>10</xdr:row>
      <xdr:rowOff>102445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2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8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2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6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2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109496</xdr:colOff>
      <xdr:row>24</xdr:row>
      <xdr:rowOff>21131</xdr:rowOff>
    </xdr:from>
    <xdr:to>
      <xdr:col>12</xdr:col>
      <xdr:colOff>1317170</xdr:colOff>
      <xdr:row>25</xdr:row>
      <xdr:rowOff>348343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200-000012000000}"/>
            </a:ext>
          </a:extLst>
        </xdr:cNvPr>
        <xdr:cNvSpPr/>
      </xdr:nvSpPr>
      <xdr:spPr>
        <a:xfrm>
          <a:off x="10686056" y="9927131"/>
          <a:ext cx="2541174" cy="7691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7-2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2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2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2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2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2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2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2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2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2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2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2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2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2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2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4200-000027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2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2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2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990607</xdr:colOff>
      <xdr:row>25</xdr:row>
      <xdr:rowOff>326572</xdr:rowOff>
    </xdr:from>
    <xdr:to>
      <xdr:col>12</xdr:col>
      <xdr:colOff>2423892</xdr:colOff>
      <xdr:row>32</xdr:row>
      <xdr:rowOff>381000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2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53" t="21394" r="39134" b="11883"/>
        <a:stretch/>
      </xdr:blipFill>
      <xdr:spPr bwMode="auto">
        <a:xfrm>
          <a:off x="9044947" y="10674532"/>
          <a:ext cx="5289005" cy="3148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217717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2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46077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2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2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2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373377</xdr:rowOff>
    </xdr:from>
    <xdr:to>
      <xdr:col>7</xdr:col>
      <xdr:colOff>990693</xdr:colOff>
      <xdr:row>32</xdr:row>
      <xdr:rowOff>399503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2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24006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2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3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3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3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3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260325</xdr:rowOff>
    </xdr:from>
    <xdr:to>
      <xdr:col>2</xdr:col>
      <xdr:colOff>967740</xdr:colOff>
      <xdr:row>12</xdr:row>
      <xdr:rowOff>213234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3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95442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3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131267</xdr:colOff>
      <xdr:row>23</xdr:row>
      <xdr:rowOff>423903</xdr:rowOff>
    </xdr:from>
    <xdr:to>
      <xdr:col>12</xdr:col>
      <xdr:colOff>674913</xdr:colOff>
      <xdr:row>25</xdr:row>
      <xdr:rowOff>304801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300-000012000000}"/>
            </a:ext>
          </a:extLst>
        </xdr:cNvPr>
        <xdr:cNvSpPr/>
      </xdr:nvSpPr>
      <xdr:spPr>
        <a:xfrm>
          <a:off x="10044887" y="9887943"/>
          <a:ext cx="2540086" cy="7648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6-3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3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3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3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3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3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3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3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3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3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3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3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3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1534886</xdr:colOff>
      <xdr:row>17</xdr:row>
      <xdr:rowOff>195943</xdr:rowOff>
    </xdr:from>
    <xdr:to>
      <xdr:col>10</xdr:col>
      <xdr:colOff>217715</xdr:colOff>
      <xdr:row>21</xdr:row>
      <xdr:rowOff>329178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3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630886" y="70082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4300-000026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3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3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3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3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2</xdr:col>
      <xdr:colOff>489856</xdr:colOff>
      <xdr:row>17</xdr:row>
      <xdr:rowOff>27637</xdr:rowOff>
    </xdr:from>
    <xdr:to>
      <xdr:col>6</xdr:col>
      <xdr:colOff>947057</xdr:colOff>
      <xdr:row>22</xdr:row>
      <xdr:rowOff>60817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3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25" t="28003" r="39981" b="19405"/>
        <a:stretch/>
      </xdr:blipFill>
      <xdr:spPr bwMode="auto">
        <a:xfrm>
          <a:off x="2841170" y="6885637"/>
          <a:ext cx="4201887" cy="2264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979715</xdr:colOff>
      <xdr:row>25</xdr:row>
      <xdr:rowOff>293915</xdr:rowOff>
    </xdr:from>
    <xdr:to>
      <xdr:col>12</xdr:col>
      <xdr:colOff>2405744</xdr:colOff>
      <xdr:row>32</xdr:row>
      <xdr:rowOff>368361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3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07" t="12941" r="41422" b="20238"/>
        <a:stretch/>
      </xdr:blipFill>
      <xdr:spPr bwMode="auto">
        <a:xfrm>
          <a:off x="9034055" y="10641875"/>
          <a:ext cx="5281749" cy="3168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3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4608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3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3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3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380998</xdr:rowOff>
    </xdr:from>
    <xdr:to>
      <xdr:col>7</xdr:col>
      <xdr:colOff>990693</xdr:colOff>
      <xdr:row>32</xdr:row>
      <xdr:rowOff>399504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3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31627"/>
          <a:ext cx="9046122" cy="5820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3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4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4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4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4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03320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4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4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109496</xdr:colOff>
      <xdr:row>24</xdr:row>
      <xdr:rowOff>21131</xdr:rowOff>
    </xdr:from>
    <xdr:to>
      <xdr:col>12</xdr:col>
      <xdr:colOff>1317170</xdr:colOff>
      <xdr:row>25</xdr:row>
      <xdr:rowOff>348343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400-000012000000}"/>
            </a:ext>
          </a:extLst>
        </xdr:cNvPr>
        <xdr:cNvSpPr/>
      </xdr:nvSpPr>
      <xdr:spPr>
        <a:xfrm>
          <a:off x="10686056" y="9927131"/>
          <a:ext cx="2541174" cy="7691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9P 5-4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4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4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4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4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4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4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23</xdr:row>
      <xdr:rowOff>18071</xdr:rowOff>
    </xdr:from>
    <xdr:to>
      <xdr:col>13</xdr:col>
      <xdr:colOff>834688</xdr:colOff>
      <xdr:row>23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4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43313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22</xdr:row>
      <xdr:rowOff>51228</xdr:rowOff>
    </xdr:from>
    <xdr:to>
      <xdr:col>13</xdr:col>
      <xdr:colOff>839403</xdr:colOff>
      <xdr:row>22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4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00515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21</xdr:row>
      <xdr:rowOff>6048</xdr:rowOff>
    </xdr:from>
    <xdr:to>
      <xdr:col>13</xdr:col>
      <xdr:colOff>751114</xdr:colOff>
      <xdr:row>21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4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858616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4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4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2</xdr:col>
      <xdr:colOff>391884</xdr:colOff>
      <xdr:row>14</xdr:row>
      <xdr:rowOff>24461</xdr:rowOff>
    </xdr:from>
    <xdr:to>
      <xdr:col>2</xdr:col>
      <xdr:colOff>827311</xdr:colOff>
      <xdr:row>14</xdr:row>
      <xdr:rowOff>438692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4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76" t="22416" r="42776" b="36281"/>
        <a:stretch/>
      </xdr:blipFill>
      <xdr:spPr bwMode="auto">
        <a:xfrm>
          <a:off x="2746464" y="5510861"/>
          <a:ext cx="435427" cy="41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1883229</xdr:colOff>
      <xdr:row>17</xdr:row>
      <xdr:rowOff>119743</xdr:rowOff>
    </xdr:from>
    <xdr:to>
      <xdr:col>10</xdr:col>
      <xdr:colOff>566058</xdr:colOff>
      <xdr:row>21</xdr:row>
      <xdr:rowOff>252978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4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979229" y="6932023"/>
          <a:ext cx="3163389" cy="190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674918</xdr:colOff>
      <xdr:row>17</xdr:row>
      <xdr:rowOff>43542</xdr:rowOff>
    </xdr:from>
    <xdr:to>
      <xdr:col>6</xdr:col>
      <xdr:colOff>1807030</xdr:colOff>
      <xdr:row>21</xdr:row>
      <xdr:rowOff>414940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4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4" t="21860" r="33911" b="27780"/>
        <a:stretch/>
      </xdr:blipFill>
      <xdr:spPr bwMode="auto">
        <a:xfrm>
          <a:off x="3029498" y="6855822"/>
          <a:ext cx="4873532" cy="2139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315683</xdr:colOff>
      <xdr:row>32</xdr:row>
      <xdr:rowOff>92996</xdr:rowOff>
    </xdr:from>
    <xdr:to>
      <xdr:col>16</xdr:col>
      <xdr:colOff>608958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4400-000027000000}"/>
            </a:ext>
          </a:extLst>
        </xdr:cNvPr>
        <xdr:cNvSpPr/>
      </xdr:nvSpPr>
      <xdr:spPr>
        <a:xfrm>
          <a:off x="15860483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87083</xdr:colOff>
      <xdr:row>28</xdr:row>
      <xdr:rowOff>76200</xdr:rowOff>
    </xdr:from>
    <xdr:to>
      <xdr:col>16</xdr:col>
      <xdr:colOff>609597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4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3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19</xdr:row>
      <xdr:rowOff>32656</xdr:rowOff>
    </xdr:from>
    <xdr:to>
      <xdr:col>13</xdr:col>
      <xdr:colOff>761999</xdr:colOff>
      <xdr:row>19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772885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20</xdr:row>
      <xdr:rowOff>119743</xdr:rowOff>
    </xdr:from>
    <xdr:to>
      <xdr:col>13</xdr:col>
      <xdr:colOff>1099458</xdr:colOff>
      <xdr:row>20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4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25790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18</xdr:row>
      <xdr:rowOff>32659</xdr:rowOff>
    </xdr:from>
    <xdr:to>
      <xdr:col>13</xdr:col>
      <xdr:colOff>849089</xdr:colOff>
      <xdr:row>18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4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28689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968834</xdr:colOff>
      <xdr:row>25</xdr:row>
      <xdr:rowOff>315688</xdr:rowOff>
    </xdr:from>
    <xdr:to>
      <xdr:col>12</xdr:col>
      <xdr:colOff>2427518</xdr:colOff>
      <xdr:row>32</xdr:row>
      <xdr:rowOff>341080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4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29" t="19516" r="38603" b="14086"/>
        <a:stretch/>
      </xdr:blipFill>
      <xdr:spPr bwMode="auto">
        <a:xfrm>
          <a:off x="9024263" y="10744202"/>
          <a:ext cx="5323112" cy="3149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21772</xdr:colOff>
      <xdr:row>15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4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76352" y="614608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4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4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4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362491</xdr:rowOff>
    </xdr:from>
    <xdr:to>
      <xdr:col>7</xdr:col>
      <xdr:colOff>990693</xdr:colOff>
      <xdr:row>32</xdr:row>
      <xdr:rowOff>388617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4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8113120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4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5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5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394062</xdr:rowOff>
    </xdr:from>
    <xdr:to>
      <xdr:col>2</xdr:col>
      <xdr:colOff>1066800</xdr:colOff>
      <xdr:row>10</xdr:row>
      <xdr:rowOff>91559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5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70662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227668</xdr:rowOff>
    </xdr:from>
    <xdr:to>
      <xdr:col>2</xdr:col>
      <xdr:colOff>967740</xdr:colOff>
      <xdr:row>12</xdr:row>
      <xdr:rowOff>180577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45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62785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5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261890</xdr:colOff>
      <xdr:row>22</xdr:row>
      <xdr:rowOff>97332</xdr:rowOff>
    </xdr:from>
    <xdr:to>
      <xdr:col>12</xdr:col>
      <xdr:colOff>1469564</xdr:colOff>
      <xdr:row>23</xdr:row>
      <xdr:rowOff>424543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4500-00000E000000}"/>
            </a:ext>
          </a:extLst>
        </xdr:cNvPr>
        <xdr:cNvSpPr/>
      </xdr:nvSpPr>
      <xdr:spPr>
        <a:xfrm>
          <a:off x="10838450" y="9119412"/>
          <a:ext cx="2541174" cy="7691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10-0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-0</a:t>
          </a: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5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5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5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45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5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5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5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5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5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5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87081</xdr:colOff>
      <xdr:row>14</xdr:row>
      <xdr:rowOff>43547</xdr:rowOff>
    </xdr:from>
    <xdr:to>
      <xdr:col>2</xdr:col>
      <xdr:colOff>1140496</xdr:colOff>
      <xdr:row>14</xdr:row>
      <xdr:rowOff>402776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5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91" t="8925" r="39499" b="996"/>
        <a:stretch/>
      </xdr:blipFill>
      <xdr:spPr bwMode="auto">
        <a:xfrm rot="5400000">
          <a:off x="2788754" y="5182854"/>
          <a:ext cx="359229" cy="1053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4500-00001A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5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8" name="รูปภาพ 226">
          <a:extLst>
            <a:ext uri="{FF2B5EF4-FFF2-40B4-BE49-F238E27FC236}">
              <a16:creationId xmlns:a16="http://schemas.microsoft.com/office/drawing/2014/main" id="{00000000-0008-0000-4500-00001C000000}"/>
            </a:ext>
          </a:extLst>
        </xdr:cNvPr>
        <xdr:cNvPicPr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4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 editAs="oneCell">
    <xdr:from>
      <xdr:col>7</xdr:col>
      <xdr:colOff>478971</xdr:colOff>
      <xdr:row>18</xdr:row>
      <xdr:rowOff>424547</xdr:rowOff>
    </xdr:from>
    <xdr:to>
      <xdr:col>11</xdr:col>
      <xdr:colOff>283029</xdr:colOff>
      <xdr:row>23</xdr:row>
      <xdr:rowOff>12576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500-00002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8534400" y="7728861"/>
          <a:ext cx="3004458" cy="1819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293908</xdr:colOff>
      <xdr:row>23</xdr:row>
      <xdr:rowOff>348343</xdr:rowOff>
    </xdr:from>
    <xdr:to>
      <xdr:col>12</xdr:col>
      <xdr:colOff>2415930</xdr:colOff>
      <xdr:row>29</xdr:row>
      <xdr:rowOff>334773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5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21" t="2490" r="36730" b="48319"/>
        <a:stretch/>
      </xdr:blipFill>
      <xdr:spPr bwMode="auto">
        <a:xfrm>
          <a:off x="9544588" y="9812383"/>
          <a:ext cx="4781402" cy="263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315685</xdr:colOff>
      <xdr:row>29</xdr:row>
      <xdr:rowOff>103881</xdr:rowOff>
    </xdr:from>
    <xdr:to>
      <xdr:col>16</xdr:col>
      <xdr:colOff>608960</xdr:colOff>
      <xdr:row>29</xdr:row>
      <xdr:rowOff>398436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4500-000024000000}"/>
            </a:ext>
          </a:extLst>
        </xdr:cNvPr>
        <xdr:cNvSpPr/>
      </xdr:nvSpPr>
      <xdr:spPr>
        <a:xfrm>
          <a:off x="15860485" y="12219681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87085</xdr:colOff>
      <xdr:row>25</xdr:row>
      <xdr:rowOff>87085</xdr:rowOff>
    </xdr:from>
    <xdr:to>
      <xdr:col>16</xdr:col>
      <xdr:colOff>609599</xdr:colOff>
      <xdr:row>29</xdr:row>
      <xdr:rowOff>103882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5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5" y="10435045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15</xdr:row>
      <xdr:rowOff>228606</xdr:rowOff>
    </xdr:from>
    <xdr:ext cx="1160190" cy="435429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5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6156966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5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5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5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32659</xdr:rowOff>
    </xdr:from>
    <xdr:to>
      <xdr:col>7</xdr:col>
      <xdr:colOff>553051</xdr:colOff>
      <xdr:row>29</xdr:row>
      <xdr:rowOff>377740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5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29" t="10316" r="32595" b="14948"/>
        <a:stretch/>
      </xdr:blipFill>
      <xdr:spPr bwMode="auto">
        <a:xfrm>
          <a:off x="0" y="6890659"/>
          <a:ext cx="8608480" cy="5700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217715</xdr:colOff>
      <xdr:row>0</xdr:row>
      <xdr:rowOff>0</xdr:rowOff>
    </xdr:from>
    <xdr:to>
      <xdr:col>19</xdr:col>
      <xdr:colOff>4254</xdr:colOff>
      <xdr:row>4</xdr:row>
      <xdr:rowOff>61355</xdr:rowOff>
    </xdr:to>
    <xdr:sp macro="" textlink="">
      <xdr:nvSpPr>
        <xdr:cNvPr id="43" name="Left Arrow 4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4500-00002B000000}"/>
            </a:ext>
          </a:extLst>
        </xdr:cNvPr>
        <xdr:cNvSpPr/>
      </xdr:nvSpPr>
      <xdr:spPr>
        <a:xfrm>
          <a:off x="1776548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6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6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6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404949</xdr:rowOff>
    </xdr:from>
    <xdr:to>
      <xdr:col>2</xdr:col>
      <xdr:colOff>1066800</xdr:colOff>
      <xdr:row>10</xdr:row>
      <xdr:rowOff>102446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6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81549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6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6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174805</xdr:colOff>
      <xdr:row>25</xdr:row>
      <xdr:rowOff>21132</xdr:rowOff>
    </xdr:from>
    <xdr:to>
      <xdr:col>12</xdr:col>
      <xdr:colOff>1382479</xdr:colOff>
      <xdr:row>26</xdr:row>
      <xdr:rowOff>348343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600-000012000000}"/>
            </a:ext>
          </a:extLst>
        </xdr:cNvPr>
        <xdr:cNvSpPr/>
      </xdr:nvSpPr>
      <xdr:spPr>
        <a:xfrm>
          <a:off x="10751365" y="10369092"/>
          <a:ext cx="2541174" cy="7691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9-1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9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6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6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6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6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6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6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6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6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6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6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6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6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6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500742</xdr:colOff>
      <xdr:row>16</xdr:row>
      <xdr:rowOff>35919</xdr:rowOff>
    </xdr:from>
    <xdr:to>
      <xdr:col>6</xdr:col>
      <xdr:colOff>1012369</xdr:colOff>
      <xdr:row>21</xdr:row>
      <xdr:rowOff>415516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6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2855322" y="6406239"/>
          <a:ext cx="4253047" cy="2589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1567538</xdr:colOff>
      <xdr:row>16</xdr:row>
      <xdr:rowOff>141513</xdr:rowOff>
    </xdr:from>
    <xdr:to>
      <xdr:col>10</xdr:col>
      <xdr:colOff>195937</xdr:colOff>
      <xdr:row>21</xdr:row>
      <xdr:rowOff>258118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6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663538" y="6511833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1099450</xdr:colOff>
      <xdr:row>26</xdr:row>
      <xdr:rowOff>239489</xdr:rowOff>
    </xdr:from>
    <xdr:to>
      <xdr:col>12</xdr:col>
      <xdr:colOff>2423878</xdr:colOff>
      <xdr:row>32</xdr:row>
      <xdr:rowOff>391889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6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78" t="26586" r="49420" b="24430"/>
        <a:stretch/>
      </xdr:blipFill>
      <xdr:spPr bwMode="auto">
        <a:xfrm>
          <a:off x="9153790" y="11029409"/>
          <a:ext cx="5180148" cy="2804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315688</xdr:colOff>
      <xdr:row>32</xdr:row>
      <xdr:rowOff>92997</xdr:rowOff>
    </xdr:from>
    <xdr:to>
      <xdr:col>16</xdr:col>
      <xdr:colOff>608963</xdr:colOff>
      <xdr:row>32</xdr:row>
      <xdr:rowOff>387552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4600-000028000000}"/>
            </a:ext>
          </a:extLst>
        </xdr:cNvPr>
        <xdr:cNvSpPr/>
      </xdr:nvSpPr>
      <xdr:spPr>
        <a:xfrm>
          <a:off x="15860488" y="13534677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87088</xdr:colOff>
      <xdr:row>28</xdr:row>
      <xdr:rowOff>68581</xdr:rowOff>
    </xdr:from>
    <xdr:to>
      <xdr:col>16</xdr:col>
      <xdr:colOff>609602</xdr:colOff>
      <xdr:row>32</xdr:row>
      <xdr:rowOff>92998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6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88" y="11742421"/>
          <a:ext cx="1848394" cy="1792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6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6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oneCellAnchor>
    <xdr:from>
      <xdr:col>2</xdr:col>
      <xdr:colOff>32658</xdr:colOff>
      <xdr:row>14</xdr:row>
      <xdr:rowOff>217715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6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04115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6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6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6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348343</xdr:rowOff>
    </xdr:from>
    <xdr:to>
      <xdr:col>7</xdr:col>
      <xdr:colOff>968632</xdr:colOff>
      <xdr:row>32</xdr:row>
      <xdr:rowOff>418016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6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98972"/>
          <a:ext cx="9024061" cy="587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600-000032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7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7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249439</xdr:rowOff>
    </xdr:from>
    <xdr:to>
      <xdr:col>2</xdr:col>
      <xdr:colOff>967740</xdr:colOff>
      <xdr:row>12</xdr:row>
      <xdr:rowOff>202348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47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6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7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490498</xdr:colOff>
      <xdr:row>22</xdr:row>
      <xdr:rowOff>238845</xdr:rowOff>
    </xdr:from>
    <xdr:to>
      <xdr:col>12</xdr:col>
      <xdr:colOff>1034144</xdr:colOff>
      <xdr:row>24</xdr:row>
      <xdr:rowOff>119742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4700-00000E000000}"/>
            </a:ext>
          </a:extLst>
        </xdr:cNvPr>
        <xdr:cNvSpPr/>
      </xdr:nvSpPr>
      <xdr:spPr>
        <a:xfrm>
          <a:off x="10404118" y="9260925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8-2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8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7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7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7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4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7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7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7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7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7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7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47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7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47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4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4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47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7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195942</xdr:colOff>
      <xdr:row>18</xdr:row>
      <xdr:rowOff>79473</xdr:rowOff>
    </xdr:from>
    <xdr:to>
      <xdr:col>13</xdr:col>
      <xdr:colOff>707572</xdr:colOff>
      <xdr:row>22</xdr:row>
      <xdr:rowOff>104231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7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76856" y="7383787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43545</xdr:colOff>
      <xdr:row>24</xdr:row>
      <xdr:rowOff>0</xdr:rowOff>
    </xdr:from>
    <xdr:to>
      <xdr:col>12</xdr:col>
      <xdr:colOff>2183998</xdr:colOff>
      <xdr:row>29</xdr:row>
      <xdr:rowOff>391886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7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452" t="29099" r="36564" b="29057"/>
        <a:stretch/>
      </xdr:blipFill>
      <xdr:spPr bwMode="auto">
        <a:xfrm>
          <a:off x="9294225" y="9906000"/>
          <a:ext cx="4799833" cy="2601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206834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7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693234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7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7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7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373378</xdr:rowOff>
    </xdr:from>
    <xdr:to>
      <xdr:col>7</xdr:col>
      <xdr:colOff>990693</xdr:colOff>
      <xdr:row>29</xdr:row>
      <xdr:rowOff>399504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700-00002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6785064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1741715</xdr:colOff>
      <xdr:row>16</xdr:row>
      <xdr:rowOff>43542</xdr:rowOff>
    </xdr:from>
    <xdr:to>
      <xdr:col>10</xdr:col>
      <xdr:colOff>402265</xdr:colOff>
      <xdr:row>20</xdr:row>
      <xdr:rowOff>163284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7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37715" y="6455228"/>
          <a:ext cx="3145464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206829</xdr:colOff>
      <xdr:row>0</xdr:row>
      <xdr:rowOff>0</xdr:rowOff>
    </xdr:from>
    <xdr:to>
      <xdr:col>18</xdr:col>
      <xdr:colOff>722711</xdr:colOff>
      <xdr:row>4</xdr:row>
      <xdr:rowOff>61355</xdr:rowOff>
    </xdr:to>
    <xdr:sp macro="" textlink="">
      <xdr:nvSpPr>
        <xdr:cNvPr id="43" name="Left Arrow 42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4700-00002B000000}"/>
            </a:ext>
          </a:extLst>
        </xdr:cNvPr>
        <xdr:cNvSpPr/>
      </xdr:nvSpPr>
      <xdr:spPr>
        <a:xfrm>
          <a:off x="17754600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8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8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8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8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8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8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65955</xdr:colOff>
      <xdr:row>24</xdr:row>
      <xdr:rowOff>358589</xdr:rowOff>
    </xdr:from>
    <xdr:to>
      <xdr:col>12</xdr:col>
      <xdr:colOff>1273629</xdr:colOff>
      <xdr:row>26</xdr:row>
      <xdr:rowOff>239486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800-000012000000}"/>
            </a:ext>
          </a:extLst>
        </xdr:cNvPr>
        <xdr:cNvSpPr/>
      </xdr:nvSpPr>
      <xdr:spPr>
        <a:xfrm>
          <a:off x="10642515" y="10264589"/>
          <a:ext cx="2541174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7-3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7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8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8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8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8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8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8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8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8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8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8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8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8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8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8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8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4800-000027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8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8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8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1001484</xdr:colOff>
      <xdr:row>26</xdr:row>
      <xdr:rowOff>174170</xdr:rowOff>
    </xdr:from>
    <xdr:to>
      <xdr:col>12</xdr:col>
      <xdr:colOff>2431673</xdr:colOff>
      <xdr:row>32</xdr:row>
      <xdr:rowOff>402771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8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38" t="8684" r="37184" b="24804"/>
        <a:stretch/>
      </xdr:blipFill>
      <xdr:spPr bwMode="auto">
        <a:xfrm>
          <a:off x="9056913" y="11048999"/>
          <a:ext cx="5294617" cy="2906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43544</xdr:colOff>
      <xdr:row>14</xdr:row>
      <xdr:rowOff>228600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8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98124" y="571500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8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8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8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315683</xdr:rowOff>
    </xdr:from>
    <xdr:to>
      <xdr:col>7</xdr:col>
      <xdr:colOff>968632</xdr:colOff>
      <xdr:row>32</xdr:row>
      <xdr:rowOff>385356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4800-00003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66312"/>
          <a:ext cx="9024061" cy="587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250372</xdr:colOff>
      <xdr:row>0</xdr:row>
      <xdr:rowOff>0</xdr:rowOff>
    </xdr:from>
    <xdr:to>
      <xdr:col>19</xdr:col>
      <xdr:colOff>36911</xdr:colOff>
      <xdr:row>4</xdr:row>
      <xdr:rowOff>61355</xdr:rowOff>
    </xdr:to>
    <xdr:sp macro="" textlink="">
      <xdr:nvSpPr>
        <xdr:cNvPr id="50" name="Left Arrow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800-000032000000}"/>
            </a:ext>
          </a:extLst>
        </xdr:cNvPr>
        <xdr:cNvSpPr/>
      </xdr:nvSpPr>
      <xdr:spPr>
        <a:xfrm>
          <a:off x="17798143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236220</xdr:colOff>
      <xdr:row>9</xdr:row>
      <xdr:rowOff>22861</xdr:rowOff>
    </xdr:from>
    <xdr:to>
      <xdr:col>13</xdr:col>
      <xdr:colOff>816626</xdr:colOff>
      <xdr:row>9</xdr:row>
      <xdr:rowOff>411481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4680" y="3299461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900-00000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415834</xdr:rowOff>
    </xdr:from>
    <xdr:to>
      <xdr:col>2</xdr:col>
      <xdr:colOff>1066800</xdr:colOff>
      <xdr:row>10</xdr:row>
      <xdr:rowOff>113331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692434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249440</xdr:rowOff>
    </xdr:from>
    <xdr:to>
      <xdr:col>2</xdr:col>
      <xdr:colOff>967740</xdr:colOff>
      <xdr:row>12</xdr:row>
      <xdr:rowOff>202349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49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84557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9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490498</xdr:colOff>
      <xdr:row>22</xdr:row>
      <xdr:rowOff>238845</xdr:rowOff>
    </xdr:from>
    <xdr:to>
      <xdr:col>12</xdr:col>
      <xdr:colOff>1034144</xdr:colOff>
      <xdr:row>24</xdr:row>
      <xdr:rowOff>119742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4900-00000E000000}"/>
            </a:ext>
          </a:extLst>
        </xdr:cNvPr>
        <xdr:cNvSpPr/>
      </xdr:nvSpPr>
      <xdr:spPr>
        <a:xfrm>
          <a:off x="10404118" y="9260925"/>
          <a:ext cx="2540086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6-4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6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9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9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9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49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9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18</xdr:row>
      <xdr:rowOff>10884</xdr:rowOff>
    </xdr:from>
    <xdr:to>
      <xdr:col>22</xdr:col>
      <xdr:colOff>609663</xdr:colOff>
      <xdr:row>18</xdr:row>
      <xdr:rowOff>427807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9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726512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17</xdr:row>
      <xdr:rowOff>18071</xdr:rowOff>
    </xdr:from>
    <xdr:to>
      <xdr:col>13</xdr:col>
      <xdr:colOff>834688</xdr:colOff>
      <xdr:row>17</xdr:row>
      <xdr:rowOff>424542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9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678137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16</xdr:row>
      <xdr:rowOff>51228</xdr:rowOff>
    </xdr:from>
    <xdr:to>
      <xdr:col>13</xdr:col>
      <xdr:colOff>839403</xdr:colOff>
      <xdr:row>16</xdr:row>
      <xdr:rowOff>402772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9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635339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14</xdr:row>
      <xdr:rowOff>6048</xdr:rowOff>
    </xdr:from>
    <xdr:to>
      <xdr:col>13</xdr:col>
      <xdr:colOff>751114</xdr:colOff>
      <xdr:row>14</xdr:row>
      <xdr:rowOff>434564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9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549244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283031</xdr:colOff>
      <xdr:row>12</xdr:row>
      <xdr:rowOff>435428</xdr:rowOff>
    </xdr:from>
    <xdr:to>
      <xdr:col>2</xdr:col>
      <xdr:colOff>942425</xdr:colOff>
      <xdr:row>13</xdr:row>
      <xdr:rowOff>435429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9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08" t="25737" r="40562" b="26733"/>
        <a:stretch/>
      </xdr:blipFill>
      <xdr:spPr bwMode="auto">
        <a:xfrm rot="16200000">
          <a:off x="2746327" y="4929192"/>
          <a:ext cx="441961" cy="659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4900-000019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13</xdr:col>
      <xdr:colOff>435429</xdr:colOff>
      <xdr:row>15</xdr:row>
      <xdr:rowOff>76200</xdr:rowOff>
    </xdr:from>
    <xdr:to>
      <xdr:col>13</xdr:col>
      <xdr:colOff>764648</xdr:colOff>
      <xdr:row>15</xdr:row>
      <xdr:rowOff>424543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9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2" t="17227" r="54914" b="29847"/>
        <a:stretch/>
      </xdr:blipFill>
      <xdr:spPr bwMode="auto">
        <a:xfrm>
          <a:off x="14783889" y="6004560"/>
          <a:ext cx="329219" cy="348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7" name="รูปภาพ 226">
          <a:extLst>
            <a:ext uri="{FF2B5EF4-FFF2-40B4-BE49-F238E27FC236}">
              <a16:creationId xmlns:a16="http://schemas.microsoft.com/office/drawing/2014/main" id="{00000000-0008-0000-4900-00001B000000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4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4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14</xdr:col>
      <xdr:colOff>315695</xdr:colOff>
      <xdr:row>29</xdr:row>
      <xdr:rowOff>92998</xdr:rowOff>
    </xdr:from>
    <xdr:to>
      <xdr:col>16</xdr:col>
      <xdr:colOff>608970</xdr:colOff>
      <xdr:row>29</xdr:row>
      <xdr:rowOff>387553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4900-000020000000}"/>
            </a:ext>
          </a:extLst>
        </xdr:cNvPr>
        <xdr:cNvSpPr/>
      </xdr:nvSpPr>
      <xdr:spPr>
        <a:xfrm>
          <a:off x="15860495" y="12208798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87095</xdr:colOff>
      <xdr:row>25</xdr:row>
      <xdr:rowOff>76202</xdr:rowOff>
    </xdr:from>
    <xdr:to>
      <xdr:col>16</xdr:col>
      <xdr:colOff>609609</xdr:colOff>
      <xdr:row>29</xdr:row>
      <xdr:rowOff>92999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900-00002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31895" y="10424162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206828</xdr:colOff>
      <xdr:row>18</xdr:row>
      <xdr:rowOff>123016</xdr:rowOff>
    </xdr:from>
    <xdr:to>
      <xdr:col>13</xdr:col>
      <xdr:colOff>718458</xdr:colOff>
      <xdr:row>22</xdr:row>
      <xdr:rowOff>147774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900-00002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53" t="27380" r="40624" b="36184"/>
        <a:stretch/>
      </xdr:blipFill>
      <xdr:spPr bwMode="auto">
        <a:xfrm>
          <a:off x="10787742" y="7427330"/>
          <a:ext cx="4288973" cy="181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43542</xdr:colOff>
      <xdr:row>23</xdr:row>
      <xdr:rowOff>424542</xdr:rowOff>
    </xdr:from>
    <xdr:to>
      <xdr:col>12</xdr:col>
      <xdr:colOff>2285999</xdr:colOff>
      <xdr:row>29</xdr:row>
      <xdr:rowOff>398794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9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51" t="10636" r="31071" b="23633"/>
        <a:stretch/>
      </xdr:blipFill>
      <xdr:spPr bwMode="auto">
        <a:xfrm>
          <a:off x="9294222" y="9888582"/>
          <a:ext cx="4901837" cy="2626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4900-00002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0412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9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4900-00002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9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1796143</xdr:colOff>
      <xdr:row>16</xdr:row>
      <xdr:rowOff>32661</xdr:rowOff>
    </xdr:from>
    <xdr:to>
      <xdr:col>10</xdr:col>
      <xdr:colOff>478972</xdr:colOff>
      <xdr:row>20</xdr:row>
      <xdr:rowOff>165896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9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804" t="16812" r="24103" b="47489"/>
        <a:stretch/>
      </xdr:blipFill>
      <xdr:spPr bwMode="auto">
        <a:xfrm>
          <a:off x="7892143" y="6444347"/>
          <a:ext cx="3167743" cy="1918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362496</xdr:rowOff>
    </xdr:from>
    <xdr:to>
      <xdr:col>7</xdr:col>
      <xdr:colOff>990693</xdr:colOff>
      <xdr:row>29</xdr:row>
      <xdr:rowOff>388622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900-00002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31" t="10724" r="29633" b="16316"/>
        <a:stretch/>
      </xdr:blipFill>
      <xdr:spPr bwMode="auto">
        <a:xfrm>
          <a:off x="0" y="6774182"/>
          <a:ext cx="9046122" cy="58282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239485</xdr:colOff>
      <xdr:row>0</xdr:row>
      <xdr:rowOff>0</xdr:rowOff>
    </xdr:from>
    <xdr:to>
      <xdr:col>19</xdr:col>
      <xdr:colOff>26024</xdr:colOff>
      <xdr:row>4</xdr:row>
      <xdr:rowOff>61355</xdr:rowOff>
    </xdr:to>
    <xdr:sp macro="" textlink="">
      <xdr:nvSpPr>
        <xdr:cNvPr id="44" name="Left Arrow 43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4900-00002C000000}"/>
            </a:ext>
          </a:extLst>
        </xdr:cNvPr>
        <xdr:cNvSpPr/>
      </xdr:nvSpPr>
      <xdr:spPr>
        <a:xfrm>
          <a:off x="17787256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350520</xdr:colOff>
      <xdr:row>5</xdr:row>
      <xdr:rowOff>15241</xdr:rowOff>
    </xdr:from>
    <xdr:to>
      <xdr:col>13</xdr:col>
      <xdr:colOff>807720</xdr:colOff>
      <xdr:row>5</xdr:row>
      <xdr:rowOff>410657</xdr:rowOff>
    </xdr:to>
    <xdr:pic>
      <xdr:nvPicPr>
        <xdr:cNvPr id="2" name="รูปภาพ 226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8980" y="1524001"/>
          <a:ext cx="457200" cy="395416"/>
        </a:xfrm>
        <a:prstGeom prst="rect">
          <a:avLst/>
        </a:prstGeom>
      </xdr:spPr>
    </xdr:pic>
    <xdr:clientData/>
  </xdr:twoCellAnchor>
  <xdr:twoCellAnchor>
    <xdr:from>
      <xdr:col>13</xdr:col>
      <xdr:colOff>268877</xdr:colOff>
      <xdr:row>9</xdr:row>
      <xdr:rowOff>33747</xdr:rowOff>
    </xdr:from>
    <xdr:to>
      <xdr:col>13</xdr:col>
      <xdr:colOff>849283</xdr:colOff>
      <xdr:row>9</xdr:row>
      <xdr:rowOff>422367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7337" y="3310347"/>
          <a:ext cx="580406" cy="388620"/>
        </a:xfrm>
        <a:prstGeom prst="rect">
          <a:avLst/>
        </a:prstGeom>
      </xdr:spPr>
    </xdr:pic>
    <xdr:clientData/>
  </xdr:twoCellAnchor>
  <xdr:twoCellAnchor>
    <xdr:from>
      <xdr:col>13</xdr:col>
      <xdr:colOff>129540</xdr:colOff>
      <xdr:row>10</xdr:row>
      <xdr:rowOff>45720</xdr:rowOff>
    </xdr:from>
    <xdr:to>
      <xdr:col>13</xdr:col>
      <xdr:colOff>921111</xdr:colOff>
      <xdr:row>10</xdr:row>
      <xdr:rowOff>411480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3764280"/>
          <a:ext cx="791571" cy="365760"/>
        </a:xfrm>
        <a:prstGeom prst="rect">
          <a:avLst/>
        </a:prstGeom>
      </xdr:spPr>
    </xdr:pic>
    <xdr:clientData/>
  </xdr:twoCellAnchor>
  <xdr:twoCellAnchor>
    <xdr:from>
      <xdr:col>13</xdr:col>
      <xdr:colOff>350520</xdr:colOff>
      <xdr:row>7</xdr:row>
      <xdr:rowOff>29393</xdr:rowOff>
    </xdr:from>
    <xdr:to>
      <xdr:col>13</xdr:col>
      <xdr:colOff>777913</xdr:colOff>
      <xdr:row>7</xdr:row>
      <xdr:rowOff>440872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98980" y="2422073"/>
          <a:ext cx="427393" cy="411479"/>
        </a:xfrm>
        <a:prstGeom prst="rect">
          <a:avLst/>
        </a:prstGeom>
      </xdr:spPr>
    </xdr:pic>
    <xdr:clientData/>
  </xdr:twoCellAnchor>
  <xdr:twoCellAnchor>
    <xdr:from>
      <xdr:col>13</xdr:col>
      <xdr:colOff>327661</xdr:colOff>
      <xdr:row>6</xdr:row>
      <xdr:rowOff>29393</xdr:rowOff>
    </xdr:from>
    <xdr:to>
      <xdr:col>13</xdr:col>
      <xdr:colOff>707572</xdr:colOff>
      <xdr:row>6</xdr:row>
      <xdr:rowOff>431014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4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76121" y="1980113"/>
          <a:ext cx="379911" cy="401621"/>
        </a:xfrm>
        <a:prstGeom prst="rect">
          <a:avLst/>
        </a:prstGeom>
      </xdr:spPr>
    </xdr:pic>
    <xdr:clientData/>
  </xdr:twoCellAnchor>
  <xdr:twoCellAnchor>
    <xdr:from>
      <xdr:col>13</xdr:col>
      <xdr:colOff>381000</xdr:colOff>
      <xdr:row>8</xdr:row>
      <xdr:rowOff>37013</xdr:rowOff>
    </xdr:from>
    <xdr:to>
      <xdr:col>13</xdr:col>
      <xdr:colOff>751114</xdr:colOff>
      <xdr:row>8</xdr:row>
      <xdr:rowOff>433035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4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29460" y="2871653"/>
          <a:ext cx="370114" cy="396022"/>
        </a:xfrm>
        <a:prstGeom prst="rect">
          <a:avLst/>
        </a:prstGeom>
      </xdr:spPr>
    </xdr:pic>
    <xdr:clientData/>
  </xdr:twoCellAnchor>
  <xdr:twoCellAnchor>
    <xdr:from>
      <xdr:col>13</xdr:col>
      <xdr:colOff>29562</xdr:colOff>
      <xdr:row>11</xdr:row>
      <xdr:rowOff>185547</xdr:rowOff>
    </xdr:from>
    <xdr:to>
      <xdr:col>13</xdr:col>
      <xdr:colOff>1059180</xdr:colOff>
      <xdr:row>11</xdr:row>
      <xdr:rowOff>279537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4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78022" y="4346067"/>
          <a:ext cx="1029618" cy="93990"/>
        </a:xfrm>
        <a:prstGeom prst="rect">
          <a:avLst/>
        </a:prstGeom>
      </xdr:spPr>
    </xdr:pic>
    <xdr:clientData/>
  </xdr:twoCellAnchor>
  <xdr:twoCellAnchor>
    <xdr:from>
      <xdr:col>13</xdr:col>
      <xdr:colOff>228600</xdr:colOff>
      <xdr:row>12</xdr:row>
      <xdr:rowOff>22861</xdr:rowOff>
    </xdr:from>
    <xdr:to>
      <xdr:col>13</xdr:col>
      <xdr:colOff>822960</xdr:colOff>
      <xdr:row>12</xdr:row>
      <xdr:rowOff>429057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4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77060" y="4625341"/>
          <a:ext cx="594360" cy="406196"/>
        </a:xfrm>
        <a:prstGeom prst="rect">
          <a:avLst/>
        </a:prstGeom>
      </xdr:spPr>
    </xdr:pic>
    <xdr:clientData/>
  </xdr:twoCellAnchor>
  <xdr:twoCellAnchor>
    <xdr:from>
      <xdr:col>13</xdr:col>
      <xdr:colOff>304801</xdr:colOff>
      <xdr:row>13</xdr:row>
      <xdr:rowOff>30480</xdr:rowOff>
    </xdr:from>
    <xdr:to>
      <xdr:col>13</xdr:col>
      <xdr:colOff>800101</xdr:colOff>
      <xdr:row>13</xdr:row>
      <xdr:rowOff>407995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4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653261" y="5074920"/>
          <a:ext cx="495300" cy="377515"/>
        </a:xfrm>
        <a:prstGeom prst="rect">
          <a:avLst/>
        </a:prstGeom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4A00-00000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53341</xdr:colOff>
      <xdr:row>7</xdr:row>
      <xdr:rowOff>99060</xdr:rowOff>
    </xdr:from>
    <xdr:to>
      <xdr:col>2</xdr:col>
      <xdr:colOff>1165861</xdr:colOff>
      <xdr:row>7</xdr:row>
      <xdr:rowOff>339015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4A00-00000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5" t="38416" r="49778" b="50294"/>
        <a:stretch/>
      </xdr:blipFill>
      <xdr:spPr bwMode="auto">
        <a:xfrm>
          <a:off x="2407921" y="2491740"/>
          <a:ext cx="1112520" cy="2399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213360</xdr:colOff>
      <xdr:row>8</xdr:row>
      <xdr:rowOff>44633</xdr:rowOff>
    </xdr:from>
    <xdr:to>
      <xdr:col>2</xdr:col>
      <xdr:colOff>998220</xdr:colOff>
      <xdr:row>8</xdr:row>
      <xdr:rowOff>427288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4A00-00000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09" t="14663" r="37650" b="65249"/>
        <a:stretch/>
      </xdr:blipFill>
      <xdr:spPr bwMode="auto">
        <a:xfrm>
          <a:off x="2567940" y="2879273"/>
          <a:ext cx="784860" cy="382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198121</xdr:colOff>
      <xdr:row>9</xdr:row>
      <xdr:rowOff>426720</xdr:rowOff>
    </xdr:from>
    <xdr:to>
      <xdr:col>2</xdr:col>
      <xdr:colOff>1066800</xdr:colOff>
      <xdr:row>10</xdr:row>
      <xdr:rowOff>124217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4A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86" t="39883" r="55746" b="45601"/>
        <a:stretch/>
      </xdr:blipFill>
      <xdr:spPr bwMode="auto">
        <a:xfrm>
          <a:off x="2552701" y="3703320"/>
          <a:ext cx="868679" cy="13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322064</xdr:colOff>
      <xdr:row>11</xdr:row>
      <xdr:rowOff>238554</xdr:rowOff>
    </xdr:from>
    <xdr:to>
      <xdr:col>2</xdr:col>
      <xdr:colOff>967740</xdr:colOff>
      <xdr:row>12</xdr:row>
      <xdr:rowOff>191463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4A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8651" r="49079" b="25660"/>
        <a:stretch/>
      </xdr:blipFill>
      <xdr:spPr bwMode="auto">
        <a:xfrm rot="5400000">
          <a:off x="2802047" y="4273671"/>
          <a:ext cx="394869" cy="645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530112</xdr:colOff>
      <xdr:row>3</xdr:row>
      <xdr:rowOff>44823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4A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97" t="73815" r="59821" b="23292"/>
        <a:stretch/>
      </xdr:blipFill>
      <xdr:spPr bwMode="auto">
        <a:xfrm>
          <a:off x="0" y="0"/>
          <a:ext cx="1193052" cy="799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65955</xdr:colOff>
      <xdr:row>24</xdr:row>
      <xdr:rowOff>358589</xdr:rowOff>
    </xdr:from>
    <xdr:to>
      <xdr:col>12</xdr:col>
      <xdr:colOff>1273629</xdr:colOff>
      <xdr:row>26</xdr:row>
      <xdr:rowOff>239486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4A00-000012000000}"/>
            </a:ext>
          </a:extLst>
        </xdr:cNvPr>
        <xdr:cNvSpPr/>
      </xdr:nvSpPr>
      <xdr:spPr>
        <a:xfrm>
          <a:off x="10642515" y="10264589"/>
          <a:ext cx="2541174" cy="7648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BI-FOLD 10P 5-5</a:t>
          </a:r>
        </a:p>
        <a:p>
          <a:pPr algn="ctr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บานเฟื้ยม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10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บาน 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-</a:t>
          </a:r>
          <a:r>
            <a:rPr lang="en-US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</a:t>
          </a:r>
          <a:endParaRPr lang="th-TH" sz="1600" b="0">
            <a:solidFill>
              <a:schemeClr val="tx1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>
    <xdr:from>
      <xdr:col>22</xdr:col>
      <xdr:colOff>153485</xdr:colOff>
      <xdr:row>13</xdr:row>
      <xdr:rowOff>45720</xdr:rowOff>
    </xdr:from>
    <xdr:to>
      <xdr:col>22</xdr:col>
      <xdr:colOff>603065</xdr:colOff>
      <xdr:row>13</xdr:row>
      <xdr:rowOff>420989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4A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09016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153485</xdr:colOff>
      <xdr:row>14</xdr:row>
      <xdr:rowOff>38100</xdr:rowOff>
    </xdr:from>
    <xdr:to>
      <xdr:col>22</xdr:col>
      <xdr:colOff>603065</xdr:colOff>
      <xdr:row>14</xdr:row>
      <xdr:rowOff>413369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4A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35" t="44428" r="45022" b="25953"/>
        <a:stretch/>
      </xdr:blipFill>
      <xdr:spPr bwMode="auto">
        <a:xfrm>
          <a:off x="20269200" y="5524500"/>
          <a:ext cx="0" cy="37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15</xdr:row>
      <xdr:rowOff>21773</xdr:rowOff>
    </xdr:from>
    <xdr:to>
      <xdr:col>22</xdr:col>
      <xdr:colOff>566058</xdr:colOff>
      <xdr:row>15</xdr:row>
      <xdr:rowOff>428045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4A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5950133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163288</xdr:colOff>
      <xdr:row>16</xdr:row>
      <xdr:rowOff>32659</xdr:rowOff>
    </xdr:from>
    <xdr:to>
      <xdr:col>22</xdr:col>
      <xdr:colOff>566058</xdr:colOff>
      <xdr:row>16</xdr:row>
      <xdr:rowOff>438931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4A00-00001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711" t="51738" r="37118" b="24255"/>
        <a:stretch/>
      </xdr:blipFill>
      <xdr:spPr bwMode="auto">
        <a:xfrm>
          <a:off x="20269200" y="6402979"/>
          <a:ext cx="0" cy="4062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17</xdr:row>
      <xdr:rowOff>21770</xdr:rowOff>
    </xdr:from>
    <xdr:to>
      <xdr:col>22</xdr:col>
      <xdr:colOff>609663</xdr:colOff>
      <xdr:row>17</xdr:row>
      <xdr:rowOff>438693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4A00-00001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6834050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206830</xdr:colOff>
      <xdr:row>21</xdr:row>
      <xdr:rowOff>10884</xdr:rowOff>
    </xdr:from>
    <xdr:to>
      <xdr:col>22</xdr:col>
      <xdr:colOff>609663</xdr:colOff>
      <xdr:row>21</xdr:row>
      <xdr:rowOff>427807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4A00-00001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2" t="41511" r="48103" b="21959"/>
        <a:stretch/>
      </xdr:blipFill>
      <xdr:spPr bwMode="auto">
        <a:xfrm>
          <a:off x="20269200" y="8591004"/>
          <a:ext cx="0" cy="4169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330271</xdr:colOff>
      <xdr:row>24</xdr:row>
      <xdr:rowOff>18071</xdr:rowOff>
    </xdr:from>
    <xdr:to>
      <xdr:col>13</xdr:col>
      <xdr:colOff>834688</xdr:colOff>
      <xdr:row>24</xdr:row>
      <xdr:rowOff>424542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4A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09" t="22207" r="57595" b="35036"/>
        <a:stretch/>
      </xdr:blipFill>
      <xdr:spPr bwMode="auto">
        <a:xfrm rot="5400000">
          <a:off x="14727704" y="9875098"/>
          <a:ext cx="406471" cy="50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351545</xdr:colOff>
      <xdr:row>23</xdr:row>
      <xdr:rowOff>51228</xdr:rowOff>
    </xdr:from>
    <xdr:to>
      <xdr:col>13</xdr:col>
      <xdr:colOff>839403</xdr:colOff>
      <xdr:row>23</xdr:row>
      <xdr:rowOff>402772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4A00-00001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73" t="29473" r="65651" b="42300"/>
        <a:stretch/>
      </xdr:blipFill>
      <xdr:spPr bwMode="auto">
        <a:xfrm rot="16200000" flipV="1">
          <a:off x="14768162" y="9447111"/>
          <a:ext cx="351544" cy="487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413658</xdr:colOff>
      <xdr:row>22</xdr:row>
      <xdr:rowOff>6048</xdr:rowOff>
    </xdr:from>
    <xdr:to>
      <xdr:col>13</xdr:col>
      <xdr:colOff>751114</xdr:colOff>
      <xdr:row>22</xdr:row>
      <xdr:rowOff>434564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4A00-00001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61" t="12661" r="41484" b="54130"/>
        <a:stretch/>
      </xdr:blipFill>
      <xdr:spPr bwMode="auto">
        <a:xfrm>
          <a:off x="14762118" y="9028128"/>
          <a:ext cx="337456" cy="42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664027</xdr:colOff>
      <xdr:row>0</xdr:row>
      <xdr:rowOff>97971</xdr:rowOff>
    </xdr:from>
    <xdr:to>
      <xdr:col>16</xdr:col>
      <xdr:colOff>631371</xdr:colOff>
      <xdr:row>2</xdr:row>
      <xdr:rowOff>206828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4A00-00001C000000}"/>
            </a:ext>
          </a:extLst>
        </xdr:cNvPr>
        <xdr:cNvSpPr/>
      </xdr:nvSpPr>
      <xdr:spPr>
        <a:xfrm>
          <a:off x="11240587" y="97971"/>
          <a:ext cx="6261464" cy="61177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</a:rPr>
            <a:t>ฮาร์ดแวร์ที่แสดงเป็นของ</a:t>
          </a:r>
          <a:r>
            <a:rPr lang="th-TH" sz="1600" baseline="0">
              <a:solidFill>
                <a:schemeClr val="tx1"/>
              </a:solidFill>
            </a:rPr>
            <a:t> </a:t>
          </a:r>
          <a:r>
            <a:rPr lang="en-US" sz="1600" baseline="0">
              <a:solidFill>
                <a:schemeClr val="tx1"/>
              </a:solidFill>
            </a:rPr>
            <a:t>HYDA  </a:t>
          </a:r>
          <a:r>
            <a:rPr lang="th-TH" sz="1600" baseline="0">
              <a:solidFill>
                <a:schemeClr val="tx1"/>
              </a:solidFill>
            </a:rPr>
            <a:t>แต่สามารถเทียบเคียงใช้กับยี่ห้ออื่นได้</a:t>
          </a:r>
        </a:p>
        <a:p>
          <a:pPr algn="l"/>
          <a:r>
            <a:rPr lang="th-TH" sz="1600" baseline="0">
              <a:solidFill>
                <a:schemeClr val="tx1"/>
              </a:solidFill>
            </a:rPr>
            <a:t>เช่น </a:t>
          </a:r>
          <a:r>
            <a:rPr lang="en-US" sz="1600" baseline="0">
              <a:solidFill>
                <a:schemeClr val="tx1"/>
              </a:solidFill>
            </a:rPr>
            <a:t>KIN LONG, CMECH, GU, PBM </a:t>
          </a:r>
          <a:r>
            <a:rPr lang="th-TH" sz="1600" baseline="0">
              <a:solidFill>
                <a:schemeClr val="tx1"/>
              </a:solidFill>
            </a:rPr>
            <a:t>หรืออื่นๆ</a:t>
          </a:r>
          <a:endParaRPr lang="th-TH" sz="16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359230</xdr:colOff>
      <xdr:row>13</xdr:row>
      <xdr:rowOff>65316</xdr:rowOff>
    </xdr:from>
    <xdr:to>
      <xdr:col>2</xdr:col>
      <xdr:colOff>916067</xdr:colOff>
      <xdr:row>13</xdr:row>
      <xdr:rowOff>435429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4A00-00001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442" t="24284" r="39764" b="52678"/>
        <a:stretch/>
      </xdr:blipFill>
      <xdr:spPr bwMode="auto">
        <a:xfrm>
          <a:off x="2713810" y="5109756"/>
          <a:ext cx="556837" cy="370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388621</xdr:colOff>
      <xdr:row>14</xdr:row>
      <xdr:rowOff>22860</xdr:rowOff>
    </xdr:from>
    <xdr:to>
      <xdr:col>13</xdr:col>
      <xdr:colOff>709394</xdr:colOff>
      <xdr:row>14</xdr:row>
      <xdr:rowOff>415834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4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737081" y="5509260"/>
          <a:ext cx="320773" cy="392974"/>
        </a:xfrm>
        <a:prstGeom prst="rect">
          <a:avLst/>
        </a:prstGeom>
      </xdr:spPr>
    </xdr:pic>
    <xdr:clientData/>
  </xdr:twoCellAnchor>
  <xdr:twoCellAnchor editAs="oneCell">
    <xdr:from>
      <xdr:col>13</xdr:col>
      <xdr:colOff>464821</xdr:colOff>
      <xdr:row>16</xdr:row>
      <xdr:rowOff>53340</xdr:rowOff>
    </xdr:from>
    <xdr:to>
      <xdr:col>13</xdr:col>
      <xdr:colOff>666207</xdr:colOff>
      <xdr:row>17</xdr:row>
      <xdr:rowOff>1204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4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813281" y="6423660"/>
          <a:ext cx="201386" cy="389824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22861</xdr:colOff>
      <xdr:row>15</xdr:row>
      <xdr:rowOff>167640</xdr:rowOff>
    </xdr:from>
    <xdr:to>
      <xdr:col>13</xdr:col>
      <xdr:colOff>1070067</xdr:colOff>
      <xdr:row>15</xdr:row>
      <xdr:rowOff>320714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4A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371321" y="6096000"/>
          <a:ext cx="1047206" cy="153074"/>
        </a:xfrm>
        <a:prstGeom prst="rect">
          <a:avLst/>
        </a:prstGeom>
      </xdr:spPr>
    </xdr:pic>
    <xdr:clientData/>
  </xdr:twoCellAnchor>
  <xdr:twoCellAnchor editAs="oneCell">
    <xdr:from>
      <xdr:col>13</xdr:col>
      <xdr:colOff>239485</xdr:colOff>
      <xdr:row>17</xdr:row>
      <xdr:rowOff>47112</xdr:rowOff>
    </xdr:from>
    <xdr:to>
      <xdr:col>13</xdr:col>
      <xdr:colOff>831019</xdr:colOff>
      <xdr:row>17</xdr:row>
      <xdr:rowOff>384865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4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87945" y="6859392"/>
          <a:ext cx="591534" cy="337753"/>
        </a:xfrm>
        <a:prstGeom prst="rect">
          <a:avLst/>
        </a:prstGeom>
      </xdr:spPr>
    </xdr:pic>
    <xdr:clientData/>
  </xdr:twoCellAnchor>
  <xdr:twoCellAnchor editAs="oneCell">
    <xdr:from>
      <xdr:col>13</xdr:col>
      <xdr:colOff>10886</xdr:colOff>
      <xdr:row>18</xdr:row>
      <xdr:rowOff>174171</xdr:rowOff>
    </xdr:from>
    <xdr:to>
      <xdr:col>14</xdr:col>
      <xdr:colOff>1030</xdr:colOff>
      <xdr:row>18</xdr:row>
      <xdr:rowOff>275408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4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359346" y="7428411"/>
          <a:ext cx="1186484" cy="101237"/>
        </a:xfrm>
        <a:prstGeom prst="rect">
          <a:avLst/>
        </a:prstGeom>
      </xdr:spPr>
    </xdr:pic>
    <xdr:clientData/>
  </xdr:twoCellAnchor>
  <xdr:twoCellAnchor editAs="oneCell">
    <xdr:from>
      <xdr:col>2</xdr:col>
      <xdr:colOff>881737</xdr:colOff>
      <xdr:row>16</xdr:row>
      <xdr:rowOff>32650</xdr:rowOff>
    </xdr:from>
    <xdr:to>
      <xdr:col>6</xdr:col>
      <xdr:colOff>1393364</xdr:colOff>
      <xdr:row>21</xdr:row>
      <xdr:rowOff>404627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4A00-00002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8" t="21378" r="31857" b="17209"/>
        <a:stretch/>
      </xdr:blipFill>
      <xdr:spPr bwMode="auto">
        <a:xfrm>
          <a:off x="3236317" y="6402970"/>
          <a:ext cx="4253047" cy="2581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1676398</xdr:colOff>
      <xdr:row>16</xdr:row>
      <xdr:rowOff>65320</xdr:rowOff>
    </xdr:from>
    <xdr:to>
      <xdr:col>10</xdr:col>
      <xdr:colOff>304797</xdr:colOff>
      <xdr:row>21</xdr:row>
      <xdr:rowOff>181925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4A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91" t="16812" r="37998" b="27771"/>
        <a:stretch/>
      </xdr:blipFill>
      <xdr:spPr bwMode="auto">
        <a:xfrm>
          <a:off x="7772398" y="6435640"/>
          <a:ext cx="3108959" cy="2326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326571</xdr:colOff>
      <xdr:row>32</xdr:row>
      <xdr:rowOff>92996</xdr:rowOff>
    </xdr:from>
    <xdr:to>
      <xdr:col>16</xdr:col>
      <xdr:colOff>619846</xdr:colOff>
      <xdr:row>32</xdr:row>
      <xdr:rowOff>387551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4A00-000027000000}"/>
            </a:ext>
          </a:extLst>
        </xdr:cNvPr>
        <xdr:cNvSpPr/>
      </xdr:nvSpPr>
      <xdr:spPr>
        <a:xfrm>
          <a:off x="15871371" y="13534676"/>
          <a:ext cx="1619155" cy="2945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th-TH" sz="1600" b="0">
              <a:solidFill>
                <a:schemeClr val="tx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ตำแหน่งบานพับ</a:t>
          </a:r>
        </a:p>
      </xdr:txBody>
    </xdr:sp>
    <xdr:clientData/>
  </xdr:twoCellAnchor>
  <xdr:twoCellAnchor editAs="oneCell">
    <xdr:from>
      <xdr:col>14</xdr:col>
      <xdr:colOff>97971</xdr:colOff>
      <xdr:row>28</xdr:row>
      <xdr:rowOff>76200</xdr:rowOff>
    </xdr:from>
    <xdr:to>
      <xdr:col>16</xdr:col>
      <xdr:colOff>620485</xdr:colOff>
      <xdr:row>32</xdr:row>
      <xdr:rowOff>92997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4A00-00002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26" t="31756" r="31083" b="14279"/>
        <a:stretch/>
      </xdr:blipFill>
      <xdr:spPr bwMode="auto">
        <a:xfrm>
          <a:off x="15642771" y="11750040"/>
          <a:ext cx="1848394" cy="1784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424542</xdr:colOff>
      <xdr:row>20</xdr:row>
      <xdr:rowOff>32656</xdr:rowOff>
    </xdr:from>
    <xdr:to>
      <xdr:col>13</xdr:col>
      <xdr:colOff>761999</xdr:colOff>
      <xdr:row>20</xdr:row>
      <xdr:rowOff>417941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4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773002" y="8170816"/>
          <a:ext cx="337457" cy="38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87086</xdr:colOff>
      <xdr:row>21</xdr:row>
      <xdr:rowOff>119743</xdr:rowOff>
    </xdr:from>
    <xdr:to>
      <xdr:col>13</xdr:col>
      <xdr:colOff>1099458</xdr:colOff>
      <xdr:row>21</xdr:row>
      <xdr:rowOff>382210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4A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62" t="61436" r="45562" b="28394"/>
        <a:stretch/>
      </xdr:blipFill>
      <xdr:spPr bwMode="auto">
        <a:xfrm>
          <a:off x="14435546" y="8699863"/>
          <a:ext cx="1012372" cy="262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348347</xdr:colOff>
      <xdr:row>19</xdr:row>
      <xdr:rowOff>32659</xdr:rowOff>
    </xdr:from>
    <xdr:to>
      <xdr:col>13</xdr:col>
      <xdr:colOff>849089</xdr:colOff>
      <xdr:row>19</xdr:row>
      <xdr:rowOff>425803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4A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/>
        <a:srcRect l="6017" t="4571" r="2994" b="8560"/>
        <a:stretch/>
      </xdr:blipFill>
      <xdr:spPr>
        <a:xfrm>
          <a:off x="14696807" y="7728859"/>
          <a:ext cx="500742" cy="393144"/>
        </a:xfrm>
        <a:prstGeom prst="rect">
          <a:avLst/>
        </a:prstGeom>
      </xdr:spPr>
    </xdr:pic>
    <xdr:clientData/>
  </xdr:twoCellAnchor>
  <xdr:twoCellAnchor editAs="oneCell">
    <xdr:from>
      <xdr:col>7</xdr:col>
      <xdr:colOff>979712</xdr:colOff>
      <xdr:row>26</xdr:row>
      <xdr:rowOff>97970</xdr:rowOff>
    </xdr:from>
    <xdr:to>
      <xdr:col>12</xdr:col>
      <xdr:colOff>2438397</xdr:colOff>
      <xdr:row>32</xdr:row>
      <xdr:rowOff>351521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4A00-00002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5" t="13788" r="30717" b="19389"/>
        <a:stretch/>
      </xdr:blipFill>
      <xdr:spPr bwMode="auto">
        <a:xfrm>
          <a:off x="9034052" y="10887890"/>
          <a:ext cx="5314405" cy="2905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32658</xdr:colOff>
      <xdr:row>14</xdr:row>
      <xdr:rowOff>217720</xdr:rowOff>
    </xdr:from>
    <xdr:ext cx="1160190" cy="435429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4A00-00002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6" t="34541" r="45262" b="33445"/>
        <a:stretch/>
      </xdr:blipFill>
      <xdr:spPr bwMode="auto">
        <a:xfrm>
          <a:off x="2387238" y="5704120"/>
          <a:ext cx="1160190" cy="435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4A00-00002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297180</xdr:colOff>
      <xdr:row>5</xdr:row>
      <xdr:rowOff>15241</xdr:rowOff>
    </xdr:from>
    <xdr:to>
      <xdr:col>2</xdr:col>
      <xdr:colOff>868680</xdr:colOff>
      <xdr:row>6</xdr:row>
      <xdr:rowOff>1037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4A00-00002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33" t="23314" r="50984" b="15396"/>
        <a:stretch/>
      </xdr:blipFill>
      <xdr:spPr bwMode="auto">
        <a:xfrm>
          <a:off x="2651760" y="1524001"/>
          <a:ext cx="571500" cy="427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283030</xdr:colOff>
      <xdr:row>6</xdr:row>
      <xdr:rowOff>54428</xdr:rowOff>
    </xdr:from>
    <xdr:to>
      <xdr:col>2</xdr:col>
      <xdr:colOff>957943</xdr:colOff>
      <xdr:row>6</xdr:row>
      <xdr:rowOff>414853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4A00-00003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57" t="28433" r="56221" b="28601"/>
        <a:stretch/>
      </xdr:blipFill>
      <xdr:spPr bwMode="auto">
        <a:xfrm>
          <a:off x="2637610" y="2005148"/>
          <a:ext cx="674913" cy="36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326572</xdr:rowOff>
    </xdr:from>
    <xdr:to>
      <xdr:col>7</xdr:col>
      <xdr:colOff>968632</xdr:colOff>
      <xdr:row>32</xdr:row>
      <xdr:rowOff>396245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4A00-00003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699" t="9910" r="30564" b="17066"/>
        <a:stretch/>
      </xdr:blipFill>
      <xdr:spPr bwMode="auto">
        <a:xfrm>
          <a:off x="0" y="8077201"/>
          <a:ext cx="9024061" cy="5871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228600</xdr:colOff>
      <xdr:row>0</xdr:row>
      <xdr:rowOff>0</xdr:rowOff>
    </xdr:from>
    <xdr:to>
      <xdr:col>19</xdr:col>
      <xdr:colOff>15139</xdr:colOff>
      <xdr:row>4</xdr:row>
      <xdr:rowOff>61355</xdr:rowOff>
    </xdr:to>
    <xdr:sp macro="" textlink="">
      <xdr:nvSpPr>
        <xdr:cNvPr id="52" name="Left Arrow 5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4A00-000034000000}"/>
            </a:ext>
          </a:extLst>
        </xdr:cNvPr>
        <xdr:cNvSpPr/>
      </xdr:nvSpPr>
      <xdr:spPr>
        <a:xfrm>
          <a:off x="17776371" y="0"/>
          <a:ext cx="1190797" cy="1062841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Back</a:t>
          </a:r>
          <a:endParaRPr lang="th-TH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tabSelected="1" zoomScale="70" zoomScaleNormal="70" workbookViewId="0"/>
  </sheetViews>
  <sheetFormatPr defaultColWidth="9.09765625" defaultRowHeight="13.8" x14ac:dyDescent="0.25"/>
  <cols>
    <col min="1" max="16384" width="9.09765625" style="62"/>
  </cols>
  <sheetData/>
  <printOptions horizontalCentered="1"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W194"/>
  <sheetViews>
    <sheetView zoomScale="70" zoomScaleNormal="70" workbookViewId="0">
      <pane ySplit="3" topLeftCell="A10" activePane="bottomLeft" state="frozen"/>
      <selection pane="bottomLeft"/>
    </sheetView>
  </sheetViews>
  <sheetFormatPr defaultColWidth="9.09765625" defaultRowHeight="13.8" x14ac:dyDescent="0.25"/>
  <cols>
    <col min="1" max="1" width="9.09765625" style="62"/>
    <col min="2" max="5" width="9.09765625" style="62" customWidth="1"/>
    <col min="6" max="8" width="9.09765625" style="62"/>
    <col min="9" max="9" width="9.09765625" style="64"/>
    <col min="10" max="16384" width="9.09765625" style="62"/>
  </cols>
  <sheetData>
    <row r="2" spans="1:11" ht="34.799999999999997" x14ac:dyDescent="0.55000000000000004">
      <c r="B2" s="63"/>
    </row>
    <row r="3" spans="1:11" ht="34.950000000000003" customHeight="1" x14ac:dyDescent="0.25"/>
    <row r="4" spans="1:11" ht="34.950000000000003" customHeight="1" x14ac:dyDescent="0.25">
      <c r="A4" s="65" t="s">
        <v>101</v>
      </c>
    </row>
    <row r="5" spans="1:11" ht="34.950000000000003" customHeight="1" x14ac:dyDescent="0.25">
      <c r="A5" s="66"/>
      <c r="K5" s="66"/>
    </row>
    <row r="6" spans="1:11" ht="34.950000000000003" customHeight="1" x14ac:dyDescent="0.25"/>
    <row r="7" spans="1:11" ht="34.950000000000003" customHeight="1" x14ac:dyDescent="0.25"/>
    <row r="8" spans="1:11" ht="34.950000000000003" customHeight="1" x14ac:dyDescent="0.25"/>
    <row r="9" spans="1:11" ht="34.950000000000003" customHeight="1" x14ac:dyDescent="0.25"/>
    <row r="10" spans="1:11" ht="34.950000000000003" customHeight="1" x14ac:dyDescent="0.25"/>
    <row r="11" spans="1:11" ht="34.950000000000003" customHeight="1" x14ac:dyDescent="0.25"/>
    <row r="12" spans="1:11" ht="34.950000000000003" customHeight="1" x14ac:dyDescent="0.25">
      <c r="A12" s="65" t="s">
        <v>102</v>
      </c>
    </row>
    <row r="13" spans="1:11" ht="34.950000000000003" customHeight="1" x14ac:dyDescent="0.25"/>
    <row r="14" spans="1:11" ht="34.950000000000003" customHeight="1" x14ac:dyDescent="0.25"/>
    <row r="15" spans="1:11" ht="34.950000000000003" customHeight="1" x14ac:dyDescent="0.25"/>
    <row r="16" spans="1:11" ht="34.950000000000003" customHeight="1" x14ac:dyDescent="0.25"/>
    <row r="17" spans="1:10" ht="34.950000000000003" customHeight="1" x14ac:dyDescent="0.25"/>
    <row r="18" spans="1:10" ht="34.950000000000003" customHeight="1" x14ac:dyDescent="0.25"/>
    <row r="19" spans="1:10" ht="34.950000000000003" customHeight="1" x14ac:dyDescent="0.25"/>
    <row r="20" spans="1:10" ht="34.950000000000003" customHeight="1" x14ac:dyDescent="0.25">
      <c r="A20" s="65" t="s">
        <v>103</v>
      </c>
    </row>
    <row r="21" spans="1:10" ht="34.950000000000003" customHeight="1" x14ac:dyDescent="0.25"/>
    <row r="22" spans="1:10" ht="34.950000000000003" customHeight="1" x14ac:dyDescent="0.25"/>
    <row r="23" spans="1:10" ht="34.950000000000003" customHeight="1" x14ac:dyDescent="0.25"/>
    <row r="24" spans="1:10" ht="34.950000000000003" customHeight="1" x14ac:dyDescent="0.25"/>
    <row r="25" spans="1:10" ht="34.950000000000003" customHeight="1" x14ac:dyDescent="0.25"/>
    <row r="26" spans="1:10" ht="34.950000000000003" customHeight="1" x14ac:dyDescent="0.25">
      <c r="B26" s="67"/>
      <c r="J26" s="67"/>
    </row>
    <row r="27" spans="1:10" ht="34.950000000000003" customHeight="1" x14ac:dyDescent="0.25"/>
    <row r="28" spans="1:10" ht="34.950000000000003" customHeight="1" x14ac:dyDescent="0.25">
      <c r="A28" s="65" t="s">
        <v>104</v>
      </c>
    </row>
    <row r="29" spans="1:10" ht="34.950000000000003" customHeight="1" x14ac:dyDescent="0.25"/>
    <row r="30" spans="1:10" ht="34.950000000000003" customHeight="1" x14ac:dyDescent="0.25"/>
    <row r="31" spans="1:10" ht="34.950000000000003" customHeight="1" x14ac:dyDescent="0.25"/>
    <row r="32" spans="1:10" ht="34.950000000000003" customHeight="1" x14ac:dyDescent="0.25"/>
    <row r="33" spans="1:23" ht="34.950000000000003" customHeight="1" x14ac:dyDescent="0.25"/>
    <row r="34" spans="1:23" ht="34.950000000000003" customHeight="1" x14ac:dyDescent="0.25"/>
    <row r="35" spans="1:23" ht="34.950000000000003" customHeight="1" x14ac:dyDescent="0.25"/>
    <row r="36" spans="1:23" ht="34.950000000000003" customHeight="1" x14ac:dyDescent="0.25">
      <c r="A36" s="65" t="s">
        <v>105</v>
      </c>
    </row>
    <row r="37" spans="1:23" ht="34.950000000000003" customHeight="1" x14ac:dyDescent="0.25"/>
    <row r="38" spans="1:23" ht="34.950000000000003" customHeight="1" x14ac:dyDescent="0.25">
      <c r="U38" s="62">
        <v>1</v>
      </c>
      <c r="V38" s="62">
        <v>1</v>
      </c>
    </row>
    <row r="39" spans="1:23" ht="34.950000000000003" customHeight="1" x14ac:dyDescent="0.25">
      <c r="U39" s="62">
        <v>1</v>
      </c>
      <c r="V39" s="62">
        <v>1</v>
      </c>
      <c r="W39" s="62">
        <v>1</v>
      </c>
    </row>
    <row r="40" spans="1:23" ht="34.950000000000003" customHeight="1" x14ac:dyDescent="0.25">
      <c r="U40" s="62">
        <v>1</v>
      </c>
      <c r="V40" s="62">
        <v>2</v>
      </c>
      <c r="W40" s="62">
        <v>1</v>
      </c>
    </row>
    <row r="41" spans="1:23" ht="34.950000000000003" customHeight="1" x14ac:dyDescent="0.25">
      <c r="U41" s="62">
        <v>1</v>
      </c>
      <c r="V41" s="62">
        <v>1</v>
      </c>
    </row>
    <row r="42" spans="1:23" ht="34.950000000000003" customHeight="1" x14ac:dyDescent="0.25"/>
    <row r="43" spans="1:23" ht="34.950000000000003" customHeight="1" x14ac:dyDescent="0.25"/>
    <row r="44" spans="1:23" ht="34.950000000000003" customHeight="1" x14ac:dyDescent="0.25">
      <c r="A44" s="65" t="s">
        <v>106</v>
      </c>
    </row>
    <row r="45" spans="1:23" ht="34.950000000000003" customHeight="1" x14ac:dyDescent="0.25"/>
    <row r="46" spans="1:23" ht="34.950000000000003" customHeight="1" x14ac:dyDescent="0.25"/>
    <row r="47" spans="1:23" ht="34.950000000000003" customHeight="1" x14ac:dyDescent="0.25"/>
    <row r="48" spans="1:23" ht="34.950000000000003" customHeight="1" x14ac:dyDescent="0.25"/>
    <row r="49" spans="1:1" ht="34.950000000000003" customHeight="1" x14ac:dyDescent="0.25"/>
    <row r="50" spans="1:1" ht="34.950000000000003" customHeight="1" x14ac:dyDescent="0.25"/>
    <row r="51" spans="1:1" ht="34.950000000000003" customHeight="1" x14ac:dyDescent="0.25"/>
    <row r="52" spans="1:1" ht="34.950000000000003" customHeight="1" x14ac:dyDescent="0.25">
      <c r="A52" s="65" t="s">
        <v>107</v>
      </c>
    </row>
    <row r="53" spans="1:1" ht="34.950000000000003" customHeight="1" x14ac:dyDescent="0.25"/>
    <row r="54" spans="1:1" ht="34.950000000000003" customHeight="1" x14ac:dyDescent="0.25"/>
    <row r="55" spans="1:1" ht="34.950000000000003" customHeight="1" x14ac:dyDescent="0.25"/>
    <row r="56" spans="1:1" ht="34.950000000000003" customHeight="1" x14ac:dyDescent="0.25"/>
    <row r="57" spans="1:1" ht="34.950000000000003" customHeight="1" x14ac:dyDescent="0.25"/>
    <row r="58" spans="1:1" ht="34.950000000000003" customHeight="1" x14ac:dyDescent="0.25"/>
    <row r="59" spans="1:1" ht="34.950000000000003" customHeight="1" x14ac:dyDescent="0.25"/>
    <row r="60" spans="1:1" ht="34.950000000000003" customHeight="1" x14ac:dyDescent="0.25">
      <c r="A60" s="65" t="s">
        <v>108</v>
      </c>
    </row>
    <row r="61" spans="1:1" ht="34.950000000000003" customHeight="1" x14ac:dyDescent="0.25"/>
    <row r="62" spans="1:1" ht="34.950000000000003" customHeight="1" x14ac:dyDescent="0.25"/>
    <row r="63" spans="1:1" ht="34.950000000000003" customHeight="1" x14ac:dyDescent="0.25"/>
    <row r="64" spans="1:1" ht="34.950000000000003" customHeight="1" x14ac:dyDescent="0.25"/>
    <row r="65" spans="1:1" ht="34.950000000000003" customHeight="1" x14ac:dyDescent="0.25"/>
    <row r="66" spans="1:1" ht="34.950000000000003" customHeight="1" x14ac:dyDescent="0.25"/>
    <row r="67" spans="1:1" ht="34.950000000000003" customHeight="1" x14ac:dyDescent="0.25"/>
    <row r="68" spans="1:1" ht="34.950000000000003" customHeight="1" x14ac:dyDescent="0.25"/>
    <row r="69" spans="1:1" ht="34.950000000000003" customHeight="1" x14ac:dyDescent="0.25"/>
    <row r="70" spans="1:1" ht="34.950000000000003" customHeight="1" x14ac:dyDescent="0.25"/>
    <row r="71" spans="1:1" ht="34.950000000000003" customHeight="1" x14ac:dyDescent="0.25"/>
    <row r="72" spans="1:1" ht="34.950000000000003" customHeight="1" x14ac:dyDescent="0.25"/>
    <row r="73" spans="1:1" ht="34.950000000000003" customHeight="1" x14ac:dyDescent="0.25"/>
    <row r="74" spans="1:1" ht="34.950000000000003" customHeight="1" x14ac:dyDescent="0.25"/>
    <row r="75" spans="1:1" ht="34.950000000000003" customHeight="1" x14ac:dyDescent="0.25">
      <c r="A75" s="65" t="s">
        <v>109</v>
      </c>
    </row>
    <row r="76" spans="1:1" ht="34.950000000000003" customHeight="1" x14ac:dyDescent="0.25"/>
    <row r="77" spans="1:1" ht="34.950000000000003" customHeight="1" x14ac:dyDescent="0.25"/>
    <row r="78" spans="1:1" ht="34.950000000000003" customHeight="1" x14ac:dyDescent="0.25"/>
    <row r="79" spans="1:1" ht="34.950000000000003" customHeight="1" x14ac:dyDescent="0.25"/>
    <row r="80" spans="1:1" ht="34.950000000000003" customHeight="1" x14ac:dyDescent="0.25"/>
    <row r="81" spans="1:1" ht="34.950000000000003" customHeight="1" x14ac:dyDescent="0.25"/>
    <row r="82" spans="1:1" ht="34.950000000000003" customHeight="1" x14ac:dyDescent="0.25"/>
    <row r="83" spans="1:1" ht="34.950000000000003" customHeight="1" x14ac:dyDescent="0.25"/>
    <row r="84" spans="1:1" ht="34.950000000000003" customHeight="1" x14ac:dyDescent="0.25"/>
    <row r="85" spans="1:1" ht="34.950000000000003" customHeight="1" x14ac:dyDescent="0.25"/>
    <row r="86" spans="1:1" ht="34.950000000000003" customHeight="1" x14ac:dyDescent="0.25"/>
    <row r="87" spans="1:1" ht="34.950000000000003" customHeight="1" x14ac:dyDescent="0.25"/>
    <row r="88" spans="1:1" ht="34.950000000000003" customHeight="1" x14ac:dyDescent="0.25"/>
    <row r="89" spans="1:1" ht="34.950000000000003" customHeight="1" x14ac:dyDescent="0.25"/>
    <row r="90" spans="1:1" ht="34.950000000000003" customHeight="1" x14ac:dyDescent="0.25"/>
    <row r="91" spans="1:1" ht="34.950000000000003" customHeight="1" x14ac:dyDescent="0.25">
      <c r="A91" s="65" t="s">
        <v>249</v>
      </c>
    </row>
    <row r="92" spans="1:1" ht="34.950000000000003" customHeight="1" x14ac:dyDescent="0.25"/>
    <row r="93" spans="1:1" ht="34.950000000000003" customHeight="1" x14ac:dyDescent="0.25"/>
    <row r="94" spans="1:1" ht="34.950000000000003" customHeight="1" x14ac:dyDescent="0.25"/>
    <row r="95" spans="1:1" ht="34.950000000000003" customHeight="1" x14ac:dyDescent="0.25"/>
    <row r="96" spans="1:1" ht="34.950000000000003" customHeight="1" x14ac:dyDescent="0.25"/>
    <row r="97" ht="34.950000000000003" customHeight="1" x14ac:dyDescent="0.25"/>
    <row r="98" ht="34.950000000000003" customHeight="1" x14ac:dyDescent="0.25"/>
    <row r="99" ht="34.950000000000003" customHeight="1" x14ac:dyDescent="0.25"/>
    <row r="100" ht="34.950000000000003" customHeight="1" x14ac:dyDescent="0.25"/>
    <row r="101" ht="34.950000000000003" customHeight="1" x14ac:dyDescent="0.25"/>
    <row r="102" ht="34.950000000000003" customHeight="1" x14ac:dyDescent="0.25"/>
    <row r="103" ht="34.950000000000003" customHeight="1" x14ac:dyDescent="0.25"/>
    <row r="104" ht="34.950000000000003" customHeight="1" x14ac:dyDescent="0.25"/>
    <row r="105" ht="34.950000000000003" customHeight="1" x14ac:dyDescent="0.25"/>
    <row r="106" ht="34.950000000000003" customHeight="1" x14ac:dyDescent="0.25"/>
    <row r="107" ht="34.950000000000003" customHeight="1" x14ac:dyDescent="0.25"/>
    <row r="108" ht="34.950000000000003" customHeight="1" x14ac:dyDescent="0.25"/>
    <row r="109" ht="34.950000000000003" customHeight="1" x14ac:dyDescent="0.25"/>
    <row r="110" ht="34.950000000000003" customHeight="1" x14ac:dyDescent="0.25"/>
    <row r="111" ht="34.950000000000003" customHeight="1" x14ac:dyDescent="0.25"/>
    <row r="112" ht="34.950000000000003" customHeight="1" x14ac:dyDescent="0.25"/>
    <row r="113" ht="34.950000000000003" customHeight="1" x14ac:dyDescent="0.25"/>
    <row r="114" ht="34.950000000000003" customHeight="1" x14ac:dyDescent="0.25"/>
    <row r="115" ht="34.950000000000003" customHeight="1" x14ac:dyDescent="0.25"/>
    <row r="116" ht="34.950000000000003" customHeight="1" x14ac:dyDescent="0.25"/>
    <row r="117" ht="34.950000000000003" customHeight="1" x14ac:dyDescent="0.25"/>
    <row r="118" ht="34.950000000000003" customHeight="1" x14ac:dyDescent="0.25"/>
    <row r="119" ht="34.950000000000003" customHeight="1" x14ac:dyDescent="0.25"/>
    <row r="120" ht="34.950000000000003" customHeight="1" x14ac:dyDescent="0.25"/>
    <row r="121" ht="34.950000000000003" customHeight="1" x14ac:dyDescent="0.25"/>
    <row r="122" ht="34.950000000000003" customHeight="1" x14ac:dyDescent="0.25"/>
    <row r="123" ht="34.950000000000003" customHeight="1" x14ac:dyDescent="0.25"/>
    <row r="124" ht="34.950000000000003" customHeight="1" x14ac:dyDescent="0.25"/>
    <row r="125" ht="34.950000000000003" customHeight="1" x14ac:dyDescent="0.25"/>
    <row r="126" ht="34.950000000000003" customHeight="1" x14ac:dyDescent="0.25"/>
    <row r="127" ht="34.950000000000003" customHeight="1" x14ac:dyDescent="0.25"/>
    <row r="128" ht="34.950000000000003" customHeight="1" x14ac:dyDescent="0.25"/>
    <row r="129" ht="34.950000000000003" customHeight="1" x14ac:dyDescent="0.25"/>
    <row r="130" ht="34.950000000000003" customHeight="1" x14ac:dyDescent="0.25"/>
    <row r="131" ht="34.950000000000003" customHeight="1" x14ac:dyDescent="0.25"/>
    <row r="132" ht="34.950000000000003" customHeight="1" x14ac:dyDescent="0.25"/>
    <row r="133" ht="34.950000000000003" customHeight="1" x14ac:dyDescent="0.25"/>
    <row r="134" ht="34.950000000000003" customHeight="1" x14ac:dyDescent="0.25"/>
    <row r="135" ht="34.950000000000003" customHeight="1" x14ac:dyDescent="0.25"/>
    <row r="136" ht="34.950000000000003" customHeight="1" x14ac:dyDescent="0.25"/>
    <row r="137" ht="34.950000000000003" customHeight="1" x14ac:dyDescent="0.25"/>
    <row r="138" ht="34.950000000000003" customHeight="1" x14ac:dyDescent="0.25"/>
    <row r="139" ht="34.950000000000003" customHeight="1" x14ac:dyDescent="0.25"/>
    <row r="140" ht="34.950000000000003" customHeight="1" x14ac:dyDescent="0.25"/>
    <row r="141" ht="34.950000000000003" customHeight="1" x14ac:dyDescent="0.25"/>
    <row r="142" ht="34.950000000000003" customHeight="1" x14ac:dyDescent="0.25"/>
    <row r="143" ht="34.950000000000003" customHeight="1" x14ac:dyDescent="0.25"/>
    <row r="144" ht="34.950000000000003" customHeight="1" x14ac:dyDescent="0.25"/>
    <row r="145" ht="34.950000000000003" customHeight="1" x14ac:dyDescent="0.25"/>
    <row r="146" ht="34.950000000000003" customHeight="1" x14ac:dyDescent="0.25"/>
    <row r="147" ht="34.950000000000003" customHeight="1" x14ac:dyDescent="0.25"/>
    <row r="148" ht="34.950000000000003" customHeight="1" x14ac:dyDescent="0.25"/>
    <row r="149" ht="34.950000000000003" customHeight="1" x14ac:dyDescent="0.25"/>
    <row r="150" ht="34.950000000000003" customHeight="1" x14ac:dyDescent="0.25"/>
    <row r="151" ht="34.950000000000003" customHeight="1" x14ac:dyDescent="0.25"/>
    <row r="152" ht="34.950000000000003" customHeight="1" x14ac:dyDescent="0.25"/>
    <row r="153" ht="34.950000000000003" customHeight="1" x14ac:dyDescent="0.25"/>
    <row r="154" ht="34.950000000000003" customHeight="1" x14ac:dyDescent="0.25"/>
    <row r="155" ht="34.950000000000003" customHeight="1" x14ac:dyDescent="0.25"/>
    <row r="156" ht="34.950000000000003" customHeight="1" x14ac:dyDescent="0.25"/>
    <row r="157" ht="34.950000000000003" customHeight="1" x14ac:dyDescent="0.25"/>
    <row r="158" ht="34.950000000000003" customHeight="1" x14ac:dyDescent="0.25"/>
    <row r="159" ht="34.950000000000003" customHeight="1" x14ac:dyDescent="0.25"/>
    <row r="160" ht="34.950000000000003" customHeight="1" x14ac:dyDescent="0.25"/>
    <row r="161" ht="34.950000000000003" customHeight="1" x14ac:dyDescent="0.25"/>
    <row r="162" ht="34.950000000000003" customHeight="1" x14ac:dyDescent="0.25"/>
    <row r="163" ht="34.950000000000003" customHeight="1" x14ac:dyDescent="0.25"/>
    <row r="164" ht="34.950000000000003" customHeight="1" x14ac:dyDescent="0.25"/>
    <row r="165" ht="34.950000000000003" customHeight="1" x14ac:dyDescent="0.25"/>
    <row r="166" ht="34.950000000000003" customHeight="1" x14ac:dyDescent="0.25"/>
    <row r="167" ht="34.950000000000003" customHeight="1" x14ac:dyDescent="0.25"/>
    <row r="168" ht="34.950000000000003" customHeight="1" x14ac:dyDescent="0.25"/>
    <row r="169" ht="34.950000000000003" customHeight="1" x14ac:dyDescent="0.25"/>
    <row r="170" ht="34.950000000000003" customHeight="1" x14ac:dyDescent="0.25"/>
    <row r="171" ht="34.950000000000003" customHeight="1" x14ac:dyDescent="0.25"/>
    <row r="172" ht="34.950000000000003" customHeight="1" x14ac:dyDescent="0.25"/>
    <row r="173" ht="34.950000000000003" customHeight="1" x14ac:dyDescent="0.25"/>
    <row r="174" ht="34.950000000000003" customHeight="1" x14ac:dyDescent="0.25"/>
    <row r="175" ht="34.950000000000003" customHeight="1" x14ac:dyDescent="0.25"/>
    <row r="176" ht="34.950000000000003" customHeight="1" x14ac:dyDescent="0.25"/>
    <row r="177" ht="34.950000000000003" customHeight="1" x14ac:dyDescent="0.25"/>
    <row r="178" ht="34.950000000000003" customHeight="1" x14ac:dyDescent="0.25"/>
    <row r="179" ht="34.950000000000003" customHeight="1" x14ac:dyDescent="0.25"/>
    <row r="180" ht="34.950000000000003" customHeight="1" x14ac:dyDescent="0.25"/>
    <row r="181" ht="34.950000000000003" customHeight="1" x14ac:dyDescent="0.25"/>
    <row r="182" ht="34.950000000000003" customHeight="1" x14ac:dyDescent="0.25"/>
    <row r="183" ht="34.950000000000003" customHeight="1" x14ac:dyDescent="0.25"/>
    <row r="184" ht="34.950000000000003" customHeight="1" x14ac:dyDescent="0.25"/>
    <row r="185" ht="34.950000000000003" customHeight="1" x14ac:dyDescent="0.25"/>
    <row r="186" ht="34.950000000000003" customHeight="1" x14ac:dyDescent="0.25"/>
    <row r="187" ht="34.950000000000003" customHeight="1" x14ac:dyDescent="0.25"/>
    <row r="188" ht="34.950000000000003" customHeight="1" x14ac:dyDescent="0.25"/>
    <row r="189" ht="34.950000000000003" customHeight="1" x14ac:dyDescent="0.25"/>
    <row r="190" ht="34.950000000000003" customHeight="1" x14ac:dyDescent="0.25"/>
    <row r="191" ht="34.950000000000003" customHeight="1" x14ac:dyDescent="0.25"/>
    <row r="192" ht="34.950000000000003" customHeight="1" x14ac:dyDescent="0.25"/>
    <row r="193" ht="34.950000000000003" customHeight="1" x14ac:dyDescent="0.25"/>
    <row r="194" ht="34.950000000000003" customHeight="1" x14ac:dyDescent="0.25"/>
  </sheetData>
  <printOptions horizontalCentered="1"/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K194"/>
  <sheetViews>
    <sheetView zoomScale="70" zoomScaleNormal="70" workbookViewId="0">
      <pane ySplit="3" topLeftCell="A25" activePane="bottomLeft" state="frozen"/>
      <selection pane="bottomLeft"/>
    </sheetView>
  </sheetViews>
  <sheetFormatPr defaultColWidth="9.09765625" defaultRowHeight="13.8" x14ac:dyDescent="0.25"/>
  <cols>
    <col min="1" max="1" width="9.09765625" style="125"/>
    <col min="2" max="5" width="9.09765625" style="125" customWidth="1"/>
    <col min="6" max="8" width="9.09765625" style="125"/>
    <col min="9" max="9" width="9.09765625" style="127"/>
    <col min="10" max="16384" width="9.09765625" style="125"/>
  </cols>
  <sheetData>
    <row r="2" spans="1:11" ht="34.799999999999997" x14ac:dyDescent="0.55000000000000004">
      <c r="B2" s="126"/>
    </row>
    <row r="3" spans="1:11" ht="34.950000000000003" customHeight="1" x14ac:dyDescent="0.25"/>
    <row r="4" spans="1:11" ht="34.950000000000003" customHeight="1" x14ac:dyDescent="0.25">
      <c r="A4" s="128" t="s">
        <v>101</v>
      </c>
    </row>
    <row r="5" spans="1:11" ht="34.950000000000003" customHeight="1" x14ac:dyDescent="0.25">
      <c r="A5" s="129"/>
      <c r="K5" s="129"/>
    </row>
    <row r="6" spans="1:11" ht="34.950000000000003" customHeight="1" x14ac:dyDescent="0.25"/>
    <row r="7" spans="1:11" ht="34.950000000000003" customHeight="1" x14ac:dyDescent="0.25"/>
    <row r="8" spans="1:11" ht="34.950000000000003" customHeight="1" x14ac:dyDescent="0.25"/>
    <row r="9" spans="1:11" ht="34.950000000000003" customHeight="1" x14ac:dyDescent="0.25"/>
    <row r="10" spans="1:11" ht="34.950000000000003" customHeight="1" x14ac:dyDescent="0.25"/>
    <row r="11" spans="1:11" ht="34.950000000000003" customHeight="1" x14ac:dyDescent="0.25"/>
    <row r="12" spans="1:11" ht="34.950000000000003" customHeight="1" x14ac:dyDescent="0.25">
      <c r="A12" s="128" t="s">
        <v>102</v>
      </c>
    </row>
    <row r="13" spans="1:11" ht="34.950000000000003" customHeight="1" x14ac:dyDescent="0.25"/>
    <row r="14" spans="1:11" ht="34.950000000000003" customHeight="1" x14ac:dyDescent="0.25"/>
    <row r="15" spans="1:11" ht="34.950000000000003" customHeight="1" x14ac:dyDescent="0.25"/>
    <row r="16" spans="1:11" ht="34.950000000000003" customHeight="1" x14ac:dyDescent="0.25"/>
    <row r="17" spans="1:10" ht="34.950000000000003" customHeight="1" x14ac:dyDescent="0.25"/>
    <row r="18" spans="1:10" ht="34.950000000000003" customHeight="1" x14ac:dyDescent="0.25"/>
    <row r="19" spans="1:10" ht="34.950000000000003" customHeight="1" x14ac:dyDescent="0.25"/>
    <row r="20" spans="1:10" ht="34.950000000000003" customHeight="1" x14ac:dyDescent="0.25">
      <c r="A20" s="128" t="s">
        <v>103</v>
      </c>
    </row>
    <row r="21" spans="1:10" ht="34.950000000000003" customHeight="1" x14ac:dyDescent="0.25"/>
    <row r="22" spans="1:10" ht="34.950000000000003" customHeight="1" x14ac:dyDescent="0.25"/>
    <row r="23" spans="1:10" ht="34.950000000000003" customHeight="1" x14ac:dyDescent="0.25"/>
    <row r="24" spans="1:10" ht="34.950000000000003" customHeight="1" x14ac:dyDescent="0.25"/>
    <row r="25" spans="1:10" ht="34.950000000000003" customHeight="1" x14ac:dyDescent="0.25"/>
    <row r="26" spans="1:10" ht="34.950000000000003" customHeight="1" x14ac:dyDescent="0.25">
      <c r="B26" s="130"/>
      <c r="J26" s="130"/>
    </row>
    <row r="27" spans="1:10" ht="34.950000000000003" customHeight="1" x14ac:dyDescent="0.25"/>
    <row r="28" spans="1:10" ht="34.950000000000003" customHeight="1" x14ac:dyDescent="0.25">
      <c r="A28" s="128" t="s">
        <v>104</v>
      </c>
    </row>
    <row r="29" spans="1:10" ht="34.950000000000003" customHeight="1" x14ac:dyDescent="0.25"/>
    <row r="30" spans="1:10" ht="34.950000000000003" customHeight="1" x14ac:dyDescent="0.25"/>
    <row r="31" spans="1:10" ht="34.950000000000003" customHeight="1" x14ac:dyDescent="0.25"/>
    <row r="32" spans="1:10" ht="34.950000000000003" customHeight="1" x14ac:dyDescent="0.25"/>
    <row r="33" spans="1:1" ht="34.950000000000003" customHeight="1" x14ac:dyDescent="0.25"/>
    <row r="34" spans="1:1" ht="34.950000000000003" customHeight="1" x14ac:dyDescent="0.25"/>
    <row r="35" spans="1:1" ht="34.950000000000003" customHeight="1" x14ac:dyDescent="0.25"/>
    <row r="36" spans="1:1" ht="34.950000000000003" customHeight="1" x14ac:dyDescent="0.25">
      <c r="A36" s="128" t="s">
        <v>105</v>
      </c>
    </row>
    <row r="37" spans="1:1" ht="34.950000000000003" customHeight="1" x14ac:dyDescent="0.25"/>
    <row r="38" spans="1:1" ht="34.950000000000003" customHeight="1" x14ac:dyDescent="0.25"/>
    <row r="39" spans="1:1" ht="34.950000000000003" customHeight="1" x14ac:dyDescent="0.25"/>
    <row r="40" spans="1:1" ht="34.950000000000003" customHeight="1" x14ac:dyDescent="0.25"/>
    <row r="41" spans="1:1" ht="34.950000000000003" customHeight="1" x14ac:dyDescent="0.25"/>
    <row r="42" spans="1:1" ht="34.950000000000003" customHeight="1" x14ac:dyDescent="0.25"/>
    <row r="43" spans="1:1" ht="34.950000000000003" customHeight="1" x14ac:dyDescent="0.25"/>
    <row r="44" spans="1:1" ht="34.950000000000003" customHeight="1" x14ac:dyDescent="0.25">
      <c r="A44" s="128" t="s">
        <v>106</v>
      </c>
    </row>
    <row r="45" spans="1:1" ht="34.950000000000003" customHeight="1" x14ac:dyDescent="0.25"/>
    <row r="46" spans="1:1" ht="34.950000000000003" customHeight="1" x14ac:dyDescent="0.25"/>
    <row r="47" spans="1:1" ht="34.950000000000003" customHeight="1" x14ac:dyDescent="0.25"/>
    <row r="48" spans="1:1" ht="34.950000000000003" customHeight="1" x14ac:dyDescent="0.25"/>
    <row r="49" spans="1:1" ht="34.950000000000003" customHeight="1" x14ac:dyDescent="0.25"/>
    <row r="50" spans="1:1" ht="34.950000000000003" customHeight="1" x14ac:dyDescent="0.25"/>
    <row r="51" spans="1:1" ht="34.950000000000003" customHeight="1" x14ac:dyDescent="0.25"/>
    <row r="52" spans="1:1" ht="34.950000000000003" customHeight="1" x14ac:dyDescent="0.25">
      <c r="A52" s="128" t="s">
        <v>107</v>
      </c>
    </row>
    <row r="53" spans="1:1" ht="34.950000000000003" customHeight="1" x14ac:dyDescent="0.25"/>
    <row r="54" spans="1:1" ht="34.950000000000003" customHeight="1" x14ac:dyDescent="0.25"/>
    <row r="55" spans="1:1" ht="34.950000000000003" customHeight="1" x14ac:dyDescent="0.25"/>
    <row r="56" spans="1:1" ht="34.950000000000003" customHeight="1" x14ac:dyDescent="0.25"/>
    <row r="57" spans="1:1" ht="34.950000000000003" customHeight="1" x14ac:dyDescent="0.25"/>
    <row r="58" spans="1:1" ht="34.950000000000003" customHeight="1" x14ac:dyDescent="0.25"/>
    <row r="59" spans="1:1" ht="34.950000000000003" customHeight="1" x14ac:dyDescent="0.25"/>
    <row r="60" spans="1:1" ht="34.950000000000003" customHeight="1" x14ac:dyDescent="0.25">
      <c r="A60" s="128" t="s">
        <v>108</v>
      </c>
    </row>
    <row r="61" spans="1:1" ht="34.950000000000003" customHeight="1" x14ac:dyDescent="0.25"/>
    <row r="62" spans="1:1" ht="34.950000000000003" customHeight="1" x14ac:dyDescent="0.25"/>
    <row r="63" spans="1:1" ht="34.950000000000003" customHeight="1" x14ac:dyDescent="0.25"/>
    <row r="64" spans="1:1" ht="34.950000000000003" customHeight="1" x14ac:dyDescent="0.25"/>
    <row r="65" spans="1:1" ht="34.950000000000003" customHeight="1" x14ac:dyDescent="0.25"/>
    <row r="66" spans="1:1" ht="34.950000000000003" customHeight="1" x14ac:dyDescent="0.25"/>
    <row r="67" spans="1:1" ht="34.950000000000003" customHeight="1" x14ac:dyDescent="0.25"/>
    <row r="68" spans="1:1" ht="34.950000000000003" customHeight="1" x14ac:dyDescent="0.25"/>
    <row r="69" spans="1:1" ht="34.950000000000003" customHeight="1" x14ac:dyDescent="0.25"/>
    <row r="70" spans="1:1" ht="34.950000000000003" customHeight="1" x14ac:dyDescent="0.25"/>
    <row r="71" spans="1:1" ht="34.950000000000003" customHeight="1" x14ac:dyDescent="0.25"/>
    <row r="72" spans="1:1" ht="34.950000000000003" customHeight="1" x14ac:dyDescent="0.25"/>
    <row r="73" spans="1:1" ht="34.950000000000003" customHeight="1" x14ac:dyDescent="0.25"/>
    <row r="74" spans="1:1" ht="34.950000000000003" customHeight="1" x14ac:dyDescent="0.25"/>
    <row r="75" spans="1:1" ht="34.950000000000003" customHeight="1" x14ac:dyDescent="0.25">
      <c r="A75" s="128" t="s">
        <v>109</v>
      </c>
    </row>
    <row r="76" spans="1:1" ht="34.950000000000003" customHeight="1" x14ac:dyDescent="0.25"/>
    <row r="77" spans="1:1" ht="34.950000000000003" customHeight="1" x14ac:dyDescent="0.25"/>
    <row r="78" spans="1:1" ht="34.950000000000003" customHeight="1" x14ac:dyDescent="0.25"/>
    <row r="79" spans="1:1" ht="34.950000000000003" customHeight="1" x14ac:dyDescent="0.25"/>
    <row r="80" spans="1:1" ht="34.950000000000003" customHeight="1" x14ac:dyDescent="0.25"/>
    <row r="81" spans="1:1" ht="34.950000000000003" customHeight="1" x14ac:dyDescent="0.25"/>
    <row r="82" spans="1:1" ht="34.950000000000003" customHeight="1" x14ac:dyDescent="0.25"/>
    <row r="83" spans="1:1" ht="34.950000000000003" customHeight="1" x14ac:dyDescent="0.25"/>
    <row r="84" spans="1:1" ht="34.950000000000003" customHeight="1" x14ac:dyDescent="0.25"/>
    <row r="85" spans="1:1" ht="34.950000000000003" customHeight="1" x14ac:dyDescent="0.25"/>
    <row r="86" spans="1:1" ht="34.950000000000003" customHeight="1" x14ac:dyDescent="0.25"/>
    <row r="87" spans="1:1" ht="34.950000000000003" customHeight="1" x14ac:dyDescent="0.25"/>
    <row r="88" spans="1:1" ht="34.950000000000003" customHeight="1" x14ac:dyDescent="0.25"/>
    <row r="89" spans="1:1" ht="34.950000000000003" customHeight="1" x14ac:dyDescent="0.25"/>
    <row r="90" spans="1:1" ht="34.950000000000003" customHeight="1" x14ac:dyDescent="0.25"/>
    <row r="91" spans="1:1" ht="34.950000000000003" customHeight="1" x14ac:dyDescent="0.25">
      <c r="A91" s="128" t="s">
        <v>249</v>
      </c>
    </row>
    <row r="92" spans="1:1" ht="34.950000000000003" customHeight="1" x14ac:dyDescent="0.25"/>
    <row r="93" spans="1:1" ht="34.950000000000003" customHeight="1" x14ac:dyDescent="0.25"/>
    <row r="94" spans="1:1" ht="34.950000000000003" customHeight="1" x14ac:dyDescent="0.25"/>
    <row r="95" spans="1:1" ht="34.950000000000003" customHeight="1" x14ac:dyDescent="0.25"/>
    <row r="96" spans="1:1" ht="34.950000000000003" customHeight="1" x14ac:dyDescent="0.25"/>
    <row r="97" ht="34.950000000000003" customHeight="1" x14ac:dyDescent="0.25"/>
    <row r="98" ht="34.950000000000003" customHeight="1" x14ac:dyDescent="0.25"/>
    <row r="99" ht="34.950000000000003" customHeight="1" x14ac:dyDescent="0.25"/>
    <row r="100" ht="34.950000000000003" customHeight="1" x14ac:dyDescent="0.25"/>
    <row r="101" ht="34.950000000000003" customHeight="1" x14ac:dyDescent="0.25"/>
    <row r="102" ht="34.950000000000003" customHeight="1" x14ac:dyDescent="0.25"/>
    <row r="103" ht="34.950000000000003" customHeight="1" x14ac:dyDescent="0.25"/>
    <row r="104" ht="34.950000000000003" customHeight="1" x14ac:dyDescent="0.25"/>
    <row r="105" ht="34.950000000000003" customHeight="1" x14ac:dyDescent="0.25"/>
    <row r="106" ht="34.950000000000003" customHeight="1" x14ac:dyDescent="0.25"/>
    <row r="107" ht="34.950000000000003" customHeight="1" x14ac:dyDescent="0.25"/>
    <row r="108" ht="34.950000000000003" customHeight="1" x14ac:dyDescent="0.25"/>
    <row r="109" ht="34.950000000000003" customHeight="1" x14ac:dyDescent="0.25"/>
    <row r="110" ht="34.950000000000003" customHeight="1" x14ac:dyDescent="0.25"/>
    <row r="111" ht="34.950000000000003" customHeight="1" x14ac:dyDescent="0.25"/>
    <row r="112" ht="34.950000000000003" customHeight="1" x14ac:dyDescent="0.25"/>
    <row r="113" ht="34.950000000000003" customHeight="1" x14ac:dyDescent="0.25"/>
    <row r="114" ht="34.950000000000003" customHeight="1" x14ac:dyDescent="0.25"/>
    <row r="115" ht="34.950000000000003" customHeight="1" x14ac:dyDescent="0.25"/>
    <row r="116" ht="34.950000000000003" customHeight="1" x14ac:dyDescent="0.25"/>
    <row r="117" ht="34.950000000000003" customHeight="1" x14ac:dyDescent="0.25"/>
    <row r="118" ht="34.950000000000003" customHeight="1" x14ac:dyDescent="0.25"/>
    <row r="119" ht="34.950000000000003" customHeight="1" x14ac:dyDescent="0.25"/>
    <row r="120" ht="34.950000000000003" customHeight="1" x14ac:dyDescent="0.25"/>
    <row r="121" ht="34.950000000000003" customHeight="1" x14ac:dyDescent="0.25"/>
    <row r="122" ht="34.950000000000003" customHeight="1" x14ac:dyDescent="0.25"/>
    <row r="123" ht="34.950000000000003" customHeight="1" x14ac:dyDescent="0.25"/>
    <row r="124" ht="34.950000000000003" customHeight="1" x14ac:dyDescent="0.25"/>
    <row r="125" ht="34.950000000000003" customHeight="1" x14ac:dyDescent="0.25"/>
    <row r="126" ht="34.950000000000003" customHeight="1" x14ac:dyDescent="0.25"/>
    <row r="127" ht="34.950000000000003" customHeight="1" x14ac:dyDescent="0.25"/>
    <row r="128" ht="34.950000000000003" customHeight="1" x14ac:dyDescent="0.25"/>
    <row r="129" ht="34.950000000000003" customHeight="1" x14ac:dyDescent="0.25"/>
    <row r="130" ht="34.950000000000003" customHeight="1" x14ac:dyDescent="0.25"/>
    <row r="131" ht="34.950000000000003" customHeight="1" x14ac:dyDescent="0.25"/>
    <row r="132" ht="34.950000000000003" customHeight="1" x14ac:dyDescent="0.25"/>
    <row r="133" ht="34.950000000000003" customHeight="1" x14ac:dyDescent="0.25"/>
    <row r="134" ht="34.950000000000003" customHeight="1" x14ac:dyDescent="0.25"/>
    <row r="135" ht="34.950000000000003" customHeight="1" x14ac:dyDescent="0.25"/>
    <row r="136" ht="34.950000000000003" customHeight="1" x14ac:dyDescent="0.25"/>
    <row r="137" ht="34.950000000000003" customHeight="1" x14ac:dyDescent="0.25"/>
    <row r="138" ht="34.950000000000003" customHeight="1" x14ac:dyDescent="0.25"/>
    <row r="139" ht="34.950000000000003" customHeight="1" x14ac:dyDescent="0.25"/>
    <row r="140" ht="34.950000000000003" customHeight="1" x14ac:dyDescent="0.25"/>
    <row r="141" ht="34.950000000000003" customHeight="1" x14ac:dyDescent="0.25"/>
    <row r="142" ht="34.950000000000003" customHeight="1" x14ac:dyDescent="0.25"/>
    <row r="143" ht="34.950000000000003" customHeight="1" x14ac:dyDescent="0.25"/>
    <row r="144" ht="34.950000000000003" customHeight="1" x14ac:dyDescent="0.25"/>
    <row r="145" ht="34.950000000000003" customHeight="1" x14ac:dyDescent="0.25"/>
    <row r="146" ht="34.950000000000003" customHeight="1" x14ac:dyDescent="0.25"/>
    <row r="147" ht="34.950000000000003" customHeight="1" x14ac:dyDescent="0.25"/>
    <row r="148" ht="34.950000000000003" customHeight="1" x14ac:dyDescent="0.25"/>
    <row r="149" ht="34.950000000000003" customHeight="1" x14ac:dyDescent="0.25"/>
    <row r="150" ht="34.950000000000003" customHeight="1" x14ac:dyDescent="0.25"/>
    <row r="151" ht="34.950000000000003" customHeight="1" x14ac:dyDescent="0.25"/>
    <row r="152" ht="34.950000000000003" customHeight="1" x14ac:dyDescent="0.25"/>
    <row r="153" ht="34.950000000000003" customHeight="1" x14ac:dyDescent="0.25"/>
    <row r="154" ht="34.950000000000003" customHeight="1" x14ac:dyDescent="0.25"/>
    <row r="155" ht="34.950000000000003" customHeight="1" x14ac:dyDescent="0.25"/>
    <row r="156" ht="34.950000000000003" customHeight="1" x14ac:dyDescent="0.25"/>
    <row r="157" ht="34.950000000000003" customHeight="1" x14ac:dyDescent="0.25"/>
    <row r="158" ht="34.950000000000003" customHeight="1" x14ac:dyDescent="0.25"/>
    <row r="159" ht="34.950000000000003" customHeight="1" x14ac:dyDescent="0.25"/>
    <row r="160" ht="34.950000000000003" customHeight="1" x14ac:dyDescent="0.25"/>
    <row r="161" ht="34.950000000000003" customHeight="1" x14ac:dyDescent="0.25"/>
    <row r="162" ht="34.950000000000003" customHeight="1" x14ac:dyDescent="0.25"/>
    <row r="163" ht="34.950000000000003" customHeight="1" x14ac:dyDescent="0.25"/>
    <row r="164" ht="34.950000000000003" customHeight="1" x14ac:dyDescent="0.25"/>
    <row r="165" ht="34.950000000000003" customHeight="1" x14ac:dyDescent="0.25"/>
    <row r="166" ht="34.950000000000003" customHeight="1" x14ac:dyDescent="0.25"/>
    <row r="167" ht="34.950000000000003" customHeight="1" x14ac:dyDescent="0.25"/>
    <row r="168" ht="34.950000000000003" customHeight="1" x14ac:dyDescent="0.25"/>
    <row r="169" ht="34.950000000000003" customHeight="1" x14ac:dyDescent="0.25"/>
    <row r="170" ht="34.950000000000003" customHeight="1" x14ac:dyDescent="0.25"/>
    <row r="171" ht="34.950000000000003" customHeight="1" x14ac:dyDescent="0.25"/>
    <row r="172" ht="34.950000000000003" customHeight="1" x14ac:dyDescent="0.25"/>
    <row r="173" ht="34.950000000000003" customHeight="1" x14ac:dyDescent="0.25"/>
    <row r="174" ht="34.950000000000003" customHeight="1" x14ac:dyDescent="0.25"/>
    <row r="175" ht="34.950000000000003" customHeight="1" x14ac:dyDescent="0.25"/>
    <row r="176" ht="34.950000000000003" customHeight="1" x14ac:dyDescent="0.25"/>
    <row r="177" ht="34.950000000000003" customHeight="1" x14ac:dyDescent="0.25"/>
    <row r="178" ht="34.950000000000003" customHeight="1" x14ac:dyDescent="0.25"/>
    <row r="179" ht="34.950000000000003" customHeight="1" x14ac:dyDescent="0.25"/>
    <row r="180" ht="34.950000000000003" customHeight="1" x14ac:dyDescent="0.25"/>
    <row r="181" ht="34.950000000000003" customHeight="1" x14ac:dyDescent="0.25"/>
    <row r="182" ht="34.950000000000003" customHeight="1" x14ac:dyDescent="0.25"/>
    <row r="183" ht="34.950000000000003" customHeight="1" x14ac:dyDescent="0.25"/>
    <row r="184" ht="34.950000000000003" customHeight="1" x14ac:dyDescent="0.25"/>
    <row r="185" ht="34.950000000000003" customHeight="1" x14ac:dyDescent="0.25"/>
    <row r="186" ht="34.950000000000003" customHeight="1" x14ac:dyDescent="0.25"/>
    <row r="187" ht="34.950000000000003" customHeight="1" x14ac:dyDescent="0.25"/>
    <row r="188" ht="34.950000000000003" customHeight="1" x14ac:dyDescent="0.25"/>
    <row r="189" ht="34.950000000000003" customHeight="1" x14ac:dyDescent="0.25"/>
    <row r="190" ht="34.950000000000003" customHeight="1" x14ac:dyDescent="0.25"/>
    <row r="191" ht="34.950000000000003" customHeight="1" x14ac:dyDescent="0.25"/>
    <row r="192" ht="34.950000000000003" customHeight="1" x14ac:dyDescent="0.25"/>
    <row r="193" ht="34.950000000000003" customHeight="1" x14ac:dyDescent="0.25"/>
    <row r="194" ht="34.950000000000003" customHeight="1" x14ac:dyDescent="0.25"/>
  </sheetData>
  <sheetProtection sheet="1" objects="1" scenarios="1"/>
  <printOptions horizontalCentered="1"/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FF00"/>
  </sheetPr>
  <dimension ref="A1:AT44"/>
  <sheetViews>
    <sheetView view="pageBreakPreview" topLeftCell="A7" zoomScale="70" zoomScaleNormal="55" zoomScaleSheetLayoutView="70" workbookViewId="0">
      <selection activeCell="H16" sqref="H16"/>
    </sheetView>
  </sheetViews>
  <sheetFormatPr defaultColWidth="8.8984375" defaultRowHeight="13.8" outlineLevelCol="1" x14ac:dyDescent="0.25"/>
  <cols>
    <col min="1" max="1" width="8.69921875" style="6" customWidth="1"/>
    <col min="2" max="2" width="24.69921875" style="2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4.3984375" style="6" customWidth="1" outlineLevel="1"/>
    <col min="23" max="23" width="8.8984375" style="6" customWidth="1" outlineLevel="1"/>
    <col min="24" max="25" width="10.69921875" style="6" customWidth="1" outlineLevel="1"/>
    <col min="26" max="26" width="5.69921875" style="6" customWidth="1" outlineLevel="1"/>
    <col min="27" max="28" width="10.69921875" style="6" customWidth="1" outlineLevel="1"/>
    <col min="29" max="29" width="22" style="6" customWidth="1" outlineLevel="1"/>
    <col min="30" max="30" width="15.69921875" style="6" customWidth="1" outlineLevel="1"/>
    <col min="31" max="33" width="8.8984375" style="6" customWidth="1" outlineLevel="1"/>
    <col min="34" max="34" width="28" style="6" customWidth="1" outlineLevel="1"/>
    <col min="35" max="37" width="8.8984375" style="6" customWidth="1" outlineLevel="1"/>
    <col min="38" max="38" width="11.69921875" style="6" bestFit="1" customWidth="1" outlineLevel="1"/>
    <col min="39" max="39" width="22" style="6" customWidth="1" outlineLevel="1"/>
    <col min="40" max="40" width="15.69921875" style="6" customWidth="1" outlineLevel="1"/>
    <col min="41" max="43" width="8.8984375" style="6" customWidth="1" outlineLevel="1"/>
    <col min="44" max="44" width="23" style="6" customWidth="1" outlineLevel="1"/>
    <col min="45" max="46" width="8.8984375" style="6" customWidth="1" outlineLevel="1"/>
    <col min="47" max="16384" width="8.8984375" style="6"/>
  </cols>
  <sheetData>
    <row r="1" spans="1:46" ht="19.95" customHeight="1" x14ac:dyDescent="0.35">
      <c r="A1" s="1"/>
      <c r="H1" s="48"/>
      <c r="I1" s="11" t="s">
        <v>2</v>
      </c>
      <c r="J1" s="11">
        <v>1</v>
      </c>
    </row>
    <row r="2" spans="1:46" ht="19.95" customHeight="1" x14ac:dyDescent="0.35">
      <c r="A2" s="7"/>
      <c r="C2" s="144" t="s">
        <v>118</v>
      </c>
      <c r="D2" s="144"/>
      <c r="E2" s="144"/>
      <c r="F2" s="144"/>
      <c r="J2" s="50" t="s">
        <v>0</v>
      </c>
    </row>
    <row r="3" spans="1:46" ht="19.95" customHeight="1" x14ac:dyDescent="0.25">
      <c r="G3" s="6"/>
      <c r="H3" s="6"/>
      <c r="I3" s="6"/>
      <c r="J3" s="11">
        <v>2600</v>
      </c>
      <c r="W3" s="4" t="s">
        <v>148</v>
      </c>
      <c r="X3" s="4">
        <v>2</v>
      </c>
    </row>
    <row r="4" spans="1:46" ht="19.95" customHeight="1" x14ac:dyDescent="0.25">
      <c r="G4" s="4"/>
      <c r="H4" s="76" t="str">
        <f>IF($H$6="เปิดบาน B","ปิดบาน A","เปิดบาน A")</f>
        <v>เปิดบาน A</v>
      </c>
      <c r="I4" s="74" t="s">
        <v>125</v>
      </c>
      <c r="J4" s="50" t="s">
        <v>156</v>
      </c>
      <c r="K4" s="4"/>
      <c r="W4" s="4" t="s">
        <v>149</v>
      </c>
      <c r="X4" s="4">
        <v>4</v>
      </c>
    </row>
    <row r="5" spans="1:46" ht="19.95" customHeight="1" x14ac:dyDescent="0.25">
      <c r="D5" s="49" t="s">
        <v>82</v>
      </c>
      <c r="E5" s="149" t="s">
        <v>53</v>
      </c>
      <c r="F5" s="149"/>
      <c r="G5" s="4"/>
      <c r="H5" s="4"/>
      <c r="I5" s="11">
        <v>6</v>
      </c>
      <c r="J5" s="11">
        <v>5000</v>
      </c>
      <c r="W5" s="4" t="s">
        <v>146</v>
      </c>
      <c r="X5" s="4">
        <v>6</v>
      </c>
    </row>
    <row r="6" spans="1:46" ht="19.95" customHeight="1" x14ac:dyDescent="0.25">
      <c r="D6" s="73" t="s">
        <v>30</v>
      </c>
      <c r="E6" s="150">
        <v>6</v>
      </c>
      <c r="F6" s="150"/>
      <c r="G6" s="4"/>
      <c r="H6" s="77" t="s">
        <v>147</v>
      </c>
      <c r="I6" s="74" t="s">
        <v>125</v>
      </c>
      <c r="J6" s="50" t="s">
        <v>157</v>
      </c>
      <c r="T6" s="79"/>
      <c r="W6" s="4" t="s">
        <v>147</v>
      </c>
      <c r="X6" s="4">
        <v>8</v>
      </c>
    </row>
    <row r="7" spans="1:46" ht="19.95" customHeight="1" x14ac:dyDescent="0.25">
      <c r="G7" s="4"/>
      <c r="H7" s="4"/>
      <c r="I7" s="11">
        <v>4</v>
      </c>
      <c r="J7" s="11">
        <v>3000</v>
      </c>
      <c r="X7" s="4">
        <v>10</v>
      </c>
    </row>
    <row r="8" spans="1:46" s="9" customFormat="1" ht="19.95" customHeight="1" x14ac:dyDescent="0.25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</row>
    <row r="9" spans="1:46" ht="40.200000000000003" customHeight="1" x14ac:dyDescent="0.25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</row>
    <row r="10" spans="1:46" ht="34.950000000000003" customHeight="1" x14ac:dyDescent="0.25">
      <c r="A10" s="151">
        <v>1</v>
      </c>
      <c r="B10" s="26" t="s">
        <v>150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4982</v>
      </c>
      <c r="I10" s="25">
        <f t="shared" ref="I10:I23" si="0">F10*$J$1</f>
        <v>1</v>
      </c>
      <c r="J10" s="151">
        <f>ROUNDUP(((H10*I10)+(H11*I11))/6400,0)</f>
        <v>2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ดำ</v>
      </c>
      <c r="P10" s="25">
        <f>(($F$19+$F$20)/2)/2</f>
        <v>5</v>
      </c>
      <c r="Q10" s="25">
        <f>$J$1*P10</f>
        <v>5</v>
      </c>
      <c r="R10" s="13">
        <v>299</v>
      </c>
    </row>
    <row r="11" spans="1:46" ht="34.950000000000003" customHeight="1" x14ac:dyDescent="0.25">
      <c r="A11" s="152"/>
      <c r="B11" s="26" t="s">
        <v>151</v>
      </c>
      <c r="C11" s="152"/>
      <c r="D11" s="152"/>
      <c r="E11" s="152"/>
      <c r="F11" s="25">
        <v>1</v>
      </c>
      <c r="G11" s="25" t="s">
        <v>159</v>
      </c>
      <c r="H11" s="27">
        <f>$J$7-18</f>
        <v>2982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ดำ</v>
      </c>
      <c r="P11" s="25">
        <f>IF($J$3&lt;=2700,11,16)</f>
        <v>11</v>
      </c>
      <c r="Q11" s="25">
        <f t="shared" ref="Q11:Q17" si="2">$J$1*P11</f>
        <v>11</v>
      </c>
      <c r="R11" s="13">
        <v>72</v>
      </c>
    </row>
    <row r="12" spans="1:46" ht="34.950000000000003" customHeight="1" x14ac:dyDescent="0.25">
      <c r="A12" s="141">
        <v>2</v>
      </c>
      <c r="B12" s="46" t="s">
        <v>152</v>
      </c>
      <c r="C12" s="141"/>
      <c r="D12" s="141" t="s">
        <v>44</v>
      </c>
      <c r="E12" s="141">
        <v>1.5329999999999999</v>
      </c>
      <c r="F12" s="82">
        <v>1</v>
      </c>
      <c r="G12" s="82" t="s">
        <v>158</v>
      </c>
      <c r="H12" s="47">
        <f>$J$5-18</f>
        <v>4982</v>
      </c>
      <c r="I12" s="82">
        <f t="shared" si="0"/>
        <v>1</v>
      </c>
      <c r="J12" s="141">
        <f>ROUNDUP(((H12*I12)+(H13*I13))/6400,0)</f>
        <v>2</v>
      </c>
      <c r="K12" s="28"/>
      <c r="L12" s="25">
        <v>3</v>
      </c>
      <c r="M12" s="29" t="s">
        <v>26</v>
      </c>
      <c r="N12" s="25"/>
      <c r="O12" s="25" t="str">
        <f t="shared" si="1"/>
        <v>ดำ</v>
      </c>
      <c r="P12" s="25">
        <f>(($F$19+$F$20)/2)/2</f>
        <v>5</v>
      </c>
      <c r="Q12" s="25">
        <f t="shared" si="2"/>
        <v>5</v>
      </c>
      <c r="R12" s="13">
        <v>109</v>
      </c>
    </row>
    <row r="13" spans="1:46" ht="34.950000000000003" customHeight="1" x14ac:dyDescent="0.25">
      <c r="A13" s="143"/>
      <c r="B13" s="46" t="s">
        <v>153</v>
      </c>
      <c r="C13" s="143"/>
      <c r="D13" s="143"/>
      <c r="E13" s="143"/>
      <c r="F13" s="82">
        <v>1</v>
      </c>
      <c r="G13" s="82" t="s">
        <v>159</v>
      </c>
      <c r="H13" s="47">
        <f>$J$7-18</f>
        <v>2982</v>
      </c>
      <c r="I13" s="82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ดำ</v>
      </c>
      <c r="P13" s="25">
        <f>(($F$19+$F$20)/2)/2</f>
        <v>5</v>
      </c>
      <c r="Q13" s="25">
        <f t="shared" si="2"/>
        <v>5</v>
      </c>
      <c r="R13" s="13">
        <v>199</v>
      </c>
    </row>
    <row r="14" spans="1:46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2600</v>
      </c>
      <c r="I14" s="39">
        <f t="shared" si="0"/>
        <v>2</v>
      </c>
      <c r="J14" s="39">
        <f t="shared" ref="J14:J15" si="3">ROUNDUP((H14*I14)/6400,0)</f>
        <v>1</v>
      </c>
      <c r="K14" s="28"/>
      <c r="L14" s="25">
        <v>5</v>
      </c>
      <c r="M14" s="29" t="s">
        <v>22</v>
      </c>
      <c r="N14" s="25"/>
      <c r="O14" s="25" t="str">
        <f t="shared" si="1"/>
        <v>ดำ</v>
      </c>
      <c r="P14" s="25">
        <f>(($F$19+$F$20)/2)/2</f>
        <v>5</v>
      </c>
      <c r="Q14" s="25">
        <f t="shared" si="2"/>
        <v>5</v>
      </c>
      <c r="R14" s="13">
        <v>85</v>
      </c>
    </row>
    <row r="15" spans="1:46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18</v>
      </c>
      <c r="H15" s="40">
        <f>$J$3-75-45</f>
        <v>2480</v>
      </c>
      <c r="I15" s="39">
        <f t="shared" si="0"/>
        <v>2</v>
      </c>
      <c r="J15" s="39">
        <f t="shared" si="3"/>
        <v>1</v>
      </c>
      <c r="K15" s="28"/>
      <c r="L15" s="25">
        <v>6</v>
      </c>
      <c r="M15" s="29" t="s">
        <v>23</v>
      </c>
      <c r="N15" s="25"/>
      <c r="O15" s="25" t="str">
        <f t="shared" si="1"/>
        <v>ดำ</v>
      </c>
      <c r="P15" s="25">
        <f>(($F$19+$F$20)/2)/2</f>
        <v>5</v>
      </c>
      <c r="Q15" s="25">
        <f t="shared" si="2"/>
        <v>5</v>
      </c>
      <c r="R15" s="13">
        <v>88</v>
      </c>
      <c r="AB15" s="75" t="s">
        <v>126</v>
      </c>
      <c r="AC15" s="75" t="s">
        <v>143</v>
      </c>
      <c r="AD15" s="75"/>
      <c r="AL15" s="75" t="s">
        <v>141</v>
      </c>
      <c r="AM15" s="75" t="s">
        <v>143</v>
      </c>
      <c r="AN15" s="75"/>
    </row>
    <row r="16" spans="1:46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82">
        <v>2</v>
      </c>
      <c r="G16" s="82" t="s">
        <v>18</v>
      </c>
      <c r="H16" s="47">
        <f>$J$3-75-45</f>
        <v>2480</v>
      </c>
      <c r="I16" s="82">
        <f t="shared" si="0"/>
        <v>2</v>
      </c>
      <c r="J16" s="141">
        <f>ROUNDUP(((H16*I16)+(H17*I17)+(H18*I18))/6400,0)</f>
        <v>4</v>
      </c>
      <c r="K16" s="28"/>
      <c r="L16" s="25">
        <v>7</v>
      </c>
      <c r="M16" s="29" t="s">
        <v>29</v>
      </c>
      <c r="N16" s="25"/>
      <c r="O16" s="25" t="str">
        <f t="shared" si="1"/>
        <v>ดำ</v>
      </c>
      <c r="P16" s="25">
        <f>(($F$19+$F$20)/2)</f>
        <v>10</v>
      </c>
      <c r="Q16" s="25">
        <f t="shared" si="2"/>
        <v>10</v>
      </c>
      <c r="R16" s="13">
        <v>73</v>
      </c>
      <c r="S16" s="6">
        <f>((H19*I19)/1000)*E19</f>
        <v>44.085552</v>
      </c>
      <c r="V16" s="81" t="s">
        <v>164</v>
      </c>
      <c r="AB16" s="42">
        <v>2</v>
      </c>
      <c r="AC16" s="46" t="s">
        <v>123</v>
      </c>
      <c r="AD16" s="46"/>
      <c r="AE16" s="42" t="s">
        <v>47</v>
      </c>
      <c r="AF16" s="42">
        <v>1.466</v>
      </c>
      <c r="AG16" s="42">
        <f>2*AB16</f>
        <v>4</v>
      </c>
      <c r="AH16" s="59" t="s">
        <v>127</v>
      </c>
      <c r="AI16" s="47">
        <f>($J$5-18-9.5-(8*1)-62)/AB16</f>
        <v>2451.25</v>
      </c>
      <c r="AJ16" s="42">
        <f>AG16*$J$1</f>
        <v>4</v>
      </c>
      <c r="AL16" s="42">
        <v>2</v>
      </c>
      <c r="AM16" s="46" t="s">
        <v>124</v>
      </c>
      <c r="AN16" s="46"/>
      <c r="AO16" s="42" t="s">
        <v>47</v>
      </c>
      <c r="AP16" s="42">
        <v>1.466</v>
      </c>
      <c r="AQ16" s="42">
        <f>2*AL16</f>
        <v>4</v>
      </c>
      <c r="AR16" s="59" t="s">
        <v>127</v>
      </c>
      <c r="AS16" s="47">
        <f>($J$5-18-9.5-(8*1)-62)/AL16</f>
        <v>2451.25</v>
      </c>
      <c r="AT16" s="42">
        <f>AQ16*$J$1</f>
        <v>4</v>
      </c>
    </row>
    <row r="17" spans="1:46" ht="34.950000000000003" customHeight="1" x14ac:dyDescent="0.25">
      <c r="A17" s="142"/>
      <c r="B17" s="46" t="s">
        <v>154</v>
      </c>
      <c r="C17" s="142"/>
      <c r="D17" s="142"/>
      <c r="E17" s="142"/>
      <c r="F17" s="82">
        <v>2</v>
      </c>
      <c r="G17" s="82" t="s">
        <v>160</v>
      </c>
      <c r="H17" s="47">
        <f>$J$5-18-58</f>
        <v>4924</v>
      </c>
      <c r="I17" s="82">
        <f t="shared" si="0"/>
        <v>2</v>
      </c>
      <c r="J17" s="142"/>
      <c r="K17" s="28"/>
      <c r="L17" s="25">
        <v>8</v>
      </c>
      <c r="M17" s="29" t="s">
        <v>35</v>
      </c>
      <c r="N17" s="30"/>
      <c r="O17" s="25" t="s">
        <v>1</v>
      </c>
      <c r="P17" s="25">
        <f>(($F$19+$F$20)/2)*4</f>
        <v>40</v>
      </c>
      <c r="Q17" s="25">
        <f t="shared" si="2"/>
        <v>40</v>
      </c>
      <c r="R17" s="13">
        <v>15</v>
      </c>
      <c r="S17" s="6">
        <f>((H21*I21)/1000)*E21</f>
        <v>0</v>
      </c>
      <c r="V17" s="8" t="s">
        <v>5</v>
      </c>
      <c r="W17" s="8" t="s">
        <v>12</v>
      </c>
      <c r="X17" s="8" t="s">
        <v>9</v>
      </c>
      <c r="Y17" s="8" t="s">
        <v>14</v>
      </c>
      <c r="AB17" s="42">
        <v>4</v>
      </c>
      <c r="AC17" s="46" t="s">
        <v>123</v>
      </c>
      <c r="AD17" s="46"/>
      <c r="AE17" s="42" t="s">
        <v>47</v>
      </c>
      <c r="AF17" s="42">
        <v>1.466</v>
      </c>
      <c r="AG17" s="42">
        <f t="shared" ref="AG17:AG19" si="4">2*AB17</f>
        <v>8</v>
      </c>
      <c r="AH17" s="59" t="s">
        <v>128</v>
      </c>
      <c r="AI17" s="47">
        <f>($J$5-18-9.5-(8*3)-62)/AB17</f>
        <v>1221.625</v>
      </c>
      <c r="AJ17" s="42">
        <f t="shared" ref="AJ17:AJ20" si="5">AG17*$J$1</f>
        <v>8</v>
      </c>
      <c r="AL17" s="42">
        <v>4</v>
      </c>
      <c r="AM17" s="46" t="s">
        <v>124</v>
      </c>
      <c r="AN17" s="46"/>
      <c r="AO17" s="42" t="s">
        <v>47</v>
      </c>
      <c r="AP17" s="42">
        <v>1.466</v>
      </c>
      <c r="AQ17" s="42">
        <f t="shared" ref="AQ17:AQ20" si="6">2*AL17</f>
        <v>8</v>
      </c>
      <c r="AR17" s="59" t="s">
        <v>128</v>
      </c>
      <c r="AS17" s="47">
        <f>($J$5-18-9.5-(8*3)-62)/AL17</f>
        <v>1221.625</v>
      </c>
      <c r="AT17" s="42">
        <f t="shared" ref="AT17:AT20" si="7">AQ17*$J$1</f>
        <v>8</v>
      </c>
    </row>
    <row r="18" spans="1:46" ht="34.950000000000003" customHeight="1" x14ac:dyDescent="0.25">
      <c r="A18" s="143"/>
      <c r="B18" s="46" t="s">
        <v>155</v>
      </c>
      <c r="C18" s="143"/>
      <c r="D18" s="143"/>
      <c r="E18" s="143"/>
      <c r="F18" s="82">
        <v>2</v>
      </c>
      <c r="G18" s="82" t="s">
        <v>161</v>
      </c>
      <c r="H18" s="47">
        <f>$J$7-18-58</f>
        <v>2924</v>
      </c>
      <c r="I18" s="82">
        <f t="shared" si="0"/>
        <v>2</v>
      </c>
      <c r="J18" s="143"/>
      <c r="K18" s="28"/>
      <c r="L18" s="25">
        <v>9</v>
      </c>
      <c r="M18" s="29" t="s">
        <v>36</v>
      </c>
      <c r="N18" s="30"/>
      <c r="O18" s="25" t="s">
        <v>1</v>
      </c>
      <c r="P18" s="25">
        <f>(($F$19+$F$20)/2)*12</f>
        <v>120</v>
      </c>
      <c r="Q18" s="25">
        <f>$J$1*P18</f>
        <v>120</v>
      </c>
      <c r="R18" s="13">
        <v>1.5</v>
      </c>
      <c r="V18" s="12" t="s">
        <v>166</v>
      </c>
      <c r="W18" s="12"/>
      <c r="X18" s="11" t="s">
        <v>13</v>
      </c>
      <c r="Y18" s="11">
        <v>0.28499999999999998</v>
      </c>
      <c r="AB18" s="42">
        <v>6</v>
      </c>
      <c r="AC18" s="46" t="s">
        <v>123</v>
      </c>
      <c r="AD18" s="46"/>
      <c r="AE18" s="42" t="s">
        <v>47</v>
      </c>
      <c r="AF18" s="42">
        <v>1.466</v>
      </c>
      <c r="AG18" s="42">
        <f t="shared" si="4"/>
        <v>12</v>
      </c>
      <c r="AH18" s="59" t="s">
        <v>131</v>
      </c>
      <c r="AI18" s="47">
        <f>($J$5-18-9.5-(8*5)-62)/AB18</f>
        <v>811.75</v>
      </c>
      <c r="AJ18" s="42">
        <f t="shared" si="5"/>
        <v>12</v>
      </c>
      <c r="AL18" s="42">
        <v>6</v>
      </c>
      <c r="AM18" s="46" t="s">
        <v>124</v>
      </c>
      <c r="AN18" s="46"/>
      <c r="AO18" s="42" t="s">
        <v>47</v>
      </c>
      <c r="AP18" s="42">
        <v>1.466</v>
      </c>
      <c r="AQ18" s="42">
        <f t="shared" si="6"/>
        <v>12</v>
      </c>
      <c r="AR18" s="59" t="s">
        <v>131</v>
      </c>
      <c r="AS18" s="47">
        <f>($J$5-18-9.5-(8*5)-62)/AL18</f>
        <v>811.75</v>
      </c>
      <c r="AT18" s="42">
        <f t="shared" si="7"/>
        <v>12</v>
      </c>
    </row>
    <row r="19" spans="1:46" ht="34.950000000000003" customHeight="1" x14ac:dyDescent="0.25">
      <c r="A19" s="138">
        <v>6</v>
      </c>
      <c r="B19" s="56" t="s">
        <v>121</v>
      </c>
      <c r="C19" s="138"/>
      <c r="D19" s="138" t="s">
        <v>47</v>
      </c>
      <c r="E19" s="138">
        <v>1.466</v>
      </c>
      <c r="F19" s="39">
        <f>IF($I$5=2,$AG$30,IF($I$5=4,$AG$31,IF($I$5=6,$AG$32,IF($I$5=8,$AG$33,IF($I$5=10,$AG$34,)))))</f>
        <v>12</v>
      </c>
      <c r="G19" s="39" t="s">
        <v>257</v>
      </c>
      <c r="H19" s="40">
        <f>$J$3-55-7-7-25</f>
        <v>2506</v>
      </c>
      <c r="I19" s="39">
        <f t="shared" si="0"/>
        <v>12</v>
      </c>
      <c r="J19" s="138">
        <f>ROUNDUP(((H19*I19)+(H20*I20)+(H21*I21+(H22*I22)))/6400,0)</f>
        <v>11</v>
      </c>
      <c r="K19" s="28"/>
      <c r="L19" s="25">
        <v>10</v>
      </c>
      <c r="M19" s="61" t="s">
        <v>96</v>
      </c>
      <c r="N19" s="60"/>
      <c r="O19" s="25" t="str">
        <f>IF($D$6="ขาว","ขาว","ดำ")</f>
        <v>ดำ</v>
      </c>
      <c r="P19" s="25">
        <v>2</v>
      </c>
      <c r="Q19" s="25">
        <f>$J$1*P19</f>
        <v>2</v>
      </c>
      <c r="V19" s="12" t="s">
        <v>177</v>
      </c>
      <c r="W19" s="12"/>
      <c r="X19" s="11" t="s">
        <v>13</v>
      </c>
      <c r="Y19" s="11">
        <v>0.28499999999999998</v>
      </c>
      <c r="AB19" s="42">
        <v>8</v>
      </c>
      <c r="AC19" s="46" t="s">
        <v>123</v>
      </c>
      <c r="AD19" s="46"/>
      <c r="AE19" s="42" t="s">
        <v>47</v>
      </c>
      <c r="AF19" s="42">
        <v>1.466</v>
      </c>
      <c r="AG19" s="42">
        <f t="shared" si="4"/>
        <v>16</v>
      </c>
      <c r="AH19" s="59" t="s">
        <v>130</v>
      </c>
      <c r="AI19" s="47">
        <f>($J$5-18-9.5-(8*7)-62)/AB19</f>
        <v>606.8125</v>
      </c>
      <c r="AJ19" s="42">
        <f t="shared" si="5"/>
        <v>16</v>
      </c>
      <c r="AL19" s="42">
        <v>8</v>
      </c>
      <c r="AM19" s="46" t="s">
        <v>124</v>
      </c>
      <c r="AN19" s="46"/>
      <c r="AO19" s="42" t="s">
        <v>47</v>
      </c>
      <c r="AP19" s="42">
        <v>1.466</v>
      </c>
      <c r="AQ19" s="42">
        <f t="shared" si="6"/>
        <v>16</v>
      </c>
      <c r="AR19" s="59" t="s">
        <v>130</v>
      </c>
      <c r="AS19" s="47">
        <f>($J$5-18-9.5-(8*7)-62)/AL19</f>
        <v>606.8125</v>
      </c>
      <c r="AT19" s="42">
        <f t="shared" si="7"/>
        <v>16</v>
      </c>
    </row>
    <row r="20" spans="1:46" ht="34.950000000000003" customHeight="1" x14ac:dyDescent="0.25">
      <c r="A20" s="139"/>
      <c r="B20" s="56" t="s">
        <v>122</v>
      </c>
      <c r="C20" s="140"/>
      <c r="D20" s="139"/>
      <c r="E20" s="139"/>
      <c r="F20" s="39">
        <f>IF($I$7=2,$AQ$30,IF($I$7=4,$AQ$31,IF($I$7=6,$AQ$32,IF($I$7=8,$AQ$33,IF($I$7=10,$AQ$34,)))))</f>
        <v>8</v>
      </c>
      <c r="G20" s="39" t="s">
        <v>257</v>
      </c>
      <c r="H20" s="40">
        <f>$J$3-55-7-7-25</f>
        <v>2506</v>
      </c>
      <c r="I20" s="39">
        <f t="shared" si="0"/>
        <v>8</v>
      </c>
      <c r="J20" s="139"/>
      <c r="K20" s="28"/>
      <c r="L20" s="83">
        <v>11</v>
      </c>
      <c r="M20" s="43" t="s">
        <v>67</v>
      </c>
      <c r="N20" s="58"/>
      <c r="O20" s="42" t="s">
        <v>1</v>
      </c>
      <c r="P20" s="45">
        <f>(($H$10*$I$10)+($H$12*$I$12)+($H$14*1)+($H$15*$I$15)+($H$19*$I$19*2)+($H$21*$I$21)+($H$28*$I$28)-($H$19*4))/1000</f>
        <v>79.814999999999998</v>
      </c>
      <c r="Q20" s="45">
        <f>$J$1*P20</f>
        <v>79.814999999999998</v>
      </c>
      <c r="S20" s="6">
        <f>((H23*I23)/1000)*E23</f>
        <v>8.02332</v>
      </c>
      <c r="V20" s="12" t="s">
        <v>168</v>
      </c>
      <c r="W20" s="12"/>
      <c r="X20" s="11" t="s">
        <v>55</v>
      </c>
      <c r="Y20" s="11">
        <v>0.252</v>
      </c>
      <c r="AB20" s="42">
        <v>10</v>
      </c>
      <c r="AC20" s="46" t="s">
        <v>123</v>
      </c>
      <c r="AD20" s="46"/>
      <c r="AE20" s="42" t="s">
        <v>47</v>
      </c>
      <c r="AF20" s="42">
        <v>1.466</v>
      </c>
      <c r="AG20" s="42">
        <f t="shared" ref="AG20" si="8">2*AB20</f>
        <v>20</v>
      </c>
      <c r="AH20" s="59" t="s">
        <v>129</v>
      </c>
      <c r="AI20" s="47">
        <f>($J$5-18-9.5-(8*9)-62)/AB20</f>
        <v>483.85</v>
      </c>
      <c r="AJ20" s="42">
        <f t="shared" si="5"/>
        <v>20</v>
      </c>
      <c r="AL20" s="42">
        <v>10</v>
      </c>
      <c r="AM20" s="46" t="s">
        <v>124</v>
      </c>
      <c r="AN20" s="46"/>
      <c r="AO20" s="42" t="s">
        <v>47</v>
      </c>
      <c r="AP20" s="42">
        <v>1.466</v>
      </c>
      <c r="AQ20" s="42">
        <f t="shared" si="6"/>
        <v>20</v>
      </c>
      <c r="AR20" s="59" t="s">
        <v>129</v>
      </c>
      <c r="AS20" s="47">
        <f>($J$5-18-9.5-(8*9)-62)/AL20</f>
        <v>483.85</v>
      </c>
      <c r="AT20" s="42">
        <f t="shared" si="7"/>
        <v>20</v>
      </c>
    </row>
    <row r="21" spans="1:46" ht="34.950000000000003" customHeight="1" x14ac:dyDescent="0.25">
      <c r="A21" s="139"/>
      <c r="B21" s="56" t="s">
        <v>123</v>
      </c>
      <c r="C21" s="138"/>
      <c r="D21" s="139"/>
      <c r="E21" s="139"/>
      <c r="F21" s="78" t="str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>12</v>
      </c>
      <c r="G21" s="78" t="str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>(W-18-9.5-(8x5)-102)/6</v>
      </c>
      <c r="H21" s="80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>805.08333333333303</v>
      </c>
      <c r="I21" s="39">
        <f>F21*$J$1</f>
        <v>12</v>
      </c>
      <c r="J21" s="139"/>
      <c r="K21" s="28"/>
      <c r="L21" s="83">
        <v>12</v>
      </c>
      <c r="M21" s="43" t="s">
        <v>65</v>
      </c>
      <c r="N21" s="58"/>
      <c r="O21" s="42" t="s">
        <v>1</v>
      </c>
      <c r="P21" s="45">
        <f>(($O$32+$P$32)*2)*$Q$32/1000</f>
        <v>27.741</v>
      </c>
      <c r="Q21" s="45">
        <f t="shared" ref="Q21:Q22" si="9">$J$1*P21</f>
        <v>27.741</v>
      </c>
      <c r="S21" s="6">
        <f>((H25*I25)/1000)*E25</f>
        <v>0</v>
      </c>
      <c r="V21" s="12" t="s">
        <v>170</v>
      </c>
      <c r="W21" s="12" t="s">
        <v>169</v>
      </c>
      <c r="X21" s="11" t="s">
        <v>55</v>
      </c>
      <c r="Y21" s="11">
        <v>0.252</v>
      </c>
    </row>
    <row r="22" spans="1:46" ht="34.950000000000003" customHeight="1" x14ac:dyDescent="0.25">
      <c r="A22" s="140"/>
      <c r="B22" s="56" t="s">
        <v>124</v>
      </c>
      <c r="C22" s="140"/>
      <c r="D22" s="140"/>
      <c r="E22" s="140"/>
      <c r="F22" s="78" t="str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>8</v>
      </c>
      <c r="G22" s="78" t="str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>(W-18-9.5-(8x3)-62)/4</v>
      </c>
      <c r="H22" s="80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>1221.625</v>
      </c>
      <c r="I22" s="39">
        <f t="shared" si="0"/>
        <v>8</v>
      </c>
      <c r="J22" s="140"/>
      <c r="K22" s="28"/>
      <c r="L22" s="83">
        <v>13</v>
      </c>
      <c r="M22" s="43" t="s">
        <v>66</v>
      </c>
      <c r="N22" s="58"/>
      <c r="O22" s="42" t="s">
        <v>1</v>
      </c>
      <c r="P22" s="45">
        <f>(($O$32+$P$32)*2)*$Q$32/1000</f>
        <v>27.741</v>
      </c>
      <c r="Q22" s="45">
        <f t="shared" si="9"/>
        <v>27.741</v>
      </c>
      <c r="V22" s="12" t="s">
        <v>171</v>
      </c>
      <c r="W22" s="14"/>
      <c r="X22" s="11" t="s">
        <v>62</v>
      </c>
      <c r="Y22" s="11">
        <v>0.22</v>
      </c>
      <c r="AB22" s="75" t="s">
        <v>132</v>
      </c>
      <c r="AC22" s="75" t="s">
        <v>143</v>
      </c>
      <c r="AD22" s="75"/>
      <c r="AL22" s="75" t="s">
        <v>142</v>
      </c>
      <c r="AM22" s="75" t="s">
        <v>143</v>
      </c>
      <c r="AN22" s="75"/>
    </row>
    <row r="23" spans="1:46" ht="34.950000000000003" customHeight="1" x14ac:dyDescent="0.25">
      <c r="A23" s="141">
        <v>7</v>
      </c>
      <c r="B23" s="46" t="str">
        <f>IF($E$6&lt;=12,V18,IF($E$6&lt;=20,V20,V22))</f>
        <v>คิ้วกระจก5-12มิล (ตั้ง) A</v>
      </c>
      <c r="C23" s="153"/>
      <c r="D23" s="141" t="str">
        <f>IF($E$6&lt;=12,X18,IF($E$6&lt;=20,X20,X22))</f>
        <v>F7935</v>
      </c>
      <c r="E23" s="141">
        <f>IF($E$6&lt;=12,Y18,IF($E$6&lt;=20,Y20,Y22))</f>
        <v>0.28499999999999998</v>
      </c>
      <c r="F23" s="82">
        <f>$F$19</f>
        <v>12</v>
      </c>
      <c r="G23" s="82" t="s">
        <v>19</v>
      </c>
      <c r="H23" s="47">
        <f>$H$19-80-80</f>
        <v>2346</v>
      </c>
      <c r="I23" s="82">
        <f t="shared" si="0"/>
        <v>12</v>
      </c>
      <c r="J23" s="141">
        <f>ROUNDUP(((H23*I23)+(H24*I24)+(H25*I25+(H26*I26)))/6400,0)</f>
        <v>10</v>
      </c>
      <c r="K23" s="28"/>
      <c r="L23" s="53"/>
      <c r="M23" s="86"/>
      <c r="N23" s="87"/>
      <c r="O23" s="53"/>
      <c r="P23" s="53"/>
      <c r="Q23" s="53"/>
      <c r="V23" s="12" t="s">
        <v>172</v>
      </c>
      <c r="W23" s="14"/>
      <c r="X23" s="11" t="s">
        <v>62</v>
      </c>
      <c r="Y23" s="11">
        <v>0.22</v>
      </c>
      <c r="AB23" s="42">
        <v>2</v>
      </c>
      <c r="AC23" s="46" t="s">
        <v>123</v>
      </c>
      <c r="AD23" s="46"/>
      <c r="AE23" s="42" t="s">
        <v>47</v>
      </c>
      <c r="AF23" s="42">
        <v>1.466</v>
      </c>
      <c r="AG23" s="42">
        <f>2*AB23</f>
        <v>4</v>
      </c>
      <c r="AH23" s="59" t="s">
        <v>133</v>
      </c>
      <c r="AI23" s="47">
        <f>($J$5-18-9.5-(8*1)-102)/AB23</f>
        <v>2431.25</v>
      </c>
      <c r="AJ23" s="42">
        <f>AG23*$J$1</f>
        <v>4</v>
      </c>
      <c r="AL23" s="42">
        <v>2</v>
      </c>
      <c r="AM23" s="46" t="s">
        <v>124</v>
      </c>
      <c r="AN23" s="46"/>
      <c r="AO23" s="42" t="s">
        <v>47</v>
      </c>
      <c r="AP23" s="42">
        <v>1.466</v>
      </c>
      <c r="AQ23" s="42">
        <f>2*AL23</f>
        <v>4</v>
      </c>
      <c r="AR23" s="59" t="s">
        <v>133</v>
      </c>
      <c r="AS23" s="47">
        <f>($J$5-18-9.5-(8*1)-102)/AL23</f>
        <v>2431.25</v>
      </c>
      <c r="AT23" s="42">
        <f>AQ23*$J$1</f>
        <v>4</v>
      </c>
    </row>
    <row r="24" spans="1:46" ht="34.950000000000003" customHeight="1" x14ac:dyDescent="0.25">
      <c r="A24" s="142"/>
      <c r="B24" s="46" t="str">
        <f>IF($E$6&lt;=12,V25,IF($E$6&lt;=20,V27,V29))</f>
        <v>คิ้วกระจก5-12มิล (ตั้ง) B</v>
      </c>
      <c r="C24" s="153"/>
      <c r="D24" s="142"/>
      <c r="E24" s="142"/>
      <c r="F24" s="82">
        <f>$F$20</f>
        <v>8</v>
      </c>
      <c r="G24" s="82" t="s">
        <v>19</v>
      </c>
      <c r="H24" s="47">
        <f>$H$20-80-80</f>
        <v>2346</v>
      </c>
      <c r="I24" s="82">
        <f t="shared" ref="I24:I26" si="10">F24*$J$1</f>
        <v>8</v>
      </c>
      <c r="J24" s="142"/>
      <c r="K24" s="28"/>
      <c r="L24" s="88"/>
      <c r="M24" s="89"/>
      <c r="N24" s="136" t="s">
        <v>183</v>
      </c>
      <c r="O24" s="136"/>
      <c r="P24" s="136"/>
      <c r="Q24" s="136"/>
      <c r="V24" s="81" t="s">
        <v>165</v>
      </c>
      <c r="AB24" s="42">
        <v>4</v>
      </c>
      <c r="AC24" s="46" t="s">
        <v>123</v>
      </c>
      <c r="AD24" s="46"/>
      <c r="AE24" s="42" t="s">
        <v>47</v>
      </c>
      <c r="AF24" s="42">
        <v>1.466</v>
      </c>
      <c r="AG24" s="42">
        <f t="shared" ref="AG24:AG27" si="11">VALUE(2*AB24)</f>
        <v>8</v>
      </c>
      <c r="AH24" s="59" t="s">
        <v>134</v>
      </c>
      <c r="AI24" s="47">
        <f>($J$5-18-9.5-(8*3)-102)/AB24</f>
        <v>1211.625</v>
      </c>
      <c r="AJ24" s="42">
        <f t="shared" ref="AJ24:AJ27" si="12">AG24*$J$1</f>
        <v>8</v>
      </c>
      <c r="AL24" s="42">
        <v>4</v>
      </c>
      <c r="AM24" s="46" t="s">
        <v>124</v>
      </c>
      <c r="AN24" s="46"/>
      <c r="AO24" s="42" t="s">
        <v>47</v>
      </c>
      <c r="AP24" s="42">
        <v>1.466</v>
      </c>
      <c r="AQ24" s="42">
        <f t="shared" ref="AQ24:AQ27" si="13">2*AL24</f>
        <v>8</v>
      </c>
      <c r="AR24" s="59" t="s">
        <v>134</v>
      </c>
      <c r="AS24" s="47">
        <f>($J$5-18-9.5-(8*3)-102)/AL24</f>
        <v>1211.625</v>
      </c>
      <c r="AT24" s="42">
        <f t="shared" ref="AT24:AT27" si="14">AQ24*$J$1</f>
        <v>8</v>
      </c>
    </row>
    <row r="25" spans="1:46" ht="34.950000000000003" customHeight="1" x14ac:dyDescent="0.25">
      <c r="A25" s="142"/>
      <c r="B25" s="46" t="str">
        <f>IF($E$6&lt;=12,V19,IF($E$6&lt;=20,V21,V23))</f>
        <v>คิ้วกระจก5-12มิล (นอน) A</v>
      </c>
      <c r="C25" s="153"/>
      <c r="D25" s="142"/>
      <c r="E25" s="142"/>
      <c r="F25" s="82" t="str">
        <f>$F$21</f>
        <v>12</v>
      </c>
      <c r="G25" s="82" t="s">
        <v>56</v>
      </c>
      <c r="H25" s="47">
        <f>$H$21-60-60</f>
        <v>685.08333333333303</v>
      </c>
      <c r="I25" s="82">
        <f t="shared" si="10"/>
        <v>12</v>
      </c>
      <c r="J25" s="142"/>
      <c r="K25" s="28"/>
      <c r="L25" s="88"/>
      <c r="M25" s="89"/>
      <c r="N25" s="85" t="s">
        <v>181</v>
      </c>
      <c r="O25" s="137" t="s">
        <v>184</v>
      </c>
      <c r="P25" s="137"/>
      <c r="Q25" s="137"/>
      <c r="V25" s="12" t="s">
        <v>178</v>
      </c>
      <c r="W25" s="12"/>
      <c r="X25" s="11" t="s">
        <v>13</v>
      </c>
      <c r="Y25" s="11">
        <v>0.28499999999999998</v>
      </c>
      <c r="AB25" s="42">
        <v>6</v>
      </c>
      <c r="AC25" s="46" t="s">
        <v>123</v>
      </c>
      <c r="AD25" s="46"/>
      <c r="AE25" s="42" t="s">
        <v>47</v>
      </c>
      <c r="AF25" s="42">
        <v>1.466</v>
      </c>
      <c r="AG25" s="42">
        <f t="shared" si="11"/>
        <v>12</v>
      </c>
      <c r="AH25" s="59" t="s">
        <v>135</v>
      </c>
      <c r="AI25" s="47">
        <f>($J$5-18-9.5-(8*5)-102)/AB25</f>
        <v>805.08333333333337</v>
      </c>
      <c r="AJ25" s="42">
        <f t="shared" si="12"/>
        <v>12</v>
      </c>
      <c r="AL25" s="42">
        <v>6</v>
      </c>
      <c r="AM25" s="46" t="s">
        <v>124</v>
      </c>
      <c r="AN25" s="46"/>
      <c r="AO25" s="42" t="s">
        <v>47</v>
      </c>
      <c r="AP25" s="42">
        <v>1.466</v>
      </c>
      <c r="AQ25" s="42">
        <f t="shared" si="13"/>
        <v>12</v>
      </c>
      <c r="AR25" s="59" t="s">
        <v>135</v>
      </c>
      <c r="AS25" s="47">
        <f>($J$5-18-9.5-(8*5)-102)/AL25</f>
        <v>805.08333333333337</v>
      </c>
      <c r="AT25" s="42">
        <f t="shared" si="14"/>
        <v>12</v>
      </c>
    </row>
    <row r="26" spans="1:46" ht="34.950000000000003" customHeight="1" x14ac:dyDescent="0.25">
      <c r="A26" s="143"/>
      <c r="B26" s="46" t="str">
        <f>IF($E$6&lt;=12,V26,IF($E$6&lt;=20,V28,V30))</f>
        <v>คิ้วกระจก5-12มิล (นอน) B</v>
      </c>
      <c r="C26" s="153"/>
      <c r="D26" s="143"/>
      <c r="E26" s="143"/>
      <c r="F26" s="82" t="str">
        <f>$F$22</f>
        <v>8</v>
      </c>
      <c r="G26" s="82" t="s">
        <v>56</v>
      </c>
      <c r="H26" s="47">
        <f>$H$22-60-60</f>
        <v>1101.625</v>
      </c>
      <c r="I26" s="82">
        <f t="shared" si="10"/>
        <v>8</v>
      </c>
      <c r="J26" s="143"/>
      <c r="K26" s="28"/>
      <c r="L26" s="88"/>
      <c r="M26" s="91"/>
      <c r="N26" s="71">
        <f>((($H$19*$F$19*$E$19/1000)+($H$21*$F$21*$E$19/1000)+($H$23*$F$23*$E$23/1000)+($H$25*$F$25*$E$23/1000))+($O$32*$P$32*$E$6*2.5*$I$7/1000000))/$I$7</f>
        <v>56.059235749999999</v>
      </c>
      <c r="O26" s="39" t="s">
        <v>40</v>
      </c>
      <c r="P26" s="39" t="s">
        <v>41</v>
      </c>
      <c r="Q26" s="40" t="s">
        <v>20</v>
      </c>
      <c r="V26" s="12" t="s">
        <v>167</v>
      </c>
      <c r="W26" s="12"/>
      <c r="X26" s="11" t="s">
        <v>13</v>
      </c>
      <c r="Y26" s="11">
        <v>0.28499999999999998</v>
      </c>
      <c r="AB26" s="42">
        <v>8</v>
      </c>
      <c r="AC26" s="46" t="s">
        <v>123</v>
      </c>
      <c r="AD26" s="46"/>
      <c r="AE26" s="42" t="s">
        <v>47</v>
      </c>
      <c r="AF26" s="42">
        <v>1.466</v>
      </c>
      <c r="AG26" s="42">
        <f t="shared" si="11"/>
        <v>16</v>
      </c>
      <c r="AH26" s="59" t="s">
        <v>136</v>
      </c>
      <c r="AI26" s="47">
        <f>($J$5-18-9.5-(8*7)-102)/AB26</f>
        <v>601.8125</v>
      </c>
      <c r="AJ26" s="42">
        <f t="shared" si="12"/>
        <v>16</v>
      </c>
      <c r="AL26" s="42">
        <v>8</v>
      </c>
      <c r="AM26" s="46" t="s">
        <v>124</v>
      </c>
      <c r="AN26" s="46"/>
      <c r="AO26" s="42" t="s">
        <v>47</v>
      </c>
      <c r="AP26" s="42">
        <v>1.466</v>
      </c>
      <c r="AQ26" s="42">
        <f t="shared" si="13"/>
        <v>16</v>
      </c>
      <c r="AR26" s="59" t="s">
        <v>136</v>
      </c>
      <c r="AS26" s="47">
        <f>($J$5-18-9.5-(8*7)-102)/AL26</f>
        <v>601.8125</v>
      </c>
      <c r="AT26" s="42">
        <f t="shared" si="14"/>
        <v>16</v>
      </c>
    </row>
    <row r="27" spans="1:46" ht="34.950000000000003" customHeight="1" x14ac:dyDescent="0.25">
      <c r="A27" s="25">
        <v>8</v>
      </c>
      <c r="B27" s="26" t="s">
        <v>69</v>
      </c>
      <c r="C27" s="26"/>
      <c r="D27" s="25" t="s">
        <v>68</v>
      </c>
      <c r="E27" s="25">
        <v>0.79900000000000004</v>
      </c>
      <c r="F27" s="25">
        <v>1</v>
      </c>
      <c r="G27" s="25" t="s">
        <v>256</v>
      </c>
      <c r="H27" s="27">
        <f>$H$19+4</f>
        <v>2510</v>
      </c>
      <c r="I27" s="25">
        <f>F27*$J$1</f>
        <v>1</v>
      </c>
      <c r="J27" s="25">
        <f>ROUNDUP((H27*I27)/6400,0)</f>
        <v>1</v>
      </c>
      <c r="K27" s="28"/>
      <c r="L27" s="88"/>
      <c r="M27" s="89"/>
      <c r="N27" s="72">
        <f>$N$31*$I$5</f>
        <v>310.80034649999999</v>
      </c>
      <c r="O27" s="41">
        <f>$H$19-130</f>
        <v>2376</v>
      </c>
      <c r="P27" s="41">
        <f>$H$21-130</f>
        <v>675.08333333333303</v>
      </c>
      <c r="Q27" s="41">
        <f>$I$5*$J$1</f>
        <v>6</v>
      </c>
      <c r="S27" s="6">
        <f>O32*P32*6*Q32*2.5/1000000</f>
        <v>155.62206</v>
      </c>
      <c r="V27" s="12" t="s">
        <v>173</v>
      </c>
      <c r="W27" s="12"/>
      <c r="X27" s="11" t="s">
        <v>55</v>
      </c>
      <c r="Y27" s="11">
        <v>0.252</v>
      </c>
      <c r="AB27" s="42">
        <v>10</v>
      </c>
      <c r="AC27" s="46" t="s">
        <v>123</v>
      </c>
      <c r="AD27" s="46"/>
      <c r="AE27" s="42" t="s">
        <v>47</v>
      </c>
      <c r="AF27" s="42">
        <v>1.466</v>
      </c>
      <c r="AG27" s="42">
        <f t="shared" si="11"/>
        <v>20</v>
      </c>
      <c r="AH27" s="59" t="s">
        <v>137</v>
      </c>
      <c r="AI27" s="47">
        <f>($J$5-18-9.5-(8*9)-102)/AB27</f>
        <v>479.85</v>
      </c>
      <c r="AJ27" s="42">
        <f t="shared" si="12"/>
        <v>20</v>
      </c>
      <c r="AL27" s="42">
        <v>10</v>
      </c>
      <c r="AM27" s="46" t="s">
        <v>124</v>
      </c>
      <c r="AN27" s="46"/>
      <c r="AO27" s="42" t="s">
        <v>47</v>
      </c>
      <c r="AP27" s="42">
        <v>1.466</v>
      </c>
      <c r="AQ27" s="42">
        <f t="shared" si="13"/>
        <v>20</v>
      </c>
      <c r="AR27" s="59" t="s">
        <v>137</v>
      </c>
      <c r="AS27" s="47">
        <f>($J$5-18-9.5-(8*9)-102)/AL27</f>
        <v>479.85</v>
      </c>
      <c r="AT27" s="42">
        <f t="shared" si="14"/>
        <v>20</v>
      </c>
    </row>
    <row r="28" spans="1:46" ht="34.950000000000003" customHeight="1" x14ac:dyDescent="0.25">
      <c r="A28" s="82">
        <v>9</v>
      </c>
      <c r="B28" s="46" t="s">
        <v>162</v>
      </c>
      <c r="C28" s="46"/>
      <c r="D28" s="82" t="s">
        <v>163</v>
      </c>
      <c r="E28" s="82">
        <v>0.438</v>
      </c>
      <c r="F28" s="82">
        <v>1</v>
      </c>
      <c r="G28" s="82" t="s">
        <v>256</v>
      </c>
      <c r="H28" s="47">
        <f>$H$19+4</f>
        <v>2510</v>
      </c>
      <c r="I28" s="82">
        <f>F28*$J$1</f>
        <v>1</v>
      </c>
      <c r="J28" s="82">
        <f>ROUNDUP((H28*I28)/6400,0)</f>
        <v>1</v>
      </c>
      <c r="K28" s="28"/>
      <c r="L28" s="88"/>
      <c r="M28" s="89"/>
      <c r="N28" s="92"/>
      <c r="O28" s="90"/>
      <c r="P28" s="88"/>
      <c r="Q28" s="88"/>
      <c r="S28" s="18">
        <f>SUM(S16:S27)</f>
        <v>207.730932</v>
      </c>
      <c r="V28" s="12" t="s">
        <v>174</v>
      </c>
      <c r="W28" s="12"/>
      <c r="X28" s="11" t="s">
        <v>55</v>
      </c>
      <c r="Y28" s="11">
        <v>0.252</v>
      </c>
    </row>
    <row r="29" spans="1:46" ht="34.950000000000003" customHeight="1" x14ac:dyDescent="0.25">
      <c r="A29" s="25">
        <v>10</v>
      </c>
      <c r="B29" s="26" t="s">
        <v>179</v>
      </c>
      <c r="C29" s="84"/>
      <c r="D29" s="25" t="s">
        <v>180</v>
      </c>
      <c r="E29" s="25">
        <v>1.03</v>
      </c>
      <c r="F29" s="25">
        <v>1</v>
      </c>
      <c r="G29" s="25" t="s">
        <v>256</v>
      </c>
      <c r="H29" s="27">
        <f>$H$19+4</f>
        <v>2510</v>
      </c>
      <c r="I29" s="25">
        <f>F29*$J$1</f>
        <v>1</v>
      </c>
      <c r="J29" s="25">
        <f>ROUNDUP((H29*I29)/6400,0)</f>
        <v>1</v>
      </c>
      <c r="K29" s="28"/>
      <c r="L29" s="88"/>
      <c r="M29" s="93"/>
      <c r="N29" s="136" t="s">
        <v>182</v>
      </c>
      <c r="O29" s="136"/>
      <c r="P29" s="136"/>
      <c r="Q29" s="136"/>
      <c r="V29" s="12" t="s">
        <v>175</v>
      </c>
      <c r="W29" s="14"/>
      <c r="X29" s="11" t="s">
        <v>62</v>
      </c>
      <c r="Y29" s="11">
        <v>0.22</v>
      </c>
      <c r="AB29" s="75" t="s">
        <v>144</v>
      </c>
      <c r="AC29" s="75"/>
      <c r="AD29" s="75"/>
      <c r="AL29" s="75" t="s">
        <v>145</v>
      </c>
      <c r="AM29" s="75"/>
      <c r="AN29" s="75"/>
    </row>
    <row r="30" spans="1:46" ht="34.950000000000003" customHeight="1" x14ac:dyDescent="0.25">
      <c r="A30" s="31"/>
      <c r="B30" s="32"/>
      <c r="C30" s="32"/>
      <c r="D30" s="31"/>
      <c r="E30" s="31"/>
      <c r="F30" s="33"/>
      <c r="G30" s="31"/>
      <c r="H30" s="34"/>
      <c r="I30" s="33"/>
      <c r="J30" s="33"/>
      <c r="K30" s="28"/>
      <c r="L30" s="28"/>
      <c r="M30" s="94"/>
      <c r="N30" s="85" t="s">
        <v>181</v>
      </c>
      <c r="O30" s="137" t="s">
        <v>185</v>
      </c>
      <c r="P30" s="137"/>
      <c r="Q30" s="137"/>
      <c r="V30" s="12" t="s">
        <v>176</v>
      </c>
      <c r="W30" s="14"/>
      <c r="X30" s="11" t="s">
        <v>62</v>
      </c>
      <c r="Y30" s="11">
        <v>0.22</v>
      </c>
      <c r="AB30" s="42">
        <v>2</v>
      </c>
      <c r="AC30" s="46" t="s">
        <v>121</v>
      </c>
      <c r="AD30" s="46"/>
      <c r="AE30" s="42" t="s">
        <v>47</v>
      </c>
      <c r="AF30" s="42">
        <v>1.466</v>
      </c>
      <c r="AG30" s="42">
        <f>2*AB30</f>
        <v>4</v>
      </c>
      <c r="AH30" s="42" t="s">
        <v>11</v>
      </c>
      <c r="AI30" s="47">
        <f>$J$3-55-6-6-25</f>
        <v>2508</v>
      </c>
      <c r="AJ30" s="42">
        <f>AG30*$J$1</f>
        <v>4</v>
      </c>
      <c r="AL30" s="42">
        <v>2</v>
      </c>
      <c r="AM30" s="46" t="s">
        <v>122</v>
      </c>
      <c r="AN30" s="46"/>
      <c r="AO30" s="42" t="s">
        <v>47</v>
      </c>
      <c r="AP30" s="42">
        <v>1.466</v>
      </c>
      <c r="AQ30" s="42">
        <f>2*AL30</f>
        <v>4</v>
      </c>
      <c r="AR30" s="42" t="s">
        <v>11</v>
      </c>
      <c r="AS30" s="47">
        <f>$J$3-55-6-6-25</f>
        <v>2508</v>
      </c>
      <c r="AT30" s="42">
        <f>AQ30*$J$1</f>
        <v>4</v>
      </c>
    </row>
    <row r="31" spans="1:46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71">
        <f>((($H$20*$F$20*$E$19/1000)+($H$22*$F$22*$E$19/1000)+($H$24*$F$24*$E$23/1000)+($H$26*$F$26*$E$23/1000))+($O$32*$P$32*$E$6*2.5*$I$7/1000000))/$I$7</f>
        <v>51.800057750000001</v>
      </c>
      <c r="O31" s="39" t="s">
        <v>40</v>
      </c>
      <c r="P31" s="39" t="s">
        <v>41</v>
      </c>
      <c r="Q31" s="40" t="s">
        <v>20</v>
      </c>
      <c r="AB31" s="42">
        <v>4</v>
      </c>
      <c r="AC31" s="46" t="s">
        <v>121</v>
      </c>
      <c r="AD31" s="46"/>
      <c r="AE31" s="42" t="s">
        <v>47</v>
      </c>
      <c r="AF31" s="42">
        <v>1.466</v>
      </c>
      <c r="AG31" s="42">
        <f t="shared" ref="AG31:AG34" si="15">2*AB31</f>
        <v>8</v>
      </c>
      <c r="AH31" s="42" t="s">
        <v>11</v>
      </c>
      <c r="AI31" s="47">
        <f t="shared" ref="AI31:AI34" si="16">$J$3-55-6-6-25</f>
        <v>2508</v>
      </c>
      <c r="AJ31" s="42">
        <f t="shared" ref="AJ31:AJ34" si="17">AG31*$J$1</f>
        <v>8</v>
      </c>
      <c r="AL31" s="42">
        <v>4</v>
      </c>
      <c r="AM31" s="46" t="s">
        <v>122</v>
      </c>
      <c r="AN31" s="46"/>
      <c r="AO31" s="42" t="s">
        <v>47</v>
      </c>
      <c r="AP31" s="42">
        <v>1.466</v>
      </c>
      <c r="AQ31" s="42">
        <f t="shared" ref="AQ31:AQ34" si="18">2*AL31</f>
        <v>8</v>
      </c>
      <c r="AR31" s="42" t="s">
        <v>11</v>
      </c>
      <c r="AS31" s="47">
        <f t="shared" ref="AS31:AS34" si="19">$J$3-55-6-6-25</f>
        <v>2508</v>
      </c>
      <c r="AT31" s="42">
        <f t="shared" ref="AT31:AT34" si="20">AQ31*$J$1</f>
        <v>8</v>
      </c>
    </row>
    <row r="32" spans="1:46" ht="34.950000000000003" customHeight="1" x14ac:dyDescent="0.25">
      <c r="A32" s="28"/>
      <c r="B32" s="35"/>
      <c r="C32" s="35"/>
      <c r="D32" s="36"/>
      <c r="E32" s="36"/>
      <c r="F32" s="37"/>
      <c r="G32" s="36"/>
      <c r="H32" s="38"/>
      <c r="I32" s="33"/>
      <c r="J32" s="33"/>
      <c r="K32" s="28"/>
      <c r="L32" s="28"/>
      <c r="M32" s="28"/>
      <c r="N32" s="72">
        <f>$N$31*$I$7</f>
        <v>207.200231</v>
      </c>
      <c r="O32" s="41">
        <f>$H$20-130</f>
        <v>2376</v>
      </c>
      <c r="P32" s="41">
        <f>$H$22-130</f>
        <v>1091.625</v>
      </c>
      <c r="Q32" s="41">
        <f>$I$7*$J$1</f>
        <v>4</v>
      </c>
      <c r="AB32" s="42">
        <v>6</v>
      </c>
      <c r="AC32" s="46" t="s">
        <v>121</v>
      </c>
      <c r="AD32" s="46"/>
      <c r="AE32" s="42" t="s">
        <v>47</v>
      </c>
      <c r="AF32" s="42">
        <v>1.466</v>
      </c>
      <c r="AG32" s="42">
        <f t="shared" si="15"/>
        <v>12</v>
      </c>
      <c r="AH32" s="42" t="s">
        <v>11</v>
      </c>
      <c r="AI32" s="47">
        <f t="shared" si="16"/>
        <v>2508</v>
      </c>
      <c r="AJ32" s="42">
        <f t="shared" si="17"/>
        <v>12</v>
      </c>
      <c r="AL32" s="42">
        <v>6</v>
      </c>
      <c r="AM32" s="46" t="s">
        <v>122</v>
      </c>
      <c r="AN32" s="46"/>
      <c r="AO32" s="42" t="s">
        <v>47</v>
      </c>
      <c r="AP32" s="42">
        <v>1.466</v>
      </c>
      <c r="AQ32" s="42">
        <f t="shared" si="18"/>
        <v>12</v>
      </c>
      <c r="AR32" s="42" t="s">
        <v>11</v>
      </c>
      <c r="AS32" s="47">
        <f t="shared" si="19"/>
        <v>2508</v>
      </c>
      <c r="AT32" s="42">
        <f t="shared" si="20"/>
        <v>12</v>
      </c>
    </row>
    <row r="33" spans="1:46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AB33" s="42">
        <v>8</v>
      </c>
      <c r="AC33" s="46" t="s">
        <v>121</v>
      </c>
      <c r="AD33" s="46"/>
      <c r="AE33" s="42" t="s">
        <v>47</v>
      </c>
      <c r="AF33" s="42">
        <v>1.466</v>
      </c>
      <c r="AG33" s="42">
        <f t="shared" si="15"/>
        <v>16</v>
      </c>
      <c r="AH33" s="42" t="s">
        <v>11</v>
      </c>
      <c r="AI33" s="47">
        <f t="shared" si="16"/>
        <v>2508</v>
      </c>
      <c r="AJ33" s="42">
        <f t="shared" si="17"/>
        <v>16</v>
      </c>
      <c r="AL33" s="42">
        <v>8</v>
      </c>
      <c r="AM33" s="46" t="s">
        <v>122</v>
      </c>
      <c r="AN33" s="46"/>
      <c r="AO33" s="42" t="s">
        <v>47</v>
      </c>
      <c r="AP33" s="42">
        <v>1.466</v>
      </c>
      <c r="AQ33" s="42">
        <f t="shared" si="18"/>
        <v>16</v>
      </c>
      <c r="AR33" s="42" t="s">
        <v>11</v>
      </c>
      <c r="AS33" s="47">
        <f t="shared" si="19"/>
        <v>2508</v>
      </c>
      <c r="AT33" s="42">
        <f t="shared" si="20"/>
        <v>16</v>
      </c>
    </row>
    <row r="34" spans="1:46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AB34" s="42">
        <v>10</v>
      </c>
      <c r="AC34" s="46" t="s">
        <v>121</v>
      </c>
      <c r="AD34" s="46"/>
      <c r="AE34" s="42" t="s">
        <v>47</v>
      </c>
      <c r="AF34" s="42">
        <v>1.466</v>
      </c>
      <c r="AG34" s="42">
        <f t="shared" si="15"/>
        <v>20</v>
      </c>
      <c r="AH34" s="42" t="s">
        <v>11</v>
      </c>
      <c r="AI34" s="47">
        <f t="shared" si="16"/>
        <v>2508</v>
      </c>
      <c r="AJ34" s="42">
        <f t="shared" si="17"/>
        <v>20</v>
      </c>
      <c r="AL34" s="42">
        <v>10</v>
      </c>
      <c r="AM34" s="46" t="s">
        <v>122</v>
      </c>
      <c r="AN34" s="46"/>
      <c r="AO34" s="42" t="s">
        <v>47</v>
      </c>
      <c r="AP34" s="42">
        <v>1.466</v>
      </c>
      <c r="AQ34" s="42">
        <f t="shared" si="18"/>
        <v>20</v>
      </c>
      <c r="AR34" s="42" t="s">
        <v>11</v>
      </c>
      <c r="AS34" s="47">
        <f t="shared" si="19"/>
        <v>2508</v>
      </c>
      <c r="AT34" s="42">
        <f t="shared" si="20"/>
        <v>20</v>
      </c>
    </row>
    <row r="35" spans="1:46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</row>
    <row r="36" spans="1:46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</row>
    <row r="37" spans="1:46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</row>
    <row r="38" spans="1:46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</row>
    <row r="39" spans="1:46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46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46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46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46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46" ht="34.950000000000003" customHeight="1" x14ac:dyDescent="0.25">
      <c r="G44" s="6"/>
    </row>
  </sheetData>
  <sheetProtection sheet="1" objects="1" scenarios="1" formatCells="0" formatColumns="0"/>
  <dataConsolidate/>
  <mergeCells count="36">
    <mergeCell ref="A16:A18"/>
    <mergeCell ref="A19:A22"/>
    <mergeCell ref="A23:A26"/>
    <mergeCell ref="D19:D22"/>
    <mergeCell ref="E19:E22"/>
    <mergeCell ref="D23:D26"/>
    <mergeCell ref="E23:E26"/>
    <mergeCell ref="D16:D18"/>
    <mergeCell ref="E16:E18"/>
    <mergeCell ref="C19:C20"/>
    <mergeCell ref="C21:C22"/>
    <mergeCell ref="C23:C24"/>
    <mergeCell ref="C25:C26"/>
    <mergeCell ref="J16:J18"/>
    <mergeCell ref="C10:C11"/>
    <mergeCell ref="C12:C13"/>
    <mergeCell ref="C16:C18"/>
    <mergeCell ref="D10:D11"/>
    <mergeCell ref="E10:E11"/>
    <mergeCell ref="E12:E13"/>
    <mergeCell ref="D12:D13"/>
    <mergeCell ref="C2:F2"/>
    <mergeCell ref="A8:J8"/>
    <mergeCell ref="L8:Q8"/>
    <mergeCell ref="J12:J13"/>
    <mergeCell ref="E5:F5"/>
    <mergeCell ref="E6:F6"/>
    <mergeCell ref="A10:A11"/>
    <mergeCell ref="A12:A13"/>
    <mergeCell ref="J10:J11"/>
    <mergeCell ref="N29:Q29"/>
    <mergeCell ref="N24:Q24"/>
    <mergeCell ref="O25:Q25"/>
    <mergeCell ref="O30:Q30"/>
    <mergeCell ref="J19:J22"/>
    <mergeCell ref="J23:J26"/>
  </mergeCells>
  <conditionalFormatting sqref="N31">
    <cfRule type="cellIs" dxfId="955" priority="3" operator="greaterThanOrEqual">
      <formula>45.5</formula>
    </cfRule>
    <cfRule type="cellIs" dxfId="954" priority="4" operator="greaterThanOrEqual">
      <formula>40</formula>
    </cfRule>
  </conditionalFormatting>
  <conditionalFormatting sqref="M21:Q22">
    <cfRule type="expression" dxfId="953" priority="27">
      <formula>$E$6=33</formula>
    </cfRule>
    <cfRule type="expression" dxfId="952" priority="28">
      <formula>$E$6=20</formula>
    </cfRule>
    <cfRule type="expression" dxfId="951" priority="29">
      <formula>$E$6=18</formula>
    </cfRule>
    <cfRule type="expression" dxfId="950" priority="30">
      <formula>$E$6=12</formula>
    </cfRule>
    <cfRule type="expression" dxfId="949" priority="31">
      <formula>$E$6=10</formula>
    </cfRule>
  </conditionalFormatting>
  <conditionalFormatting sqref="N26">
    <cfRule type="cellIs" dxfId="948" priority="1" operator="greaterThanOrEqual">
      <formula>45.5</formula>
    </cfRule>
    <cfRule type="cellIs" dxfId="947" priority="2" operator="greaterThanOrEqual">
      <formula>40</formula>
    </cfRule>
  </conditionalFormatting>
  <dataValidations count="4">
    <dataValidation type="list" allowBlank="1" showInputMessage="1" showErrorMessage="1" sqref="D6">
      <formula1>"ขาว,ดำ"</formula1>
    </dataValidation>
    <dataValidation type="list" allowBlank="1" showInputMessage="1" showErrorMessage="1" sqref="E6">
      <formula1>"5,6,8,10,12,14,16,18,20,29,30,33"</formula1>
    </dataValidation>
    <dataValidation type="list" allowBlank="1" showInputMessage="1" showErrorMessage="1" sqref="H6">
      <formula1>"เปิดบาน B,ปิดบาน B"</formula1>
    </dataValidation>
    <dataValidation type="list" allowBlank="1" showInputMessage="1" showErrorMessage="1" sqref="I7 I5">
      <formula1>"2,4,6,8,10"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FFFF00"/>
  </sheetPr>
  <dimension ref="A1:AU44"/>
  <sheetViews>
    <sheetView zoomScale="70" zoomScaleNormal="70" zoomScaleSheetLayoutView="55" workbookViewId="0">
      <selection activeCell="A8" sqref="A8:J8"/>
    </sheetView>
  </sheetViews>
  <sheetFormatPr defaultColWidth="8.8984375" defaultRowHeight="13.8" outlineLevelCol="1" x14ac:dyDescent="0.25"/>
  <cols>
    <col min="1" max="1" width="8.69921875" style="6" customWidth="1"/>
    <col min="2" max="2" width="30.3984375" style="2" bestFit="1" customWidth="1"/>
    <col min="3" max="3" width="16" style="2" customWidth="1"/>
    <col min="4" max="4" width="13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8.69921875" style="6" customWidth="1" outlineLevel="1"/>
    <col min="23" max="23" width="35.69921875" style="6" customWidth="1" outlineLevel="1"/>
    <col min="24" max="28" width="10.69921875" style="6" customWidth="1" outlineLevel="1"/>
    <col min="29" max="29" width="22" style="6" customWidth="1" outlineLevel="1"/>
    <col min="30" max="32" width="10.69921875" style="6" customWidth="1" outlineLevel="1"/>
    <col min="33" max="33" width="23.69921875" style="6" customWidth="1" outlineLevel="1"/>
    <col min="34" max="35" width="10.69921875" style="6" customWidth="1" outlineLevel="1"/>
    <col min="36" max="37" width="8.8984375" style="6" customWidth="1" outlineLevel="1"/>
    <col min="38" max="38" width="10.69921875" style="6" customWidth="1" outlineLevel="1"/>
    <col min="39" max="39" width="22" style="6" customWidth="1" outlineLevel="1"/>
    <col min="40" max="42" width="10.69921875" style="6" customWidth="1" outlineLevel="1"/>
    <col min="43" max="43" width="23.69921875" style="6" customWidth="1" outlineLevel="1"/>
    <col min="44" max="45" width="10.69921875" style="6" customWidth="1" outlineLevel="1"/>
    <col min="46" max="46" width="8.8984375" style="6" customWidth="1" outlineLevel="1"/>
    <col min="47" max="47" width="9.09765625" customWidth="1"/>
    <col min="48" max="16384" width="8.8984375" style="6"/>
  </cols>
  <sheetData>
    <row r="1" spans="1:34" ht="19.95" customHeight="1" x14ac:dyDescent="0.35">
      <c r="A1" s="1"/>
      <c r="H1" s="48"/>
      <c r="I1" s="101" t="s">
        <v>2</v>
      </c>
      <c r="J1" s="101">
        <v>1</v>
      </c>
    </row>
    <row r="2" spans="1:34" ht="19.95" customHeight="1" x14ac:dyDescent="0.35">
      <c r="A2" s="7"/>
      <c r="C2" s="144" t="s">
        <v>266</v>
      </c>
      <c r="D2" s="144"/>
      <c r="E2" s="144"/>
      <c r="F2" s="144"/>
      <c r="J2" s="112" t="s">
        <v>0</v>
      </c>
    </row>
    <row r="3" spans="1:34" ht="19.95" customHeight="1" x14ac:dyDescent="0.25">
      <c r="G3" s="6"/>
      <c r="H3" s="6"/>
      <c r="I3" s="6"/>
      <c r="J3" s="101">
        <v>2790</v>
      </c>
      <c r="Q3" s="6" t="s">
        <v>169</v>
      </c>
      <c r="AA3" s="4"/>
    </row>
    <row r="4" spans="1:34" ht="19.95" customHeight="1" x14ac:dyDescent="0.25">
      <c r="G4" s="4"/>
      <c r="H4" s="110" t="s">
        <v>191</v>
      </c>
      <c r="I4" s="111" t="s">
        <v>125</v>
      </c>
      <c r="J4" s="112" t="s">
        <v>3</v>
      </c>
      <c r="K4" s="4"/>
    </row>
    <row r="5" spans="1:34" ht="19.95" customHeight="1" x14ac:dyDescent="0.25">
      <c r="D5" s="113" t="s">
        <v>82</v>
      </c>
      <c r="E5" s="155" t="s">
        <v>53</v>
      </c>
      <c r="F5" s="155"/>
      <c r="G5" s="4"/>
      <c r="H5" s="4"/>
      <c r="I5" s="101">
        <v>3</v>
      </c>
      <c r="J5" s="101">
        <v>1995</v>
      </c>
    </row>
    <row r="6" spans="1:34" ht="19.95" customHeight="1" x14ac:dyDescent="0.25">
      <c r="D6" s="115" t="s">
        <v>30</v>
      </c>
      <c r="E6" s="156">
        <v>6</v>
      </c>
      <c r="F6" s="156"/>
      <c r="G6" s="4"/>
      <c r="H6" s="110" t="s">
        <v>192</v>
      </c>
      <c r="I6" s="111" t="s">
        <v>125</v>
      </c>
      <c r="J6" s="112" t="s">
        <v>3</v>
      </c>
      <c r="T6" s="79"/>
    </row>
    <row r="7" spans="1:34" ht="19.95" customHeight="1" x14ac:dyDescent="0.25">
      <c r="G7" s="4"/>
      <c r="H7" s="4"/>
      <c r="I7" s="101">
        <v>2</v>
      </c>
      <c r="J7" s="101">
        <v>1445</v>
      </c>
    </row>
    <row r="8" spans="1:34" s="9" customFormat="1" ht="19.95" customHeight="1" thickBot="1" x14ac:dyDescent="0.3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  <c r="W8" s="6"/>
      <c r="X8" s="6"/>
      <c r="Y8" s="6"/>
      <c r="Z8" s="6"/>
    </row>
    <row r="9" spans="1:34" ht="40.200000000000003" customHeight="1" thickTop="1" thickBot="1" x14ac:dyDescent="0.3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  <c r="V9" s="81" t="s">
        <v>191</v>
      </c>
      <c r="X9" s="104">
        <v>1</v>
      </c>
      <c r="Y9" s="105">
        <v>3</v>
      </c>
      <c r="Z9" s="105">
        <v>5</v>
      </c>
      <c r="AA9" s="105">
        <v>7</v>
      </c>
      <c r="AB9" s="106">
        <v>9</v>
      </c>
      <c r="AC9" s="75" t="s">
        <v>192</v>
      </c>
      <c r="AD9" s="104">
        <v>2</v>
      </c>
      <c r="AE9" s="105">
        <v>4</v>
      </c>
      <c r="AF9" s="105">
        <v>6</v>
      </c>
      <c r="AG9" s="105">
        <v>8</v>
      </c>
      <c r="AH9" s="106">
        <v>10</v>
      </c>
    </row>
    <row r="10" spans="1:34" ht="34.950000000000003" customHeight="1" thickTop="1" x14ac:dyDescent="0.25">
      <c r="A10" s="151">
        <v>1</v>
      </c>
      <c r="B10" s="26" t="s">
        <v>194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1977</v>
      </c>
      <c r="I10" s="25">
        <f t="shared" ref="I10:I26" si="0">F10*$J$1</f>
        <v>1</v>
      </c>
      <c r="J10" s="151">
        <f>ROUNDUP(((H10*I10)+(H11*I11))/6400,0)</f>
        <v>1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ดำ</v>
      </c>
      <c r="P10" s="109" t="str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>2</v>
      </c>
      <c r="Q10" s="25">
        <f>$J$1*P10</f>
        <v>2</v>
      </c>
      <c r="R10" s="13">
        <v>299</v>
      </c>
      <c r="V10" s="98">
        <v>1</v>
      </c>
      <c r="W10" s="99" t="s">
        <v>24</v>
      </c>
      <c r="X10" s="100">
        <v>0</v>
      </c>
      <c r="Y10" s="103">
        <v>1</v>
      </c>
      <c r="Z10" s="103">
        <v>2</v>
      </c>
      <c r="AA10" s="103">
        <v>3</v>
      </c>
      <c r="AB10" s="103">
        <v>4</v>
      </c>
      <c r="AC10" s="102"/>
      <c r="AD10" s="103">
        <v>1</v>
      </c>
      <c r="AE10" s="103">
        <v>2</v>
      </c>
      <c r="AF10" s="103">
        <v>3</v>
      </c>
      <c r="AG10" s="103">
        <v>4</v>
      </c>
      <c r="AH10" s="103">
        <v>5</v>
      </c>
    </row>
    <row r="11" spans="1:34" ht="34.950000000000003" customHeight="1" x14ac:dyDescent="0.25">
      <c r="A11" s="152"/>
      <c r="B11" s="26" t="s">
        <v>193</v>
      </c>
      <c r="C11" s="152"/>
      <c r="D11" s="152"/>
      <c r="E11" s="152"/>
      <c r="F11" s="25">
        <v>1</v>
      </c>
      <c r="G11" s="25" t="s">
        <v>159</v>
      </c>
      <c r="H11" s="27">
        <f>$J$7-18</f>
        <v>1427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ดำ</v>
      </c>
      <c r="P11" s="109" t="str">
        <f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>20</v>
      </c>
      <c r="Q11" s="25">
        <f t="shared" ref="Q11:Q17" si="2">$J$1*P11</f>
        <v>20</v>
      </c>
      <c r="R11" s="13">
        <v>72</v>
      </c>
      <c r="V11" s="98">
        <v>2</v>
      </c>
      <c r="W11" s="99" t="s">
        <v>25</v>
      </c>
      <c r="X11" s="101">
        <f>IF($J$3&lt;=2700,3,4)</f>
        <v>4</v>
      </c>
      <c r="Y11" s="101">
        <f>IF($J$3&lt;=2700,7,10)</f>
        <v>10</v>
      </c>
      <c r="Z11" s="101">
        <f>IF($J$3&lt;=2700,11,16)</f>
        <v>16</v>
      </c>
      <c r="AA11" s="101">
        <f>IF($J$3&lt;=2700,15,22)</f>
        <v>22</v>
      </c>
      <c r="AB11" s="101">
        <f>IF($J$3&lt;=2700,19,28)</f>
        <v>28</v>
      </c>
      <c r="AC11" s="102"/>
      <c r="AD11" s="101">
        <f>IF($J$3&lt;=2700,7,10)</f>
        <v>10</v>
      </c>
      <c r="AE11" s="101">
        <f>IF($J$3&lt;=2700,11,16)</f>
        <v>16</v>
      </c>
      <c r="AF11" s="101">
        <f>IF($J$3&lt;=2700,15,22)</f>
        <v>22</v>
      </c>
      <c r="AG11" s="101">
        <f>IF($J$3&lt;=2700,19,28)</f>
        <v>28</v>
      </c>
      <c r="AH11" s="101">
        <f>IF($J$3&lt;=2700,23,34)</f>
        <v>34</v>
      </c>
    </row>
    <row r="12" spans="1:34" ht="34.950000000000003" customHeight="1" x14ac:dyDescent="0.25">
      <c r="A12" s="141">
        <v>2</v>
      </c>
      <c r="B12" s="46" t="s">
        <v>195</v>
      </c>
      <c r="C12" s="141"/>
      <c r="D12" s="141" t="s">
        <v>44</v>
      </c>
      <c r="E12" s="141">
        <v>1.5329999999999999</v>
      </c>
      <c r="F12" s="83">
        <v>1</v>
      </c>
      <c r="G12" s="83" t="s">
        <v>158</v>
      </c>
      <c r="H12" s="47">
        <f>$J$5-18</f>
        <v>1977</v>
      </c>
      <c r="I12" s="83">
        <f t="shared" si="0"/>
        <v>1</v>
      </c>
      <c r="J12" s="141">
        <f>ROUNDUP(((H12*I12)+(H13*I13))/6400,0)</f>
        <v>1</v>
      </c>
      <c r="K12" s="28"/>
      <c r="L12" s="25">
        <v>3</v>
      </c>
      <c r="M12" s="29" t="s">
        <v>26</v>
      </c>
      <c r="N12" s="25"/>
      <c r="O12" s="25" t="str">
        <f t="shared" si="1"/>
        <v>ดำ</v>
      </c>
      <c r="P12" s="109" t="str">
        <f t="shared" ref="P12:P18" si="3">IF(AND($I$5=1,$I$7=2),X12+AD12,"")&amp;IF(AND($I$5=1,$I$7=4),X12+AE12,"")&amp;IF(AND($I$5=1,$I$7=6),X12+AF12,"")&amp;IF(AND($I$5=1,$I$7=8),X12+AG12,"")&amp;IF(AND($I$5=1,$I$7=10),X12+AH12,"")&amp;IF(AND($I$5=3,$I$7=2),Y12+AD12,"")&amp;IF(AND($I$5=3,$I$7=4),Y12+AE12,"")&amp;IF(AND($I$5=3,$I$7=6),Y12+AF12,"")&amp;IF(AND($I$5=3,$I$7=8),Y12+AG12,"")&amp;IF(AND($I$5=3,$I$7=10),Y12+AH12,"")&amp;IF(AND($I$5=5,$I$7=2),Z12+AD12,"")&amp;IF(AND($I$5=5,$I$7=4),Z12+AE12,"")&amp;IF(AND($I$5=5,$I$7=6),Z12+AF12,"")&amp;IF(AND($I$5=5,$I$7=8),Z12+AG12,"")&amp;IF(AND($I$5=5,$I$7=10),Z12+AH12,"")&amp;IF(AND($I$5=7,$I$7=2),AA12+AD12,"")&amp;IF(AND($I$5=7,$I$7=4),AA12+AE12,"")&amp;IF(AND($I$5=7,$I$7=6),AA12+AF12,"")&amp;IF(AND($I$5=7,$I$7=8),AA12+AG12,"")&amp;IF(AND($I$5=7,$I$7=10),AA12+AH12,"")&amp;IF(AND($I$5=9,$I$7=2),AB12+AD12,"")&amp;IF(AND($I$5=9,$I$7=4),AB12+AE12,"")&amp;IF(AND($I$5=9,$I$7=6),AB12+AF12,"")&amp;IF(AND($I$5=9,$I$7=8),AB12+AG12,"")&amp;IF(AND($I$5=9,$I$7=10),AB12+AH12,"")</f>
        <v>2</v>
      </c>
      <c r="Q12" s="25">
        <f t="shared" si="2"/>
        <v>2</v>
      </c>
      <c r="R12" s="13">
        <v>109</v>
      </c>
      <c r="V12" s="98">
        <v>3</v>
      </c>
      <c r="W12" s="99" t="s">
        <v>26</v>
      </c>
      <c r="X12" s="98">
        <v>0</v>
      </c>
      <c r="Y12" s="101">
        <v>1</v>
      </c>
      <c r="Z12" s="101">
        <v>2</v>
      </c>
      <c r="AA12" s="101">
        <v>3</v>
      </c>
      <c r="AB12" s="101">
        <v>4</v>
      </c>
      <c r="AC12" s="102"/>
      <c r="AD12" s="101">
        <v>1</v>
      </c>
      <c r="AE12" s="101">
        <v>2</v>
      </c>
      <c r="AF12" s="101">
        <v>3</v>
      </c>
      <c r="AG12" s="101">
        <v>4</v>
      </c>
      <c r="AH12" s="101">
        <v>5</v>
      </c>
    </row>
    <row r="13" spans="1:34" ht="34.950000000000003" customHeight="1" x14ac:dyDescent="0.25">
      <c r="A13" s="143"/>
      <c r="B13" s="46" t="s">
        <v>205</v>
      </c>
      <c r="C13" s="143"/>
      <c r="D13" s="143"/>
      <c r="E13" s="143"/>
      <c r="F13" s="83">
        <v>1</v>
      </c>
      <c r="G13" s="83" t="s">
        <v>159</v>
      </c>
      <c r="H13" s="47">
        <f>$J$7-18</f>
        <v>1427</v>
      </c>
      <c r="I13" s="83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ดำ</v>
      </c>
      <c r="P13" s="109" t="str">
        <f t="shared" si="3"/>
        <v>2</v>
      </c>
      <c r="Q13" s="25">
        <f t="shared" si="2"/>
        <v>2</v>
      </c>
      <c r="R13" s="13">
        <v>199</v>
      </c>
      <c r="V13" s="98">
        <v>4</v>
      </c>
      <c r="W13" s="99" t="s">
        <v>27</v>
      </c>
      <c r="X13" s="98">
        <v>0</v>
      </c>
      <c r="Y13" s="101">
        <v>1</v>
      </c>
      <c r="Z13" s="101">
        <v>2</v>
      </c>
      <c r="AA13" s="101">
        <v>3</v>
      </c>
      <c r="AB13" s="101">
        <v>4</v>
      </c>
      <c r="AC13" s="102"/>
      <c r="AD13" s="101">
        <v>1</v>
      </c>
      <c r="AE13" s="101">
        <v>2</v>
      </c>
      <c r="AF13" s="101">
        <v>3</v>
      </c>
      <c r="AG13" s="101">
        <v>4</v>
      </c>
      <c r="AH13" s="101">
        <v>5</v>
      </c>
    </row>
    <row r="14" spans="1:34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2790</v>
      </c>
      <c r="I14" s="39">
        <f t="shared" si="0"/>
        <v>2</v>
      </c>
      <c r="J14" s="39">
        <f t="shared" ref="J14:J15" si="4">ROUNDUP((H14*I14)/6400,0)</f>
        <v>1</v>
      </c>
      <c r="K14" s="28"/>
      <c r="L14" s="25">
        <v>5</v>
      </c>
      <c r="M14" s="29" t="s">
        <v>22</v>
      </c>
      <c r="N14" s="25"/>
      <c r="O14" s="25" t="str">
        <f t="shared" si="1"/>
        <v>ดำ</v>
      </c>
      <c r="P14" s="109" t="str">
        <f t="shared" si="3"/>
        <v>2</v>
      </c>
      <c r="Q14" s="25">
        <f t="shared" si="2"/>
        <v>2</v>
      </c>
      <c r="R14" s="13">
        <v>85</v>
      </c>
      <c r="V14" s="98">
        <v>5</v>
      </c>
      <c r="W14" s="99" t="s">
        <v>22</v>
      </c>
      <c r="X14" s="98">
        <v>0</v>
      </c>
      <c r="Y14" s="101">
        <v>1</v>
      </c>
      <c r="Z14" s="101">
        <v>2</v>
      </c>
      <c r="AA14" s="101">
        <v>3</v>
      </c>
      <c r="AB14" s="101">
        <v>4</v>
      </c>
      <c r="AC14" s="102"/>
      <c r="AD14" s="101">
        <v>1</v>
      </c>
      <c r="AE14" s="101">
        <v>2</v>
      </c>
      <c r="AF14" s="101">
        <v>3</v>
      </c>
      <c r="AG14" s="101">
        <v>4</v>
      </c>
      <c r="AH14" s="101">
        <v>5</v>
      </c>
    </row>
    <row r="15" spans="1:34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18</v>
      </c>
      <c r="H15" s="40">
        <f>$J$3-75-45</f>
        <v>2670</v>
      </c>
      <c r="I15" s="39">
        <f t="shared" si="0"/>
        <v>2</v>
      </c>
      <c r="J15" s="39">
        <f t="shared" si="4"/>
        <v>1</v>
      </c>
      <c r="K15" s="28"/>
      <c r="L15" s="25">
        <v>6</v>
      </c>
      <c r="M15" s="29" t="s">
        <v>23</v>
      </c>
      <c r="N15" s="25"/>
      <c r="O15" s="25" t="str">
        <f t="shared" si="1"/>
        <v>ดำ</v>
      </c>
      <c r="P15" s="109" t="str">
        <f t="shared" si="3"/>
        <v>2</v>
      </c>
      <c r="Q15" s="25">
        <f t="shared" si="2"/>
        <v>2</v>
      </c>
      <c r="R15" s="13">
        <v>88</v>
      </c>
      <c r="V15" s="98">
        <v>6</v>
      </c>
      <c r="W15" s="99" t="s">
        <v>23</v>
      </c>
      <c r="X15" s="98">
        <v>0</v>
      </c>
      <c r="Y15" s="101">
        <v>1</v>
      </c>
      <c r="Z15" s="101">
        <v>2</v>
      </c>
      <c r="AA15" s="101">
        <v>3</v>
      </c>
      <c r="AB15" s="101">
        <v>4</v>
      </c>
      <c r="AC15" s="102"/>
      <c r="AD15" s="101">
        <v>1</v>
      </c>
      <c r="AE15" s="101">
        <v>2</v>
      </c>
      <c r="AF15" s="101">
        <v>3</v>
      </c>
      <c r="AG15" s="101">
        <v>4</v>
      </c>
      <c r="AH15" s="101">
        <v>5</v>
      </c>
    </row>
    <row r="16" spans="1:34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83">
        <v>2</v>
      </c>
      <c r="G16" s="83" t="s">
        <v>18</v>
      </c>
      <c r="H16" s="47">
        <f>$J$3-75-45</f>
        <v>2670</v>
      </c>
      <c r="I16" s="83">
        <f t="shared" si="0"/>
        <v>2</v>
      </c>
      <c r="J16" s="141">
        <f>ROUNDUP(((H16*I16)+(H17*I17)+(H18*I18))/6400,0)</f>
        <v>2</v>
      </c>
      <c r="K16" s="28"/>
      <c r="L16" s="25">
        <v>7</v>
      </c>
      <c r="M16" s="29" t="s">
        <v>29</v>
      </c>
      <c r="N16" s="25"/>
      <c r="O16" s="25" t="str">
        <f t="shared" si="1"/>
        <v>ดำ</v>
      </c>
      <c r="P16" s="109" t="str">
        <f t="shared" si="3"/>
        <v>4</v>
      </c>
      <c r="Q16" s="25">
        <f t="shared" si="2"/>
        <v>4</v>
      </c>
      <c r="R16" s="13">
        <v>73</v>
      </c>
      <c r="S16" s="6">
        <f>((H19*I19)/1000)*E19</f>
        <v>23.714015999999997</v>
      </c>
      <c r="V16" s="98">
        <v>7</v>
      </c>
      <c r="W16" s="99" t="s">
        <v>29</v>
      </c>
      <c r="X16" s="98">
        <v>0</v>
      </c>
      <c r="Y16" s="101">
        <f>Y15*2</f>
        <v>2</v>
      </c>
      <c r="Z16" s="101">
        <f t="shared" ref="Z16:AD16" si="5">Z15*2</f>
        <v>4</v>
      </c>
      <c r="AA16" s="101">
        <f t="shared" si="5"/>
        <v>6</v>
      </c>
      <c r="AB16" s="101">
        <f t="shared" si="5"/>
        <v>8</v>
      </c>
      <c r="AC16" s="102"/>
      <c r="AD16" s="101">
        <f t="shared" si="5"/>
        <v>2</v>
      </c>
      <c r="AE16" s="101">
        <f t="shared" ref="AE16" si="6">AE15*2</f>
        <v>4</v>
      </c>
      <c r="AF16" s="101">
        <f t="shared" ref="AF16" si="7">AF15*2</f>
        <v>6</v>
      </c>
      <c r="AG16" s="101">
        <f t="shared" ref="AG16" si="8">AG15*2</f>
        <v>8</v>
      </c>
      <c r="AH16" s="101">
        <f t="shared" ref="AH16" si="9">AH15*2</f>
        <v>10</v>
      </c>
    </row>
    <row r="17" spans="1:45" ht="34.950000000000003" customHeight="1" x14ac:dyDescent="0.25">
      <c r="A17" s="142"/>
      <c r="B17" s="46" t="s">
        <v>196</v>
      </c>
      <c r="C17" s="142"/>
      <c r="D17" s="142"/>
      <c r="E17" s="142"/>
      <c r="F17" s="83">
        <v>2</v>
      </c>
      <c r="G17" s="83" t="s">
        <v>160</v>
      </c>
      <c r="H17" s="47">
        <f>$J$5-18-58</f>
        <v>1919</v>
      </c>
      <c r="I17" s="83">
        <f t="shared" si="0"/>
        <v>2</v>
      </c>
      <c r="J17" s="142"/>
      <c r="K17" s="28"/>
      <c r="L17" s="25">
        <v>12</v>
      </c>
      <c r="M17" s="29" t="s">
        <v>35</v>
      </c>
      <c r="N17" s="30"/>
      <c r="O17" s="25" t="s">
        <v>1</v>
      </c>
      <c r="P17" s="109" t="str">
        <f t="shared" si="3"/>
        <v>20</v>
      </c>
      <c r="Q17" s="25">
        <f t="shared" si="2"/>
        <v>20</v>
      </c>
      <c r="R17" s="13">
        <v>15</v>
      </c>
      <c r="S17" s="6">
        <f>((H21*I21)/1000)*E21</f>
        <v>0</v>
      </c>
      <c r="V17" s="98">
        <v>12</v>
      </c>
      <c r="W17" s="99" t="s">
        <v>35</v>
      </c>
      <c r="X17" s="98">
        <f>X$9*4</f>
        <v>4</v>
      </c>
      <c r="Y17" s="98">
        <f t="shared" ref="Y17:AH17" si="10">Y$9*4</f>
        <v>12</v>
      </c>
      <c r="Z17" s="98">
        <f t="shared" si="10"/>
        <v>20</v>
      </c>
      <c r="AA17" s="98">
        <f t="shared" si="10"/>
        <v>28</v>
      </c>
      <c r="AB17" s="98">
        <f t="shared" si="10"/>
        <v>36</v>
      </c>
      <c r="AC17" s="102"/>
      <c r="AD17" s="98">
        <f t="shared" si="10"/>
        <v>8</v>
      </c>
      <c r="AE17" s="98">
        <f t="shared" si="10"/>
        <v>16</v>
      </c>
      <c r="AF17" s="98">
        <f t="shared" si="10"/>
        <v>24</v>
      </c>
      <c r="AG17" s="98">
        <f t="shared" si="10"/>
        <v>32</v>
      </c>
      <c r="AH17" s="98">
        <f t="shared" si="10"/>
        <v>40</v>
      </c>
    </row>
    <row r="18" spans="1:45" ht="34.950000000000003" customHeight="1" x14ac:dyDescent="0.25">
      <c r="A18" s="143"/>
      <c r="B18" s="46" t="s">
        <v>206</v>
      </c>
      <c r="C18" s="143"/>
      <c r="D18" s="143"/>
      <c r="E18" s="143"/>
      <c r="F18" s="83">
        <v>2</v>
      </c>
      <c r="G18" s="83" t="s">
        <v>161</v>
      </c>
      <c r="H18" s="47">
        <f>$J$7-18-58</f>
        <v>1369</v>
      </c>
      <c r="I18" s="83">
        <f t="shared" si="0"/>
        <v>2</v>
      </c>
      <c r="J18" s="143"/>
      <c r="K18" s="28"/>
      <c r="L18" s="25">
        <v>13</v>
      </c>
      <c r="M18" s="29" t="s">
        <v>36</v>
      </c>
      <c r="N18" s="30"/>
      <c r="O18" s="25" t="s">
        <v>1</v>
      </c>
      <c r="P18" s="109" t="str">
        <f t="shared" si="3"/>
        <v>60</v>
      </c>
      <c r="Q18" s="25">
        <f>$J$1*P18</f>
        <v>60</v>
      </c>
      <c r="R18" s="13">
        <v>1.5</v>
      </c>
      <c r="V18" s="98">
        <v>13</v>
      </c>
      <c r="W18" s="99" t="s">
        <v>36</v>
      </c>
      <c r="X18" s="98">
        <f>X$9*12</f>
        <v>12</v>
      </c>
      <c r="Y18" s="98">
        <f t="shared" ref="Y18:AH18" si="11">Y$9*12</f>
        <v>36</v>
      </c>
      <c r="Z18" s="98">
        <f t="shared" si="11"/>
        <v>60</v>
      </c>
      <c r="AA18" s="98">
        <f t="shared" si="11"/>
        <v>84</v>
      </c>
      <c r="AB18" s="98">
        <f t="shared" si="11"/>
        <v>108</v>
      </c>
      <c r="AC18" s="102"/>
      <c r="AD18" s="98">
        <f t="shared" si="11"/>
        <v>24</v>
      </c>
      <c r="AE18" s="98">
        <f t="shared" si="11"/>
        <v>48</v>
      </c>
      <c r="AF18" s="98">
        <f t="shared" si="11"/>
        <v>72</v>
      </c>
      <c r="AG18" s="98">
        <f t="shared" si="11"/>
        <v>96</v>
      </c>
      <c r="AH18" s="98">
        <f t="shared" si="11"/>
        <v>120</v>
      </c>
    </row>
    <row r="19" spans="1:45" ht="34.950000000000003" customHeight="1" x14ac:dyDescent="0.25">
      <c r="A19" s="138">
        <v>6</v>
      </c>
      <c r="B19" s="56" t="s">
        <v>197</v>
      </c>
      <c r="C19" s="138"/>
      <c r="D19" s="138" t="s">
        <v>47</v>
      </c>
      <c r="E19" s="138">
        <v>1.466</v>
      </c>
      <c r="F19" s="39">
        <f>IF($I$5=1,$AP$25,IF($I$5=3,$AP$26,IF($I$5=5,$AP$27,IF($I$5=7,$AP$28,IF($I$5=9,$AP$29,)))))</f>
        <v>6</v>
      </c>
      <c r="G19" s="39" t="s">
        <v>257</v>
      </c>
      <c r="H19" s="40">
        <f>$J$3-55-7-7-25</f>
        <v>2696</v>
      </c>
      <c r="I19" s="39">
        <f>F19*$J$1</f>
        <v>6</v>
      </c>
      <c r="J19" s="138">
        <f>ROUNDUP(((H19*I19)+(H20*I20)+(H21*I21+(H22*I22)))/6400,0)</f>
        <v>6</v>
      </c>
      <c r="K19" s="28"/>
      <c r="L19" s="25">
        <v>14</v>
      </c>
      <c r="M19" s="12" t="s">
        <v>28</v>
      </c>
      <c r="N19" s="57"/>
      <c r="O19" s="25" t="str">
        <f>IF($D$6="ขาว","ขาว","ดำ")</f>
        <v>ดำ</v>
      </c>
      <c r="P19" s="25">
        <v>1</v>
      </c>
      <c r="Q19" s="25">
        <f t="shared" ref="Q19:Q22" si="12">$J$1*P19</f>
        <v>1</v>
      </c>
    </row>
    <row r="20" spans="1:45" ht="34.950000000000003" customHeight="1" x14ac:dyDescent="0.25">
      <c r="A20" s="139"/>
      <c r="B20" s="56" t="s">
        <v>207</v>
      </c>
      <c r="C20" s="140"/>
      <c r="D20" s="139"/>
      <c r="E20" s="139"/>
      <c r="F20" s="39">
        <f>IF($I$7=2,$AF$25,IF($I$7=4,$AF$26,IF($I$7=6,$AF$27,IF($I$7=8,$AF$28,IF($I$7=10,$AF$29,)))))</f>
        <v>4</v>
      </c>
      <c r="G20" s="39" t="s">
        <v>257</v>
      </c>
      <c r="H20" s="40">
        <f>$J$3-55-7-7-25</f>
        <v>2696</v>
      </c>
      <c r="I20" s="39">
        <f t="shared" si="0"/>
        <v>4</v>
      </c>
      <c r="J20" s="139"/>
      <c r="K20" s="28"/>
      <c r="L20" s="25">
        <v>15</v>
      </c>
      <c r="M20" s="12" t="s">
        <v>100</v>
      </c>
      <c r="N20" s="57"/>
      <c r="O20" s="57" t="s">
        <v>1</v>
      </c>
      <c r="P20" s="25">
        <v>1</v>
      </c>
      <c r="Q20" s="25">
        <f t="shared" si="12"/>
        <v>1</v>
      </c>
      <c r="S20" s="6">
        <f>((H23*I23)/1000)*E23</f>
        <v>4.3365599999999995</v>
      </c>
    </row>
    <row r="21" spans="1:45" ht="34.950000000000003" customHeight="1" x14ac:dyDescent="0.25">
      <c r="A21" s="139"/>
      <c r="B21" s="56" t="s">
        <v>198</v>
      </c>
      <c r="C21" s="138"/>
      <c r="D21" s="139"/>
      <c r="E21" s="139"/>
      <c r="F21" s="39">
        <f>IF($I$5=1,$AP$25,IF($I$5=3,$AP$26,IF($I$5=5,$AP$27,IF($I$5=7,$AP$28,IF($I$5=9,$AP$29,)))))</f>
        <v>6</v>
      </c>
      <c r="G21" s="39" t="str">
        <f>IF($I$5=1,$AQ$25,IF($I$5=3,$AQ$26,IF($I$5=5,$AQ$27,IF($I$5=7,$AQ$28,IF($I$5=9,$AQ$29,)))))</f>
        <v>(W-18-9.5-(8x2)-77)/3</v>
      </c>
      <c r="H21" s="40">
        <f>IF($I$5=1,$AR$25,IF($I$5=3,$AR$26,IF($I$5=5,$AR$27,IF($I$5=7,$AR$28,IF($I$5=9,$AR$29,)))))</f>
        <v>624.83333333333337</v>
      </c>
      <c r="I21" s="39">
        <f t="shared" si="0"/>
        <v>6</v>
      </c>
      <c r="J21" s="139"/>
      <c r="K21" s="28"/>
      <c r="L21" s="25">
        <v>16</v>
      </c>
      <c r="M21" s="12" t="s">
        <v>37</v>
      </c>
      <c r="N21" s="57"/>
      <c r="O21" s="57" t="s">
        <v>1</v>
      </c>
      <c r="P21" s="25">
        <v>1</v>
      </c>
      <c r="Q21" s="25">
        <f t="shared" si="12"/>
        <v>1</v>
      </c>
      <c r="S21" s="6">
        <f>((H25*I25)/1000)*E25</f>
        <v>0</v>
      </c>
    </row>
    <row r="22" spans="1:45" ht="34.950000000000003" customHeight="1" x14ac:dyDescent="0.25">
      <c r="A22" s="140"/>
      <c r="B22" s="56" t="s">
        <v>208</v>
      </c>
      <c r="C22" s="140"/>
      <c r="D22" s="140"/>
      <c r="E22" s="140"/>
      <c r="F22" s="39">
        <f>IF($I$7=2,$AF$25,IF($I$7=4,$AF$26,IF($I$7=6,$AF$27,IF($I$7=8,$AF$28,IF($I$7=10,$AF$29,)))))</f>
        <v>4</v>
      </c>
      <c r="G22" s="39" t="str">
        <f>IF($I$7=2,$AG$25,IF($I$7=4,$AG$26,IF($I$7=6,$AG$27,IF($I$7=8,$AG$28,IF($I$7=10,$AG$29,)))))</f>
        <v>(W-18-9.5-(8x1)-62)/2</v>
      </c>
      <c r="H22" s="40">
        <f>IF($I$7=2,$AH$25,IF($I$7=4,$AH$26,IF($I$7=6,$AH$27,IF($I$7=8,$AH$28,IF($I$7=10,$AH$29,)))))</f>
        <v>673.75</v>
      </c>
      <c r="I22" s="39">
        <f t="shared" si="0"/>
        <v>4</v>
      </c>
      <c r="J22" s="140"/>
      <c r="K22" s="28"/>
      <c r="L22" s="25">
        <v>17</v>
      </c>
      <c r="M22" s="56" t="s">
        <v>38</v>
      </c>
      <c r="N22" s="57"/>
      <c r="O22" s="57" t="s">
        <v>1</v>
      </c>
      <c r="P22" s="25">
        <v>1</v>
      </c>
      <c r="Q22" s="25">
        <f t="shared" si="12"/>
        <v>1</v>
      </c>
    </row>
    <row r="23" spans="1:45" ht="34.950000000000003" customHeight="1" x14ac:dyDescent="0.25">
      <c r="A23" s="141">
        <v>7</v>
      </c>
      <c r="B23" s="46" t="str">
        <f>IF($E$6&lt;=12,W33,IF($E$6&lt;=20,W35,W37))</f>
        <v>คิ้วกระจก5-12มิล (ตั้ง) (บานคี่)</v>
      </c>
      <c r="C23" s="153"/>
      <c r="D23" s="141" t="str">
        <f>IF($E$6&lt;=12,X26,IF($E$6&lt;=20,X28,X30))</f>
        <v>F7935</v>
      </c>
      <c r="E23" s="141">
        <f>IF($E$6&lt;=12,Y26,IF($E$6&lt;=20,Y28,Y30))</f>
        <v>0.28499999999999998</v>
      </c>
      <c r="F23" s="39">
        <f>IF($I$5=1,$AP$25,IF($I$5=3,$AP$26,IF($I$5=5,$AP$27,IF($I$5=7,$AP$28,IF($I$5=9,$AP$29,)))))</f>
        <v>6</v>
      </c>
      <c r="G23" s="83" t="s">
        <v>19</v>
      </c>
      <c r="H23" s="47">
        <f>$H$19-80-80</f>
        <v>2536</v>
      </c>
      <c r="I23" s="83">
        <f t="shared" si="0"/>
        <v>6</v>
      </c>
      <c r="J23" s="141">
        <f>ROUNDUP(((H23*I23)+(H24*I24)+(H25*I25+(H26*I26)))/6400,0)</f>
        <v>5</v>
      </c>
      <c r="K23" s="28"/>
      <c r="L23" s="25">
        <v>18</v>
      </c>
      <c r="M23" s="61" t="s">
        <v>96</v>
      </c>
      <c r="N23" s="60"/>
      <c r="O23" s="25" t="str">
        <f>IF($D$6="ขาว","ขาว","ดำ")</f>
        <v>ดำ</v>
      </c>
      <c r="P23" s="25">
        <v>2</v>
      </c>
      <c r="Q23" s="25">
        <f>$J$1*P23</f>
        <v>2</v>
      </c>
      <c r="W23" s="81" t="s">
        <v>209</v>
      </c>
      <c r="AB23" s="75" t="s">
        <v>210</v>
      </c>
    </row>
    <row r="24" spans="1:45" ht="34.950000000000003" customHeight="1" x14ac:dyDescent="0.25">
      <c r="A24" s="142"/>
      <c r="B24" s="46" t="str">
        <f>IF($E$6&lt;=12,W26,IF($E$6&lt;=20,W28,W30))</f>
        <v>คิ้วกระจก5-12มิล (ตั้ง) (บานคู่)</v>
      </c>
      <c r="C24" s="153"/>
      <c r="D24" s="142"/>
      <c r="E24" s="142"/>
      <c r="F24" s="39">
        <f>IF($I$7=2,$AF$25,IF($I$7=4,$AF$26,IF($I$7=6,$AF$27,IF($I$7=8,$AF$28,IF($I$7=10,$AF$29,)))))</f>
        <v>4</v>
      </c>
      <c r="G24" s="83" t="s">
        <v>19</v>
      </c>
      <c r="H24" s="47">
        <f>$H$20-80-80</f>
        <v>2536</v>
      </c>
      <c r="I24" s="83">
        <f t="shared" si="0"/>
        <v>4</v>
      </c>
      <c r="J24" s="142"/>
      <c r="K24" s="28"/>
      <c r="L24" s="25">
        <v>19</v>
      </c>
      <c r="M24" s="12" t="s">
        <v>113</v>
      </c>
      <c r="N24" s="60"/>
      <c r="O24" s="57" t="s">
        <v>1</v>
      </c>
      <c r="P24" s="25">
        <f>IF($J$3&lt;=2700,3,4)</f>
        <v>4</v>
      </c>
      <c r="Q24" s="25">
        <f>$J$1*P24</f>
        <v>4</v>
      </c>
      <c r="W24" s="81" t="s">
        <v>192</v>
      </c>
      <c r="AB24" s="75" t="s">
        <v>192</v>
      </c>
      <c r="AC24" s="75"/>
      <c r="AD24" s="75"/>
      <c r="AL24" s="75" t="s">
        <v>191</v>
      </c>
      <c r="AM24" s="75"/>
      <c r="AN24" s="75"/>
    </row>
    <row r="25" spans="1:45" ht="34.950000000000003" customHeight="1" x14ac:dyDescent="0.25">
      <c r="A25" s="142"/>
      <c r="B25" s="46" t="str">
        <f>IF($E$6&lt;=12,W34,IF($E$6&lt;=20,W36,W38))</f>
        <v>คิ้วกระจก5-12มิล (ขวาง) (บานคี่)</v>
      </c>
      <c r="C25" s="153"/>
      <c r="D25" s="142"/>
      <c r="E25" s="142"/>
      <c r="F25" s="39">
        <f>IF($I$5=1,$AP$25,IF($I$5=3,$AP$26,IF($I$5=5,$AP$27,IF($I$5=7,$AP$28,IF($I$5=9,$AP$29,)))))</f>
        <v>6</v>
      </c>
      <c r="G25" s="83" t="s">
        <v>56</v>
      </c>
      <c r="H25" s="47">
        <f>$H$21-60-60</f>
        <v>504.83333333333337</v>
      </c>
      <c r="I25" s="83">
        <f t="shared" si="0"/>
        <v>6</v>
      </c>
      <c r="J25" s="142"/>
      <c r="K25" s="28"/>
      <c r="L25" s="25">
        <v>20</v>
      </c>
      <c r="M25" s="12" t="s">
        <v>110</v>
      </c>
      <c r="N25" s="60"/>
      <c r="O25" s="57"/>
      <c r="P25" s="25">
        <f>IF($J$3&lt;=2700,3,4)</f>
        <v>4</v>
      </c>
      <c r="Q25" s="25">
        <f>$J$1*P25</f>
        <v>4</v>
      </c>
      <c r="W25" s="8" t="s">
        <v>5</v>
      </c>
      <c r="X25" s="8" t="s">
        <v>9</v>
      </c>
      <c r="Y25" s="8" t="s">
        <v>14</v>
      </c>
      <c r="AB25" s="83">
        <v>2</v>
      </c>
      <c r="AC25" s="46" t="s">
        <v>211</v>
      </c>
      <c r="AD25" s="83" t="s">
        <v>47</v>
      </c>
      <c r="AE25" s="83">
        <v>1.466</v>
      </c>
      <c r="AF25" s="83">
        <f>2*AB25</f>
        <v>4</v>
      </c>
      <c r="AG25" s="59" t="s">
        <v>127</v>
      </c>
      <c r="AH25" s="47">
        <f>($J$7-18-9.5-(8*1)-62)/AB25</f>
        <v>673.75</v>
      </c>
      <c r="AI25" s="83">
        <f>AF25*$J$1</f>
        <v>4</v>
      </c>
      <c r="AL25" s="83">
        <v>1</v>
      </c>
      <c r="AM25" s="46" t="s">
        <v>212</v>
      </c>
      <c r="AN25" s="83" t="s">
        <v>47</v>
      </c>
      <c r="AO25" s="83">
        <v>1.466</v>
      </c>
      <c r="AP25" s="83">
        <f>2*AL25</f>
        <v>2</v>
      </c>
      <c r="AQ25" s="59" t="s">
        <v>186</v>
      </c>
      <c r="AR25" s="47">
        <f>($J$5-18-9.5-77)</f>
        <v>1890.5</v>
      </c>
      <c r="AS25" s="83">
        <f>AP25*$J$1</f>
        <v>2</v>
      </c>
    </row>
    <row r="26" spans="1:45" ht="34.950000000000003" customHeight="1" x14ac:dyDescent="0.25">
      <c r="A26" s="143"/>
      <c r="B26" s="46" t="str">
        <f>IF($E$6&lt;=12,W27,IF($E$6&lt;=20,W29,W31))</f>
        <v>คิ้วกระจก5-12มิล (ขวาง) (บานคู่)</v>
      </c>
      <c r="C26" s="153"/>
      <c r="D26" s="143"/>
      <c r="E26" s="143"/>
      <c r="F26" s="39">
        <f>IF($I$7=2,$AF$25,IF($I$7=4,$AF$26,IF($I$7=6,$AF$27,IF($I$7=8,$AF$28,IF($I$7=10,$AF$29,)))))</f>
        <v>4</v>
      </c>
      <c r="G26" s="83" t="s">
        <v>56</v>
      </c>
      <c r="H26" s="47">
        <f>$H$22-60-60</f>
        <v>553.75</v>
      </c>
      <c r="I26" s="83">
        <f t="shared" si="0"/>
        <v>4</v>
      </c>
      <c r="J26" s="143"/>
      <c r="K26" s="28"/>
      <c r="L26" s="25">
        <v>21</v>
      </c>
      <c r="M26" s="68" t="s">
        <v>111</v>
      </c>
      <c r="N26" s="60"/>
      <c r="O26" s="57"/>
      <c r="P26" s="69">
        <f>ROUNDDOWN($H$19/1000,1)</f>
        <v>2.6</v>
      </c>
      <c r="Q26" s="69">
        <f>$J$1*P26</f>
        <v>2.6</v>
      </c>
      <c r="W26" s="12" t="s">
        <v>202</v>
      </c>
      <c r="X26" s="11" t="s">
        <v>13</v>
      </c>
      <c r="Y26" s="11">
        <v>0.28499999999999998</v>
      </c>
      <c r="AB26" s="83">
        <v>4</v>
      </c>
      <c r="AC26" s="46" t="s">
        <v>211</v>
      </c>
      <c r="AD26" s="83" t="s">
        <v>47</v>
      </c>
      <c r="AE26" s="83">
        <v>1.466</v>
      </c>
      <c r="AF26" s="83">
        <f>2*AB26</f>
        <v>8</v>
      </c>
      <c r="AG26" s="59" t="s">
        <v>128</v>
      </c>
      <c r="AH26" s="47">
        <f>($J$7-18-9.5-(8*3)-62)/AB26</f>
        <v>332.875</v>
      </c>
      <c r="AI26" s="83">
        <f t="shared" ref="AI26:AI29" si="13">AF26*$J$1</f>
        <v>8</v>
      </c>
      <c r="AL26" s="83">
        <v>3</v>
      </c>
      <c r="AM26" s="46" t="s">
        <v>212</v>
      </c>
      <c r="AN26" s="83" t="s">
        <v>47</v>
      </c>
      <c r="AO26" s="83">
        <v>1.466</v>
      </c>
      <c r="AP26" s="83">
        <f>2*AL26</f>
        <v>6</v>
      </c>
      <c r="AQ26" s="59" t="s">
        <v>187</v>
      </c>
      <c r="AR26" s="47">
        <f>($J$5-18-9.5-(8*2)-77)/AL26</f>
        <v>624.83333333333337</v>
      </c>
      <c r="AS26" s="83">
        <f t="shared" ref="AS26:AS29" si="14">AP26*$J$1</f>
        <v>6</v>
      </c>
    </row>
    <row r="27" spans="1:45" ht="34.950000000000003" customHeight="1" x14ac:dyDescent="0.25">
      <c r="A27" s="25">
        <v>8</v>
      </c>
      <c r="B27" s="56" t="s">
        <v>80</v>
      </c>
      <c r="C27" s="26"/>
      <c r="D27" s="25" t="s">
        <v>79</v>
      </c>
      <c r="E27" s="25">
        <v>0.45200000000000001</v>
      </c>
      <c r="F27" s="25">
        <v>2</v>
      </c>
      <c r="G27" s="25" t="s">
        <v>256</v>
      </c>
      <c r="H27" s="27">
        <f>$H$19+4</f>
        <v>2700</v>
      </c>
      <c r="I27" s="25">
        <f>F27*$J$1</f>
        <v>2</v>
      </c>
      <c r="J27" s="25">
        <f>ROUNDUP((H27*I27)/6400,0)</f>
        <v>1</v>
      </c>
      <c r="K27" s="28"/>
      <c r="L27" s="83">
        <v>22</v>
      </c>
      <c r="M27" s="43" t="s">
        <v>67</v>
      </c>
      <c r="N27" s="58"/>
      <c r="O27" s="83" t="s">
        <v>1</v>
      </c>
      <c r="P27" s="45">
        <f>(($H$10*$I$10)+($H$11*$I$11)+($H$12*$I$12)+($H$13*$I$13)+($H$14*$I$14)+($H$15*$I$15)+($H$19*$I$19*2)+($H$20*$I$20*2)+($H$21*$I$21*2)+($H$22*$I$22*2)+($H$27*$I$27)+($H$28*$I$28*2)-($H$19*2))/1000</f>
        <v>89.944000000000003</v>
      </c>
      <c r="Q27" s="45">
        <f>$J$1*P27</f>
        <v>89.944000000000003</v>
      </c>
      <c r="S27" s="6">
        <f>O32*P32*6*Q32*2.5/1000000</f>
        <v>57.138405000000006</v>
      </c>
      <c r="W27" s="12" t="s">
        <v>215</v>
      </c>
      <c r="X27" s="11" t="s">
        <v>13</v>
      </c>
      <c r="Y27" s="11">
        <v>0.28499999999999998</v>
      </c>
      <c r="AB27" s="83">
        <v>6</v>
      </c>
      <c r="AC27" s="46" t="s">
        <v>211</v>
      </c>
      <c r="AD27" s="83" t="s">
        <v>47</v>
      </c>
      <c r="AE27" s="83">
        <v>1.466</v>
      </c>
      <c r="AF27" s="83">
        <f>2*AB27</f>
        <v>12</v>
      </c>
      <c r="AG27" s="59" t="s">
        <v>131</v>
      </c>
      <c r="AH27" s="47">
        <f>($J$7-18-9.5-(8*5)-62)/AB27</f>
        <v>219.25</v>
      </c>
      <c r="AI27" s="83">
        <f t="shared" si="13"/>
        <v>12</v>
      </c>
      <c r="AL27" s="83">
        <v>5</v>
      </c>
      <c r="AM27" s="46" t="s">
        <v>212</v>
      </c>
      <c r="AN27" s="83" t="s">
        <v>47</v>
      </c>
      <c r="AO27" s="83">
        <v>1.466</v>
      </c>
      <c r="AP27" s="83">
        <f>2*AL27</f>
        <v>10</v>
      </c>
      <c r="AQ27" s="59" t="s">
        <v>188</v>
      </c>
      <c r="AR27" s="47">
        <f>($J$5-18-9.5-(8*4)-77)/AL27</f>
        <v>371.7</v>
      </c>
      <c r="AS27" s="83">
        <f t="shared" si="14"/>
        <v>10</v>
      </c>
    </row>
    <row r="28" spans="1:45" ht="34.950000000000003" customHeight="1" x14ac:dyDescent="0.25">
      <c r="A28" s="25">
        <v>9</v>
      </c>
      <c r="B28" s="26" t="s">
        <v>179</v>
      </c>
      <c r="C28" s="84"/>
      <c r="D28" s="25" t="s">
        <v>180</v>
      </c>
      <c r="E28" s="25">
        <v>1.03</v>
      </c>
      <c r="F28" s="25">
        <v>1</v>
      </c>
      <c r="G28" s="131" t="s">
        <v>256</v>
      </c>
      <c r="H28" s="27">
        <f>$H$19+4</f>
        <v>2700</v>
      </c>
      <c r="I28" s="25">
        <f>F28*$J$1</f>
        <v>1</v>
      </c>
      <c r="J28" s="25">
        <f>ROUNDUP((H28*I28)/6400,0)</f>
        <v>1</v>
      </c>
      <c r="K28" s="28"/>
      <c r="L28" s="83">
        <v>23</v>
      </c>
      <c r="M28" s="43" t="s">
        <v>65</v>
      </c>
      <c r="N28" s="58"/>
      <c r="O28" s="83" t="s">
        <v>1</v>
      </c>
      <c r="P28" s="45">
        <f>((($D$32+$E$32)*2)*$F$32/1000)+(($O$32+$P$32)*2)*$Q$32/1000</f>
        <v>30.803999999999998</v>
      </c>
      <c r="Q28" s="45">
        <f t="shared" ref="Q28:Q29" si="15">$J$1*P28</f>
        <v>30.803999999999998</v>
      </c>
      <c r="S28" s="18">
        <f>SUM(S16:S27)</f>
        <v>85.188980999999998</v>
      </c>
      <c r="W28" s="12" t="s">
        <v>203</v>
      </c>
      <c r="X28" s="11" t="s">
        <v>55</v>
      </c>
      <c r="Y28" s="11">
        <v>0.252</v>
      </c>
      <c r="AB28" s="83">
        <v>8</v>
      </c>
      <c r="AC28" s="46" t="s">
        <v>211</v>
      </c>
      <c r="AD28" s="83" t="s">
        <v>47</v>
      </c>
      <c r="AE28" s="83">
        <v>1.466</v>
      </c>
      <c r="AF28" s="83">
        <f>2*AB28</f>
        <v>16</v>
      </c>
      <c r="AG28" s="59" t="s">
        <v>130</v>
      </c>
      <c r="AH28" s="47">
        <f>($J$7-18-9.5-(8*7)-62)/AB28</f>
        <v>162.4375</v>
      </c>
      <c r="AI28" s="83">
        <f t="shared" si="13"/>
        <v>16</v>
      </c>
      <c r="AL28" s="83">
        <v>7</v>
      </c>
      <c r="AM28" s="46" t="s">
        <v>212</v>
      </c>
      <c r="AN28" s="83" t="s">
        <v>47</v>
      </c>
      <c r="AO28" s="83">
        <v>1.466</v>
      </c>
      <c r="AP28" s="83">
        <f>2*AL28</f>
        <v>14</v>
      </c>
      <c r="AQ28" s="59" t="s">
        <v>189</v>
      </c>
      <c r="AR28" s="47">
        <f>($J$5-18-9.5-(8*6)-77)/AL28</f>
        <v>263.21428571428572</v>
      </c>
      <c r="AS28" s="83">
        <f t="shared" si="14"/>
        <v>14</v>
      </c>
    </row>
    <row r="29" spans="1:45" ht="34.950000000000003" customHeight="1" x14ac:dyDescent="0.25">
      <c r="A29" s="95"/>
      <c r="B29" s="96"/>
      <c r="C29" s="96"/>
      <c r="D29" s="95"/>
      <c r="E29" s="95"/>
      <c r="F29" s="95"/>
      <c r="G29" s="95"/>
      <c r="H29" s="97"/>
      <c r="I29" s="95"/>
      <c r="J29" s="95"/>
      <c r="K29" s="28"/>
      <c r="L29" s="83">
        <v>24</v>
      </c>
      <c r="M29" s="43" t="s">
        <v>66</v>
      </c>
      <c r="N29" s="58"/>
      <c r="O29" s="83" t="s">
        <v>1</v>
      </c>
      <c r="P29" s="45">
        <f>(($O$32+$P$32)*2)*$Q$32/1000</f>
        <v>18.364999999999998</v>
      </c>
      <c r="Q29" s="45">
        <f t="shared" si="15"/>
        <v>18.364999999999998</v>
      </c>
      <c r="W29" s="12" t="s">
        <v>213</v>
      </c>
      <c r="X29" s="11" t="s">
        <v>55</v>
      </c>
      <c r="Y29" s="11">
        <v>0.252</v>
      </c>
      <c r="AB29" s="83">
        <v>10</v>
      </c>
      <c r="AC29" s="46" t="s">
        <v>211</v>
      </c>
      <c r="AD29" s="83" t="s">
        <v>47</v>
      </c>
      <c r="AE29" s="83">
        <v>1.466</v>
      </c>
      <c r="AF29" s="83">
        <f>2*AB29</f>
        <v>20</v>
      </c>
      <c r="AG29" s="59" t="s">
        <v>129</v>
      </c>
      <c r="AH29" s="47">
        <f>($J$7-18-9.5-(8*9)-62)/AB29</f>
        <v>128.35</v>
      </c>
      <c r="AI29" s="83">
        <f t="shared" si="13"/>
        <v>20</v>
      </c>
      <c r="AL29" s="83">
        <v>9</v>
      </c>
      <c r="AM29" s="46" t="s">
        <v>212</v>
      </c>
      <c r="AN29" s="83" t="s">
        <v>47</v>
      </c>
      <c r="AO29" s="83">
        <v>1.466</v>
      </c>
      <c r="AP29" s="83">
        <f>2*AL29</f>
        <v>18</v>
      </c>
      <c r="AQ29" s="59" t="s">
        <v>190</v>
      </c>
      <c r="AR29" s="47">
        <f>($J$5-18-9.5-(8*8)-77)/AL29</f>
        <v>202.94444444444446</v>
      </c>
      <c r="AS29" s="83">
        <f t="shared" si="14"/>
        <v>18</v>
      </c>
    </row>
    <row r="30" spans="1:45" ht="34.950000000000003" customHeight="1" x14ac:dyDescent="0.25">
      <c r="A30" s="31"/>
      <c r="B30" s="107" t="s">
        <v>192</v>
      </c>
      <c r="C30" s="70" t="s">
        <v>114</v>
      </c>
      <c r="D30" s="154" t="s">
        <v>39</v>
      </c>
      <c r="E30" s="154"/>
      <c r="F30" s="154"/>
      <c r="G30" s="31"/>
      <c r="H30" s="34"/>
      <c r="I30" s="33"/>
      <c r="J30" s="33"/>
      <c r="K30" s="28"/>
      <c r="L30" s="28"/>
      <c r="M30" s="107" t="s">
        <v>191</v>
      </c>
      <c r="N30" s="70" t="s">
        <v>114</v>
      </c>
      <c r="O30" s="154" t="s">
        <v>39</v>
      </c>
      <c r="P30" s="154"/>
      <c r="Q30" s="154"/>
      <c r="W30" s="12" t="s">
        <v>204</v>
      </c>
      <c r="X30" s="11" t="s">
        <v>62</v>
      </c>
      <c r="Y30" s="11">
        <v>0.22</v>
      </c>
    </row>
    <row r="31" spans="1:45" ht="34.950000000000003" customHeight="1" x14ac:dyDescent="0.25">
      <c r="A31" s="28"/>
      <c r="B31" s="35"/>
      <c r="C31" s="71">
        <f>((($E$19*$F$20*$H$20/1000)+($E$19*$F$22*$H$22/1000)+($E$23*$F$24*$H$24/1000)+($E$23*$F$26*$H$26/1000))+($D$32*$E$32*$E$6*2.5*$F$32/1000000))/$F$32</f>
        <v>32.570201999999995</v>
      </c>
      <c r="D31" s="39" t="s">
        <v>40</v>
      </c>
      <c r="E31" s="39" t="s">
        <v>41</v>
      </c>
      <c r="F31" s="40" t="s">
        <v>20</v>
      </c>
      <c r="G31" s="36"/>
      <c r="H31" s="38"/>
      <c r="I31" s="33"/>
      <c r="J31" s="33"/>
      <c r="K31" s="28"/>
      <c r="L31" s="28"/>
      <c r="M31" s="28"/>
      <c r="N31" s="71">
        <f>((($H$19*$F$19*$E$19/1000)+($H$21*$F$21*$E$19/1000)+($H$23*$F$23*$E$23/1000)+($H$25*$F$25*$E$23/1000))+($O$32*$P$32*$E$6*2.5*$Q$32/1000000))/$Q$32</f>
        <v>30.516093333333334</v>
      </c>
      <c r="O31" s="39" t="s">
        <v>40</v>
      </c>
      <c r="P31" s="39" t="s">
        <v>41</v>
      </c>
      <c r="Q31" s="40" t="s">
        <v>20</v>
      </c>
      <c r="W31" s="12" t="s">
        <v>214</v>
      </c>
      <c r="X31" s="11" t="s">
        <v>62</v>
      </c>
      <c r="Y31" s="11">
        <v>0.22</v>
      </c>
    </row>
    <row r="32" spans="1:45" ht="34.950000000000003" customHeight="1" x14ac:dyDescent="0.25">
      <c r="A32" s="28"/>
      <c r="B32" s="35"/>
      <c r="C32" s="72">
        <f>$N$31*$F$32</f>
        <v>61.032186666666668</v>
      </c>
      <c r="D32" s="41">
        <f>$H$20-130</f>
        <v>2566</v>
      </c>
      <c r="E32" s="41">
        <f>$H$22-130</f>
        <v>543.75</v>
      </c>
      <c r="F32" s="41">
        <f>$I$7*$J$1</f>
        <v>2</v>
      </c>
      <c r="G32" s="36"/>
      <c r="H32" s="38"/>
      <c r="I32" s="33"/>
      <c r="J32" s="33"/>
      <c r="K32" s="28"/>
      <c r="L32" s="28"/>
      <c r="M32" s="28"/>
      <c r="N32" s="72">
        <f>$N$31*$Q$32</f>
        <v>91.548280000000005</v>
      </c>
      <c r="O32" s="41">
        <f>$H$19-130</f>
        <v>2566</v>
      </c>
      <c r="P32" s="41">
        <f>$H$21-130</f>
        <v>494.83333333333337</v>
      </c>
      <c r="Q32" s="41">
        <f>$I$5*$J$1</f>
        <v>3</v>
      </c>
      <c r="W32" s="81" t="s">
        <v>191</v>
      </c>
    </row>
    <row r="33" spans="1:25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W33" s="12" t="s">
        <v>199</v>
      </c>
      <c r="X33" s="11" t="s">
        <v>13</v>
      </c>
      <c r="Y33" s="11">
        <v>0.28499999999999998</v>
      </c>
    </row>
    <row r="34" spans="1:25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W34" s="12" t="s">
        <v>216</v>
      </c>
      <c r="X34" s="11" t="s">
        <v>13</v>
      </c>
      <c r="Y34" s="11">
        <v>0.28499999999999998</v>
      </c>
    </row>
    <row r="35" spans="1:25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  <c r="W35" s="12" t="s">
        <v>200</v>
      </c>
      <c r="X35" s="11" t="s">
        <v>55</v>
      </c>
      <c r="Y35" s="11">
        <v>0.252</v>
      </c>
    </row>
    <row r="36" spans="1:25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  <c r="W36" s="12" t="s">
        <v>217</v>
      </c>
      <c r="X36" s="11" t="s">
        <v>55</v>
      </c>
      <c r="Y36" s="11">
        <v>0.252</v>
      </c>
    </row>
    <row r="37" spans="1:25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  <c r="W37" s="12" t="s">
        <v>201</v>
      </c>
      <c r="X37" s="11" t="s">
        <v>62</v>
      </c>
      <c r="Y37" s="11">
        <v>0.22</v>
      </c>
    </row>
    <row r="38" spans="1:25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  <c r="W38" s="12" t="s">
        <v>218</v>
      </c>
      <c r="X38" s="11" t="s">
        <v>62</v>
      </c>
      <c r="Y38" s="11">
        <v>0.22</v>
      </c>
    </row>
    <row r="39" spans="1:25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25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25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25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25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25" ht="34.950000000000003" customHeight="1" x14ac:dyDescent="0.25">
      <c r="G44" s="6"/>
    </row>
  </sheetData>
  <sheetProtection sheet="1" formatCells="0" formatColumns="0"/>
  <dataConsolidate/>
  <mergeCells count="34">
    <mergeCell ref="A10:A11"/>
    <mergeCell ref="C10:C11"/>
    <mergeCell ref="D10:D11"/>
    <mergeCell ref="E10:E11"/>
    <mergeCell ref="J10:J11"/>
    <mergeCell ref="C2:F2"/>
    <mergeCell ref="E5:F5"/>
    <mergeCell ref="E6:F6"/>
    <mergeCell ref="A8:J8"/>
    <mergeCell ref="L8:Q8"/>
    <mergeCell ref="A16:A18"/>
    <mergeCell ref="C16:C18"/>
    <mergeCell ref="D16:D18"/>
    <mergeCell ref="E16:E18"/>
    <mergeCell ref="J16:J18"/>
    <mergeCell ref="A12:A13"/>
    <mergeCell ref="C12:C13"/>
    <mergeCell ref="D12:D13"/>
    <mergeCell ref="E12:E13"/>
    <mergeCell ref="J12:J13"/>
    <mergeCell ref="A19:A22"/>
    <mergeCell ref="C19:C20"/>
    <mergeCell ref="D19:D22"/>
    <mergeCell ref="E19:E22"/>
    <mergeCell ref="J19:J22"/>
    <mergeCell ref="C21:C22"/>
    <mergeCell ref="O30:Q30"/>
    <mergeCell ref="A23:A26"/>
    <mergeCell ref="C23:C24"/>
    <mergeCell ref="D23:D26"/>
    <mergeCell ref="E23:E26"/>
    <mergeCell ref="J23:J26"/>
    <mergeCell ref="C25:C26"/>
    <mergeCell ref="D30:F30"/>
  </mergeCells>
  <conditionalFormatting sqref="N31">
    <cfRule type="cellIs" dxfId="946" priority="20" operator="greaterThanOrEqual">
      <formula>45.5</formula>
    </cfRule>
    <cfRule type="cellIs" dxfId="945" priority="21" operator="greaterThanOrEqual">
      <formula>40</formula>
    </cfRule>
  </conditionalFormatting>
  <conditionalFormatting sqref="M28:Q29 P26:Q26">
    <cfRule type="expression" dxfId="944" priority="22">
      <formula>$E$6=33</formula>
    </cfRule>
    <cfRule type="expression" dxfId="943" priority="23">
      <formula>$E$6=20</formula>
    </cfRule>
    <cfRule type="expression" dxfId="942" priority="24">
      <formula>$E$6=18</formula>
    </cfRule>
    <cfRule type="expression" dxfId="941" priority="25">
      <formula>$E$6=12</formula>
    </cfRule>
    <cfRule type="expression" dxfId="940" priority="26">
      <formula>$E$6=10</formula>
    </cfRule>
  </conditionalFormatting>
  <conditionalFormatting sqref="C31">
    <cfRule type="cellIs" dxfId="939" priority="1" operator="greaterThanOrEqual">
      <formula>50.5</formula>
    </cfRule>
    <cfRule type="cellIs" dxfId="938" priority="2" operator="greaterThanOrEqual">
      <formula>45</formula>
    </cfRule>
  </conditionalFormatting>
  <dataValidations count="4">
    <dataValidation type="list" allowBlank="1" showInputMessage="1" showErrorMessage="1" sqref="I7">
      <formula1>"2,4,6,8,10"</formula1>
    </dataValidation>
    <dataValidation type="list" allowBlank="1" showInputMessage="1" showErrorMessage="1" sqref="E6">
      <formula1>"5,6,8,10,12,14,16,18,20,29,30,33"</formula1>
    </dataValidation>
    <dataValidation type="list" allowBlank="1" showInputMessage="1" showErrorMessage="1" sqref="D6">
      <formula1>"ขาว,ดำ"</formula1>
    </dataValidation>
    <dataValidation type="list" allowBlank="1" showInputMessage="1" showErrorMessage="1" sqref="I5">
      <formula1>"1,3,5,7,9"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</sheetPr>
  <dimension ref="A1:AU44"/>
  <sheetViews>
    <sheetView view="pageBreakPreview" zoomScale="70" zoomScaleNormal="55" zoomScaleSheetLayoutView="70" workbookViewId="0">
      <selection activeCell="K12" sqref="K12"/>
    </sheetView>
  </sheetViews>
  <sheetFormatPr defaultColWidth="8.8984375" defaultRowHeight="13.8" outlineLevelCol="1" x14ac:dyDescent="0.25"/>
  <cols>
    <col min="1" max="1" width="8.69921875" style="6" customWidth="1"/>
    <col min="2" max="2" width="30.3984375" style="2" bestFit="1" customWidth="1"/>
    <col min="3" max="3" width="16" style="2" customWidth="1"/>
    <col min="4" max="4" width="13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8.69921875" style="6" customWidth="1" outlineLevel="1"/>
    <col min="23" max="23" width="35.69921875" style="6" customWidth="1" outlineLevel="1"/>
    <col min="24" max="28" width="10.69921875" style="6" customWidth="1" outlineLevel="1"/>
    <col min="29" max="29" width="22" style="6" customWidth="1" outlineLevel="1"/>
    <col min="30" max="32" width="10.69921875" style="6" customWidth="1" outlineLevel="1"/>
    <col min="33" max="33" width="23.69921875" style="6" customWidth="1" outlineLevel="1"/>
    <col min="34" max="35" width="10.69921875" style="6" customWidth="1" outlineLevel="1"/>
    <col min="36" max="37" width="8.8984375" style="6" customWidth="1" outlineLevel="1"/>
    <col min="38" max="38" width="10.69921875" style="6" customWidth="1" outlineLevel="1"/>
    <col min="39" max="39" width="22" style="6" customWidth="1" outlineLevel="1"/>
    <col min="40" max="42" width="10.69921875" style="6" customWidth="1" outlineLevel="1"/>
    <col min="43" max="43" width="23.69921875" style="6" customWidth="1" outlineLevel="1"/>
    <col min="44" max="45" width="10.69921875" style="6" customWidth="1" outlineLevel="1"/>
    <col min="46" max="46" width="8.8984375" style="6" customWidth="1" outlineLevel="1"/>
    <col min="47" max="47" width="9.09765625" customWidth="1"/>
    <col min="48" max="16384" width="8.8984375" style="6"/>
  </cols>
  <sheetData>
    <row r="1" spans="1:34" ht="19.95" customHeight="1" x14ac:dyDescent="0.35">
      <c r="A1" s="1"/>
      <c r="H1" s="48"/>
      <c r="I1" s="101" t="s">
        <v>2</v>
      </c>
      <c r="J1" s="101">
        <v>1</v>
      </c>
    </row>
    <row r="2" spans="1:34" ht="19.95" customHeight="1" x14ac:dyDescent="0.35">
      <c r="A2" s="7"/>
      <c r="C2" s="144" t="s">
        <v>118</v>
      </c>
      <c r="D2" s="144"/>
      <c r="E2" s="144"/>
      <c r="F2" s="144"/>
      <c r="J2" s="112" t="s">
        <v>0</v>
      </c>
    </row>
    <row r="3" spans="1:34" ht="19.95" customHeight="1" x14ac:dyDescent="0.25">
      <c r="G3" s="6"/>
      <c r="H3" s="6"/>
      <c r="I3" s="6"/>
      <c r="J3" s="101">
        <v>3000</v>
      </c>
      <c r="AA3" s="4"/>
    </row>
    <row r="4" spans="1:34" ht="19.95" customHeight="1" x14ac:dyDescent="0.25">
      <c r="G4" s="4"/>
      <c r="H4" s="110" t="s">
        <v>220</v>
      </c>
      <c r="I4" s="111" t="s">
        <v>125</v>
      </c>
      <c r="J4" s="112" t="s">
        <v>3</v>
      </c>
      <c r="K4" s="4"/>
    </row>
    <row r="5" spans="1:34" ht="19.95" customHeight="1" x14ac:dyDescent="0.25">
      <c r="D5" s="114" t="s">
        <v>82</v>
      </c>
      <c r="E5" s="155" t="s">
        <v>53</v>
      </c>
      <c r="F5" s="155"/>
      <c r="G5" s="4"/>
      <c r="H5" s="4"/>
      <c r="I5" s="101">
        <v>3</v>
      </c>
      <c r="J5" s="101">
        <v>2500</v>
      </c>
    </row>
    <row r="6" spans="1:34" ht="19.95" customHeight="1" x14ac:dyDescent="0.25">
      <c r="D6" s="116" t="s">
        <v>83</v>
      </c>
      <c r="E6" s="156">
        <v>6</v>
      </c>
      <c r="F6" s="156"/>
      <c r="G6" s="4"/>
      <c r="H6" s="110" t="s">
        <v>219</v>
      </c>
      <c r="I6" s="111" t="s">
        <v>125</v>
      </c>
      <c r="J6" s="112" t="s">
        <v>3</v>
      </c>
      <c r="T6" s="79"/>
    </row>
    <row r="7" spans="1:34" ht="19.95" customHeight="1" x14ac:dyDescent="0.25">
      <c r="G7" s="4"/>
      <c r="H7" s="4"/>
      <c r="I7" s="101">
        <v>3</v>
      </c>
      <c r="J7" s="101">
        <v>2500</v>
      </c>
    </row>
    <row r="8" spans="1:34" s="9" customFormat="1" ht="19.95" customHeight="1" thickBot="1" x14ac:dyDescent="0.3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  <c r="W8" s="6"/>
      <c r="X8" s="6"/>
      <c r="Y8" s="6"/>
      <c r="Z8" s="6"/>
    </row>
    <row r="9" spans="1:34" ht="40.200000000000003" customHeight="1" thickTop="1" thickBot="1" x14ac:dyDescent="0.3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  <c r="V9" s="81" t="s">
        <v>220</v>
      </c>
      <c r="X9" s="104">
        <v>1</v>
      </c>
      <c r="Y9" s="105">
        <v>3</v>
      </c>
      <c r="Z9" s="105">
        <v>5</v>
      </c>
      <c r="AA9" s="105">
        <v>7</v>
      </c>
      <c r="AB9" s="106">
        <v>9</v>
      </c>
      <c r="AC9" s="75" t="s">
        <v>226</v>
      </c>
      <c r="AD9" s="104">
        <v>1</v>
      </c>
      <c r="AE9" s="105">
        <v>3</v>
      </c>
      <c r="AF9" s="105">
        <v>5</v>
      </c>
      <c r="AG9" s="105">
        <v>7</v>
      </c>
      <c r="AH9" s="106">
        <v>9</v>
      </c>
    </row>
    <row r="10" spans="1:34" ht="34.950000000000003" customHeight="1" thickTop="1" x14ac:dyDescent="0.25">
      <c r="A10" s="151">
        <v>1</v>
      </c>
      <c r="B10" s="26" t="s">
        <v>231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2482</v>
      </c>
      <c r="I10" s="25">
        <f t="shared" ref="I10:I26" si="0">F10*$J$1</f>
        <v>1</v>
      </c>
      <c r="J10" s="151">
        <f>ROUNDUP(((H10*I10)+(H11*I11))/6400,0)</f>
        <v>1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ขาว</v>
      </c>
      <c r="P10" s="109" t="str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>2</v>
      </c>
      <c r="Q10" s="25">
        <f>$J$1*P10</f>
        <v>2</v>
      </c>
      <c r="R10" s="13">
        <v>299</v>
      </c>
      <c r="V10" s="98">
        <v>1</v>
      </c>
      <c r="W10" s="99" t="s">
        <v>24</v>
      </c>
      <c r="X10" s="100">
        <v>0</v>
      </c>
      <c r="Y10" s="103">
        <v>1</v>
      </c>
      <c r="Z10" s="103">
        <v>2</v>
      </c>
      <c r="AA10" s="103">
        <v>3</v>
      </c>
      <c r="AB10" s="103">
        <v>4</v>
      </c>
      <c r="AC10" s="102"/>
      <c r="AD10" s="100">
        <v>0</v>
      </c>
      <c r="AE10" s="103">
        <v>1</v>
      </c>
      <c r="AF10" s="103">
        <v>2</v>
      </c>
      <c r="AG10" s="103">
        <v>3</v>
      </c>
      <c r="AH10" s="103">
        <v>4</v>
      </c>
    </row>
    <row r="11" spans="1:34" ht="34.950000000000003" customHeight="1" x14ac:dyDescent="0.25">
      <c r="A11" s="152"/>
      <c r="B11" s="26" t="s">
        <v>232</v>
      </c>
      <c r="C11" s="152"/>
      <c r="D11" s="152"/>
      <c r="E11" s="152"/>
      <c r="F11" s="25">
        <v>1</v>
      </c>
      <c r="G11" s="25" t="s">
        <v>159</v>
      </c>
      <c r="H11" s="27">
        <f>$J$7-18</f>
        <v>2482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ขาว</v>
      </c>
      <c r="P11" s="109" t="str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>20</v>
      </c>
      <c r="Q11" s="25">
        <f t="shared" ref="Q11:Q17" si="2">$J$1*P11</f>
        <v>20</v>
      </c>
      <c r="R11" s="13">
        <v>72</v>
      </c>
      <c r="V11" s="98">
        <v>2</v>
      </c>
      <c r="W11" s="99" t="s">
        <v>25</v>
      </c>
      <c r="X11" s="101">
        <f>IF($J$3&lt;=2700,3,4)</f>
        <v>4</v>
      </c>
      <c r="Y11" s="101">
        <f>IF($J$3&lt;=2700,7,10)</f>
        <v>10</v>
      </c>
      <c r="Z11" s="101">
        <f>IF($J$3&lt;=2700,11,16)</f>
        <v>16</v>
      </c>
      <c r="AA11" s="101">
        <f>IF($J$3&lt;=2700,15,22)</f>
        <v>22</v>
      </c>
      <c r="AB11" s="101">
        <f>IF($J$3&lt;=2700,19,28)</f>
        <v>28</v>
      </c>
      <c r="AC11" s="102"/>
      <c r="AD11" s="101">
        <f>IF($J$3&lt;=2700,3,4)</f>
        <v>4</v>
      </c>
      <c r="AE11" s="101">
        <f>IF($J$3&lt;=2700,7,10)</f>
        <v>10</v>
      </c>
      <c r="AF11" s="101">
        <f>IF($J$3&lt;=2700,11,16)</f>
        <v>16</v>
      </c>
      <c r="AG11" s="101">
        <f>IF($J$3&lt;=2700,15,22)</f>
        <v>22</v>
      </c>
      <c r="AH11" s="101">
        <f>IF($J$3&lt;=2700,19,28)</f>
        <v>28</v>
      </c>
    </row>
    <row r="12" spans="1:34" ht="34.950000000000003" customHeight="1" x14ac:dyDescent="0.25">
      <c r="A12" s="141">
        <v>2</v>
      </c>
      <c r="B12" s="46" t="s">
        <v>233</v>
      </c>
      <c r="C12" s="141"/>
      <c r="D12" s="141" t="s">
        <v>44</v>
      </c>
      <c r="E12" s="141">
        <v>1.5329999999999999</v>
      </c>
      <c r="F12" s="108">
        <v>1</v>
      </c>
      <c r="G12" s="108" t="s">
        <v>158</v>
      </c>
      <c r="H12" s="47">
        <f>$J$5-18</f>
        <v>2482</v>
      </c>
      <c r="I12" s="108">
        <f t="shared" si="0"/>
        <v>1</v>
      </c>
      <c r="J12" s="141">
        <f>ROUNDUP(((H12*I12)+(H13*I13))/6400,0)</f>
        <v>1</v>
      </c>
      <c r="K12" s="28"/>
      <c r="L12" s="25">
        <v>3</v>
      </c>
      <c r="M12" s="29" t="s">
        <v>26</v>
      </c>
      <c r="N12" s="25"/>
      <c r="O12" s="25" t="str">
        <f t="shared" si="1"/>
        <v>ขาว</v>
      </c>
      <c r="P12" s="109" t="str">
        <f t="shared" ref="P12:P18" si="3"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>2</v>
      </c>
      <c r="Q12" s="25">
        <f t="shared" si="2"/>
        <v>2</v>
      </c>
      <c r="R12" s="13">
        <v>109</v>
      </c>
      <c r="V12" s="98">
        <v>3</v>
      </c>
      <c r="W12" s="99" t="s">
        <v>26</v>
      </c>
      <c r="X12" s="98">
        <v>0</v>
      </c>
      <c r="Y12" s="101">
        <v>1</v>
      </c>
      <c r="Z12" s="101">
        <v>2</v>
      </c>
      <c r="AA12" s="101">
        <v>3</v>
      </c>
      <c r="AB12" s="101">
        <v>4</v>
      </c>
      <c r="AC12" s="102"/>
      <c r="AD12" s="98">
        <v>0</v>
      </c>
      <c r="AE12" s="101">
        <v>1</v>
      </c>
      <c r="AF12" s="101">
        <v>2</v>
      </c>
      <c r="AG12" s="101">
        <v>3</v>
      </c>
      <c r="AH12" s="101">
        <v>4</v>
      </c>
    </row>
    <row r="13" spans="1:34" ht="34.950000000000003" customHeight="1" x14ac:dyDescent="0.25">
      <c r="A13" s="143"/>
      <c r="B13" s="46" t="s">
        <v>230</v>
      </c>
      <c r="C13" s="143"/>
      <c r="D13" s="143"/>
      <c r="E13" s="143"/>
      <c r="F13" s="108">
        <v>1</v>
      </c>
      <c r="G13" s="108" t="s">
        <v>159</v>
      </c>
      <c r="H13" s="47">
        <f>$J$7-18</f>
        <v>2482</v>
      </c>
      <c r="I13" s="108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ขาว</v>
      </c>
      <c r="P13" s="109" t="str">
        <f t="shared" si="3"/>
        <v>2</v>
      </c>
      <c r="Q13" s="25">
        <f t="shared" si="2"/>
        <v>2</v>
      </c>
      <c r="R13" s="13">
        <v>199</v>
      </c>
      <c r="V13" s="98">
        <v>4</v>
      </c>
      <c r="W13" s="99" t="s">
        <v>27</v>
      </c>
      <c r="X13" s="98">
        <v>0</v>
      </c>
      <c r="Y13" s="101">
        <v>1</v>
      </c>
      <c r="Z13" s="101">
        <v>2</v>
      </c>
      <c r="AA13" s="101">
        <v>3</v>
      </c>
      <c r="AB13" s="101">
        <v>4</v>
      </c>
      <c r="AC13" s="102"/>
      <c r="AD13" s="98">
        <v>0</v>
      </c>
      <c r="AE13" s="101">
        <v>1</v>
      </c>
      <c r="AF13" s="101">
        <v>2</v>
      </c>
      <c r="AG13" s="101">
        <v>3</v>
      </c>
      <c r="AH13" s="101">
        <v>4</v>
      </c>
    </row>
    <row r="14" spans="1:34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3000</v>
      </c>
      <c r="I14" s="39">
        <f t="shared" si="0"/>
        <v>2</v>
      </c>
      <c r="J14" s="39">
        <f t="shared" ref="J14:J15" si="4">ROUNDUP((H14*I14)/6400,0)</f>
        <v>1</v>
      </c>
      <c r="K14" s="28"/>
      <c r="L14" s="25">
        <v>5</v>
      </c>
      <c r="M14" s="29" t="s">
        <v>22</v>
      </c>
      <c r="N14" s="25"/>
      <c r="O14" s="25" t="str">
        <f t="shared" si="1"/>
        <v>ขาว</v>
      </c>
      <c r="P14" s="109" t="str">
        <f t="shared" si="3"/>
        <v>2</v>
      </c>
      <c r="Q14" s="25">
        <f t="shared" si="2"/>
        <v>2</v>
      </c>
      <c r="R14" s="13">
        <v>85</v>
      </c>
      <c r="V14" s="98">
        <v>5</v>
      </c>
      <c r="W14" s="99" t="s">
        <v>22</v>
      </c>
      <c r="X14" s="98">
        <v>0</v>
      </c>
      <c r="Y14" s="101">
        <v>1</v>
      </c>
      <c r="Z14" s="101">
        <v>2</v>
      </c>
      <c r="AA14" s="101">
        <v>3</v>
      </c>
      <c r="AB14" s="101">
        <v>4</v>
      </c>
      <c r="AC14" s="102"/>
      <c r="AD14" s="98">
        <v>0</v>
      </c>
      <c r="AE14" s="101">
        <v>1</v>
      </c>
      <c r="AF14" s="101">
        <v>2</v>
      </c>
      <c r="AG14" s="101">
        <v>3</v>
      </c>
      <c r="AH14" s="101">
        <v>4</v>
      </c>
    </row>
    <row r="15" spans="1:34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18</v>
      </c>
      <c r="H15" s="40">
        <f>$J$3-75-45</f>
        <v>2880</v>
      </c>
      <c r="I15" s="39">
        <f t="shared" si="0"/>
        <v>2</v>
      </c>
      <c r="J15" s="39">
        <f t="shared" si="4"/>
        <v>1</v>
      </c>
      <c r="K15" s="28"/>
      <c r="L15" s="25">
        <v>6</v>
      </c>
      <c r="M15" s="29" t="s">
        <v>23</v>
      </c>
      <c r="N15" s="25"/>
      <c r="O15" s="25" t="str">
        <f t="shared" si="1"/>
        <v>ขาว</v>
      </c>
      <c r="P15" s="109" t="str">
        <f t="shared" si="3"/>
        <v>2</v>
      </c>
      <c r="Q15" s="25">
        <f t="shared" si="2"/>
        <v>2</v>
      </c>
      <c r="R15" s="13">
        <v>88</v>
      </c>
      <c r="V15" s="98">
        <v>6</v>
      </c>
      <c r="W15" s="99" t="s">
        <v>23</v>
      </c>
      <c r="X15" s="98">
        <v>0</v>
      </c>
      <c r="Y15" s="101">
        <v>1</v>
      </c>
      <c r="Z15" s="101">
        <v>2</v>
      </c>
      <c r="AA15" s="101">
        <v>3</v>
      </c>
      <c r="AB15" s="101">
        <v>4</v>
      </c>
      <c r="AC15" s="102"/>
      <c r="AD15" s="98">
        <v>0</v>
      </c>
      <c r="AE15" s="101">
        <v>1</v>
      </c>
      <c r="AF15" s="101">
        <v>2</v>
      </c>
      <c r="AG15" s="101">
        <v>3</v>
      </c>
      <c r="AH15" s="101">
        <v>4</v>
      </c>
    </row>
    <row r="16" spans="1:34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108">
        <v>2</v>
      </c>
      <c r="G16" s="108" t="s">
        <v>18</v>
      </c>
      <c r="H16" s="47">
        <f>$J$3-75-45</f>
        <v>2880</v>
      </c>
      <c r="I16" s="108">
        <f t="shared" si="0"/>
        <v>2</v>
      </c>
      <c r="J16" s="141">
        <f>ROUNDUP(((H16*I16)+(H17*I17)+(H18*I18))/6400,0)</f>
        <v>3</v>
      </c>
      <c r="K16" s="28"/>
      <c r="L16" s="25">
        <v>7</v>
      </c>
      <c r="M16" s="29" t="s">
        <v>29</v>
      </c>
      <c r="N16" s="25"/>
      <c r="O16" s="25" t="str">
        <f t="shared" si="1"/>
        <v>ขาว</v>
      </c>
      <c r="P16" s="109" t="str">
        <f t="shared" si="3"/>
        <v>4</v>
      </c>
      <c r="Q16" s="25">
        <f t="shared" si="2"/>
        <v>4</v>
      </c>
      <c r="R16" s="13">
        <v>73</v>
      </c>
      <c r="S16" s="6">
        <f>((H19*I19)/1000)*E19</f>
        <v>25.561176</v>
      </c>
      <c r="V16" s="98">
        <v>7</v>
      </c>
      <c r="W16" s="99" t="s">
        <v>29</v>
      </c>
      <c r="X16" s="98">
        <v>0</v>
      </c>
      <c r="Y16" s="101">
        <f>Y15*2</f>
        <v>2</v>
      </c>
      <c r="Z16" s="101">
        <f t="shared" ref="Z16:AB16" si="5">Z15*2</f>
        <v>4</v>
      </c>
      <c r="AA16" s="101">
        <f t="shared" si="5"/>
        <v>6</v>
      </c>
      <c r="AB16" s="101">
        <f t="shared" si="5"/>
        <v>8</v>
      </c>
      <c r="AC16" s="102"/>
      <c r="AD16" s="98">
        <v>0</v>
      </c>
      <c r="AE16" s="101">
        <f>AE15*2</f>
        <v>2</v>
      </c>
      <c r="AF16" s="101">
        <f t="shared" ref="AF16:AH16" si="6">AF15*2</f>
        <v>4</v>
      </c>
      <c r="AG16" s="101">
        <f t="shared" si="6"/>
        <v>6</v>
      </c>
      <c r="AH16" s="101">
        <f t="shared" si="6"/>
        <v>8</v>
      </c>
    </row>
    <row r="17" spans="1:45" ht="34.950000000000003" customHeight="1" x14ac:dyDescent="0.25">
      <c r="A17" s="142"/>
      <c r="B17" s="46" t="s">
        <v>234</v>
      </c>
      <c r="C17" s="142"/>
      <c r="D17" s="142"/>
      <c r="E17" s="142"/>
      <c r="F17" s="108">
        <v>2</v>
      </c>
      <c r="G17" s="108" t="s">
        <v>160</v>
      </c>
      <c r="H17" s="47">
        <f>$J$5-18-58</f>
        <v>2424</v>
      </c>
      <c r="I17" s="108">
        <f t="shared" si="0"/>
        <v>2</v>
      </c>
      <c r="J17" s="142"/>
      <c r="K17" s="28"/>
      <c r="L17" s="25">
        <v>12</v>
      </c>
      <c r="M17" s="29" t="s">
        <v>35</v>
      </c>
      <c r="N17" s="30"/>
      <c r="O17" s="25" t="s">
        <v>1</v>
      </c>
      <c r="P17" s="109" t="str">
        <f t="shared" si="3"/>
        <v>24</v>
      </c>
      <c r="Q17" s="25">
        <f t="shared" si="2"/>
        <v>24</v>
      </c>
      <c r="R17" s="13">
        <v>15</v>
      </c>
      <c r="S17" s="6">
        <f>((H21*I21)/1000)*E21</f>
        <v>0</v>
      </c>
      <c r="V17" s="98">
        <v>12</v>
      </c>
      <c r="W17" s="99" t="s">
        <v>35</v>
      </c>
      <c r="X17" s="98">
        <f>X$9*4</f>
        <v>4</v>
      </c>
      <c r="Y17" s="98">
        <f t="shared" ref="Y17:AH17" si="7">Y$9*4</f>
        <v>12</v>
      </c>
      <c r="Z17" s="98">
        <f t="shared" si="7"/>
        <v>20</v>
      </c>
      <c r="AA17" s="98">
        <f t="shared" si="7"/>
        <v>28</v>
      </c>
      <c r="AB17" s="98">
        <f t="shared" si="7"/>
        <v>36</v>
      </c>
      <c r="AC17" s="102"/>
      <c r="AD17" s="98">
        <f>AD$9*4</f>
        <v>4</v>
      </c>
      <c r="AE17" s="98">
        <f t="shared" si="7"/>
        <v>12</v>
      </c>
      <c r="AF17" s="98">
        <f t="shared" si="7"/>
        <v>20</v>
      </c>
      <c r="AG17" s="98">
        <f t="shared" si="7"/>
        <v>28</v>
      </c>
      <c r="AH17" s="98">
        <f t="shared" si="7"/>
        <v>36</v>
      </c>
    </row>
    <row r="18" spans="1:45" ht="34.950000000000003" customHeight="1" x14ac:dyDescent="0.25">
      <c r="A18" s="143"/>
      <c r="B18" s="46" t="s">
        <v>227</v>
      </c>
      <c r="C18" s="143"/>
      <c r="D18" s="143"/>
      <c r="E18" s="143"/>
      <c r="F18" s="108">
        <v>2</v>
      </c>
      <c r="G18" s="108" t="s">
        <v>161</v>
      </c>
      <c r="H18" s="47">
        <f>$J$7-18-58</f>
        <v>2424</v>
      </c>
      <c r="I18" s="108">
        <f t="shared" si="0"/>
        <v>2</v>
      </c>
      <c r="J18" s="143"/>
      <c r="K18" s="28"/>
      <c r="L18" s="25">
        <v>13</v>
      </c>
      <c r="M18" s="29" t="s">
        <v>36</v>
      </c>
      <c r="N18" s="30"/>
      <c r="O18" s="25" t="s">
        <v>1</v>
      </c>
      <c r="P18" s="109" t="str">
        <f t="shared" si="3"/>
        <v>72</v>
      </c>
      <c r="Q18" s="25">
        <f>$J$1*P18</f>
        <v>72</v>
      </c>
      <c r="R18" s="13">
        <v>1.5</v>
      </c>
      <c r="V18" s="98">
        <v>13</v>
      </c>
      <c r="W18" s="99" t="s">
        <v>36</v>
      </c>
      <c r="X18" s="98">
        <f>X$9*12</f>
        <v>12</v>
      </c>
      <c r="Y18" s="98">
        <f t="shared" ref="Y18:AH18" si="8">Y$9*12</f>
        <v>36</v>
      </c>
      <c r="Z18" s="98">
        <f t="shared" si="8"/>
        <v>60</v>
      </c>
      <c r="AA18" s="98">
        <f t="shared" si="8"/>
        <v>84</v>
      </c>
      <c r="AB18" s="98">
        <f t="shared" si="8"/>
        <v>108</v>
      </c>
      <c r="AC18" s="102"/>
      <c r="AD18" s="98">
        <f>AD$9*12</f>
        <v>12</v>
      </c>
      <c r="AE18" s="98">
        <f t="shared" si="8"/>
        <v>36</v>
      </c>
      <c r="AF18" s="98">
        <f t="shared" si="8"/>
        <v>60</v>
      </c>
      <c r="AG18" s="98">
        <f t="shared" si="8"/>
        <v>84</v>
      </c>
      <c r="AH18" s="98">
        <f t="shared" si="8"/>
        <v>108</v>
      </c>
    </row>
    <row r="19" spans="1:45" ht="34.950000000000003" customHeight="1" x14ac:dyDescent="0.25">
      <c r="A19" s="138">
        <v>6</v>
      </c>
      <c r="B19" s="56" t="s">
        <v>235</v>
      </c>
      <c r="C19" s="138"/>
      <c r="D19" s="138" t="s">
        <v>47</v>
      </c>
      <c r="E19" s="138">
        <v>1.466</v>
      </c>
      <c r="F19" s="39">
        <f>IF($I$5=1,$AP$25,IF($I$5=3,$AP$26,IF($I$5=5,$AP$27,IF($I$5=7,$AP$28,IF($I$5=9,$AP$29,)))))</f>
        <v>6</v>
      </c>
      <c r="G19" s="39" t="s">
        <v>257</v>
      </c>
      <c r="H19" s="40">
        <f>$J$3-55-7-7-25</f>
        <v>2906</v>
      </c>
      <c r="I19" s="39">
        <f>F19*$J$1</f>
        <v>6</v>
      </c>
      <c r="J19" s="138">
        <f>ROUNDUP(((H19*I19)+(H20*I20)+(H21*I21+(H22*I22)))/6400,0)</f>
        <v>4</v>
      </c>
      <c r="K19" s="28"/>
      <c r="L19" s="25">
        <v>14</v>
      </c>
      <c r="M19" s="12" t="s">
        <v>28</v>
      </c>
      <c r="N19" s="57"/>
      <c r="O19" s="25" t="str">
        <f>IF($D$6="ขาว","ขาว","ดำ")</f>
        <v>ขาว</v>
      </c>
      <c r="P19" s="25">
        <v>1</v>
      </c>
      <c r="Q19" s="25">
        <f t="shared" ref="Q19:Q22" si="9">$J$1*P19</f>
        <v>1</v>
      </c>
    </row>
    <row r="20" spans="1:45" ht="34.950000000000003" customHeight="1" x14ac:dyDescent="0.25">
      <c r="A20" s="139"/>
      <c r="B20" s="56" t="s">
        <v>228</v>
      </c>
      <c r="C20" s="140"/>
      <c r="D20" s="139"/>
      <c r="E20" s="139"/>
      <c r="F20" s="39">
        <f>IF($I$7=2,$AF$25,IF($I$7=4,$AF$26,IF($I$7=6,$AF$27,IF($I$7=8,$AF$28,IF($I$7=10,$AF$29,)))))</f>
        <v>0</v>
      </c>
      <c r="G20" s="39" t="s">
        <v>257</v>
      </c>
      <c r="H20" s="40">
        <f>$J$3-55-7-7-25</f>
        <v>2906</v>
      </c>
      <c r="I20" s="39">
        <f t="shared" si="0"/>
        <v>0</v>
      </c>
      <c r="J20" s="139"/>
      <c r="K20" s="28"/>
      <c r="L20" s="25">
        <v>15</v>
      </c>
      <c r="M20" s="12" t="s">
        <v>100</v>
      </c>
      <c r="N20" s="57"/>
      <c r="O20" s="57" t="s">
        <v>1</v>
      </c>
      <c r="P20" s="25">
        <v>1</v>
      </c>
      <c r="Q20" s="25">
        <f t="shared" si="9"/>
        <v>1</v>
      </c>
      <c r="S20" s="6">
        <f>((H23*I23)/1000)*E23</f>
        <v>4.6956599999999993</v>
      </c>
    </row>
    <row r="21" spans="1:45" ht="34.950000000000003" customHeight="1" x14ac:dyDescent="0.25">
      <c r="A21" s="139"/>
      <c r="B21" s="56" t="s">
        <v>236</v>
      </c>
      <c r="C21" s="138"/>
      <c r="D21" s="139"/>
      <c r="E21" s="139"/>
      <c r="F21" s="39">
        <f>IF($I$5=1,$AP$25,IF($I$5=3,$AP$26,IF($I$5=5,$AP$27,IF($I$5=7,$AP$28,IF($I$5=9,$AP$29,)))))</f>
        <v>6</v>
      </c>
      <c r="G21" s="39" t="str">
        <f>IF($I$5=1,$AQ$25,IF($I$5=3,$AQ$26,IF($I$5=5,$AQ$27,IF($I$5=7,$AQ$28,IF($I$5=9,$AQ$29,)))))</f>
        <v>(W-18-9.5-(8x2)-77)/3</v>
      </c>
      <c r="H21" s="40">
        <f>IF($I$5=1,$AR$25,IF($I$5=3,$AR$26,IF($I$5=5,$AR$27,IF($I$5=7,$AR$28,IF($I$5=9,$AR$29,)))))</f>
        <v>793.16666666666663</v>
      </c>
      <c r="I21" s="39">
        <f t="shared" si="0"/>
        <v>6</v>
      </c>
      <c r="J21" s="139"/>
      <c r="K21" s="28"/>
      <c r="L21" s="25">
        <v>16</v>
      </c>
      <c r="M21" s="12" t="s">
        <v>37</v>
      </c>
      <c r="N21" s="57"/>
      <c r="O21" s="57" t="s">
        <v>1</v>
      </c>
      <c r="P21" s="25">
        <v>1</v>
      </c>
      <c r="Q21" s="25">
        <f t="shared" si="9"/>
        <v>1</v>
      </c>
      <c r="S21" s="6">
        <f>((H25*I25)/1000)*E25</f>
        <v>0</v>
      </c>
    </row>
    <row r="22" spans="1:45" ht="34.950000000000003" customHeight="1" x14ac:dyDescent="0.25">
      <c r="A22" s="140"/>
      <c r="B22" s="56" t="s">
        <v>229</v>
      </c>
      <c r="C22" s="140"/>
      <c r="D22" s="140"/>
      <c r="E22" s="140"/>
      <c r="F22" s="39">
        <f>IF($I$7=2,$AF$25,IF($I$7=4,$AF$26,IF($I$7=6,$AF$27,IF($I$7=8,$AF$28,IF($I$7=10,$AF$29,)))))</f>
        <v>0</v>
      </c>
      <c r="G22" s="39">
        <f>IF($I$7=2,$AG$25,IF($I$7=4,$AG$26,IF($I$7=6,$AG$27,IF($I$7=8,$AG$28,IF($I$7=10,$AG$29,)))))</f>
        <v>0</v>
      </c>
      <c r="H22" s="40">
        <f>IF($I$7=2,$AH$25,IF($I$7=4,$AH$26,IF($I$7=6,$AH$27,IF($I$7=8,$AH$28,IF($I$7=10,$AH$29,)))))</f>
        <v>0</v>
      </c>
      <c r="I22" s="39">
        <f t="shared" si="0"/>
        <v>0</v>
      </c>
      <c r="J22" s="140"/>
      <c r="K22" s="28"/>
      <c r="L22" s="25">
        <v>17</v>
      </c>
      <c r="M22" s="56" t="s">
        <v>38</v>
      </c>
      <c r="N22" s="57"/>
      <c r="O22" s="57" t="s">
        <v>1</v>
      </c>
      <c r="P22" s="25">
        <v>1</v>
      </c>
      <c r="Q22" s="25">
        <f t="shared" si="9"/>
        <v>1</v>
      </c>
    </row>
    <row r="23" spans="1:45" ht="34.950000000000003" customHeight="1" x14ac:dyDescent="0.25">
      <c r="A23" s="141">
        <v>7</v>
      </c>
      <c r="B23" s="46" t="str">
        <f>IF($E$6&lt;=12,W33,IF($E$6&lt;=20,W35,W37))</f>
        <v>คิ้วกระจก5-12มิล (ตั้ง) (บานคี่ เปิด)</v>
      </c>
      <c r="C23" s="153"/>
      <c r="D23" s="141" t="str">
        <f>IF($E$6&lt;=12,X26,IF($E$6&lt;=20,X28,X30))</f>
        <v>F7935</v>
      </c>
      <c r="E23" s="141">
        <f>IF($E$6&lt;=12,Y26,IF($E$6&lt;=20,Y28,Y30))</f>
        <v>0.28499999999999998</v>
      </c>
      <c r="F23" s="39">
        <f>IF($I$5=1,$AP$25,IF($I$5=3,$AP$26,IF($I$5=5,$AP$27,IF($I$5=7,$AP$28,IF($I$5=9,$AP$29,)))))</f>
        <v>6</v>
      </c>
      <c r="G23" s="108" t="s">
        <v>19</v>
      </c>
      <c r="H23" s="47">
        <f>$H$19-80-80</f>
        <v>2746</v>
      </c>
      <c r="I23" s="108">
        <f t="shared" si="0"/>
        <v>6</v>
      </c>
      <c r="J23" s="141">
        <f>ROUNDUP(((H23*I23)+(H24*I24)+(H25*I25+(H26*I26)))/6400,0)</f>
        <v>4</v>
      </c>
      <c r="K23" s="28"/>
      <c r="L23" s="25">
        <v>18</v>
      </c>
      <c r="M23" s="61" t="s">
        <v>96</v>
      </c>
      <c r="N23" s="60"/>
      <c r="O23" s="25" t="str">
        <f>IF($D$6="ขาว","ขาว","ดำ")</f>
        <v>ขาว</v>
      </c>
      <c r="P23" s="25">
        <v>2</v>
      </c>
      <c r="Q23" s="25">
        <f>$J$1*P23</f>
        <v>2</v>
      </c>
      <c r="W23" s="81" t="s">
        <v>209</v>
      </c>
      <c r="AB23" s="75" t="s">
        <v>210</v>
      </c>
    </row>
    <row r="24" spans="1:45" ht="34.950000000000003" customHeight="1" x14ac:dyDescent="0.25">
      <c r="A24" s="142"/>
      <c r="B24" s="46" t="str">
        <f>IF($E$6&lt;=12,W26,IF($E$6&lt;=20,W28,W30))</f>
        <v>คิ้วกระจก5-12มิล (ตั้ง) (บานคี่ ปิด)</v>
      </c>
      <c r="C24" s="153"/>
      <c r="D24" s="142"/>
      <c r="E24" s="142"/>
      <c r="F24" s="39">
        <f>IF($I$7=2,$AF$25,IF($I$7=4,$AF$26,IF($I$7=6,$AF$27,IF($I$7=8,$AF$28,IF($I$7=10,$AF$29,)))))</f>
        <v>0</v>
      </c>
      <c r="G24" s="108" t="s">
        <v>19</v>
      </c>
      <c r="H24" s="47">
        <f>$H$20-80-80</f>
        <v>2746</v>
      </c>
      <c r="I24" s="108">
        <f t="shared" si="0"/>
        <v>0</v>
      </c>
      <c r="J24" s="142"/>
      <c r="K24" s="28"/>
      <c r="L24" s="25">
        <v>19</v>
      </c>
      <c r="M24" s="12" t="s">
        <v>113</v>
      </c>
      <c r="N24" s="60"/>
      <c r="O24" s="57" t="s">
        <v>1</v>
      </c>
      <c r="P24" s="25">
        <f>IF($J$3&lt;=2700,3,4)</f>
        <v>4</v>
      </c>
      <c r="Q24" s="25">
        <f>$J$1*P24</f>
        <v>4</v>
      </c>
      <c r="W24" s="81" t="s">
        <v>219</v>
      </c>
      <c r="AB24" s="81" t="s">
        <v>219</v>
      </c>
      <c r="AC24" s="75"/>
      <c r="AD24" s="75"/>
      <c r="AL24" s="75" t="s">
        <v>220</v>
      </c>
      <c r="AM24" s="75"/>
      <c r="AN24" s="75"/>
    </row>
    <row r="25" spans="1:45" ht="34.950000000000003" customHeight="1" x14ac:dyDescent="0.25">
      <c r="A25" s="142"/>
      <c r="B25" s="46" t="str">
        <f>IF($E$6&lt;=12,W34,IF($E$6&lt;=20,W36,W38))</f>
        <v>คิ้วกระจก5-12มิล (ขวาง) (บานคี่ เปิด)</v>
      </c>
      <c r="C25" s="153"/>
      <c r="D25" s="142"/>
      <c r="E25" s="142"/>
      <c r="F25" s="39">
        <f>IF($I$5=1,$AP$25,IF($I$5=3,$AP$26,IF($I$5=5,$AP$27,IF($I$5=7,$AP$28,IF($I$5=9,$AP$29,)))))</f>
        <v>6</v>
      </c>
      <c r="G25" s="108" t="s">
        <v>56</v>
      </c>
      <c r="H25" s="47">
        <f>$H$21-60-60</f>
        <v>673.16666666666663</v>
      </c>
      <c r="I25" s="108">
        <f t="shared" si="0"/>
        <v>6</v>
      </c>
      <c r="J25" s="142"/>
      <c r="K25" s="28"/>
      <c r="L25" s="25">
        <v>20</v>
      </c>
      <c r="M25" s="12" t="s">
        <v>110</v>
      </c>
      <c r="N25" s="60"/>
      <c r="O25" s="57"/>
      <c r="P25" s="25">
        <f>IF($J$3&lt;=2700,3,4)</f>
        <v>4</v>
      </c>
      <c r="Q25" s="25">
        <f>$J$1*P25</f>
        <v>4</v>
      </c>
      <c r="W25" s="8" t="s">
        <v>5</v>
      </c>
      <c r="X25" s="8" t="s">
        <v>9</v>
      </c>
      <c r="Y25" s="8" t="s">
        <v>14</v>
      </c>
      <c r="AB25" s="108">
        <v>1</v>
      </c>
      <c r="AC25" s="46" t="s">
        <v>211</v>
      </c>
      <c r="AD25" s="108" t="s">
        <v>47</v>
      </c>
      <c r="AE25" s="108">
        <v>1.466</v>
      </c>
      <c r="AF25" s="108">
        <f>2*AB25</f>
        <v>2</v>
      </c>
      <c r="AG25" s="59" t="s">
        <v>221</v>
      </c>
      <c r="AH25" s="47">
        <f>$J$5-18-9.5-62</f>
        <v>2410.5</v>
      </c>
      <c r="AI25" s="108">
        <f>AF25*$J$1</f>
        <v>2</v>
      </c>
      <c r="AL25" s="108">
        <v>1</v>
      </c>
      <c r="AM25" s="46" t="s">
        <v>212</v>
      </c>
      <c r="AN25" s="108" t="s">
        <v>47</v>
      </c>
      <c r="AO25" s="108">
        <v>1.466</v>
      </c>
      <c r="AP25" s="108">
        <f>2*AL25</f>
        <v>2</v>
      </c>
      <c r="AQ25" s="59" t="s">
        <v>186</v>
      </c>
      <c r="AR25" s="47">
        <f>($J$5-18-9.5-77)</f>
        <v>2395.5</v>
      </c>
      <c r="AS25" s="108">
        <f>AP25*$J$1</f>
        <v>2</v>
      </c>
    </row>
    <row r="26" spans="1:45" ht="34.950000000000003" customHeight="1" x14ac:dyDescent="0.25">
      <c r="A26" s="143"/>
      <c r="B26" s="46" t="str">
        <f>IF($E$6&lt;=12,W27,IF($E$6&lt;=20,W29,W31))</f>
        <v>คิ้วกระจก5-12มิล (ขวาง) (บานคี่ ปิด)</v>
      </c>
      <c r="C26" s="153"/>
      <c r="D26" s="143"/>
      <c r="E26" s="143"/>
      <c r="F26" s="39">
        <f>IF($I$7=2,$AF$25,IF($I$7=4,$AF$26,IF($I$7=6,$AF$27,IF($I$7=8,$AF$28,IF($I$7=10,$AF$29,)))))</f>
        <v>0</v>
      </c>
      <c r="G26" s="108" t="s">
        <v>56</v>
      </c>
      <c r="H26" s="47">
        <f>$H$22-60-60</f>
        <v>-120</v>
      </c>
      <c r="I26" s="108">
        <f t="shared" si="0"/>
        <v>0</v>
      </c>
      <c r="J26" s="143"/>
      <c r="K26" s="28"/>
      <c r="L26" s="25">
        <v>21</v>
      </c>
      <c r="M26" s="68" t="s">
        <v>111</v>
      </c>
      <c r="N26" s="60"/>
      <c r="O26" s="57"/>
      <c r="P26" s="69">
        <f>ROUNDDOWN($H$19/1000,1)</f>
        <v>2.9</v>
      </c>
      <c r="Q26" s="69">
        <f>$J$1*P26</f>
        <v>2.9</v>
      </c>
      <c r="W26" s="12" t="s">
        <v>243</v>
      </c>
      <c r="X26" s="11" t="s">
        <v>13</v>
      </c>
      <c r="Y26" s="11">
        <v>0.28499999999999998</v>
      </c>
      <c r="AB26" s="108">
        <v>3</v>
      </c>
      <c r="AC26" s="46" t="s">
        <v>211</v>
      </c>
      <c r="AD26" s="108" t="s">
        <v>47</v>
      </c>
      <c r="AE26" s="108">
        <v>1.466</v>
      </c>
      <c r="AF26" s="108">
        <f>2*AB26</f>
        <v>6</v>
      </c>
      <c r="AG26" s="59" t="s">
        <v>222</v>
      </c>
      <c r="AH26" s="47">
        <f>($J$5-18-9.5-(8*2)-62)/AB26</f>
        <v>798.16666666666663</v>
      </c>
      <c r="AI26" s="108">
        <f>AF26*$J$1</f>
        <v>6</v>
      </c>
      <c r="AL26" s="108">
        <v>3</v>
      </c>
      <c r="AM26" s="46" t="s">
        <v>212</v>
      </c>
      <c r="AN26" s="108" t="s">
        <v>47</v>
      </c>
      <c r="AO26" s="108">
        <v>1.466</v>
      </c>
      <c r="AP26" s="108">
        <f>2*AL26</f>
        <v>6</v>
      </c>
      <c r="AQ26" s="59" t="s">
        <v>187</v>
      </c>
      <c r="AR26" s="47">
        <f>($J$5-18-9.5-(8*2)-77)/AL26</f>
        <v>793.16666666666663</v>
      </c>
      <c r="AS26" s="108">
        <f t="shared" ref="AS26:AS29" si="10">AP26*$J$1</f>
        <v>6</v>
      </c>
    </row>
    <row r="27" spans="1:45" ht="34.950000000000003" customHeight="1" x14ac:dyDescent="0.25">
      <c r="A27" s="25">
        <v>8</v>
      </c>
      <c r="B27" s="56" t="s">
        <v>80</v>
      </c>
      <c r="C27" s="26"/>
      <c r="D27" s="25" t="s">
        <v>79</v>
      </c>
      <c r="E27" s="25">
        <v>0.45200000000000001</v>
      </c>
      <c r="F27" s="25">
        <v>2</v>
      </c>
      <c r="G27" s="25" t="s">
        <v>256</v>
      </c>
      <c r="H27" s="27">
        <f>$H$19+4</f>
        <v>2910</v>
      </c>
      <c r="I27" s="25">
        <f>F27*$J$1</f>
        <v>2</v>
      </c>
      <c r="J27" s="25">
        <f>ROUNDUP((H27*I27)/6400,0)</f>
        <v>1</v>
      </c>
      <c r="K27" s="28"/>
      <c r="L27" s="108">
        <v>22</v>
      </c>
      <c r="M27" s="43" t="s">
        <v>67</v>
      </c>
      <c r="N27" s="58"/>
      <c r="O27" s="108" t="s">
        <v>1</v>
      </c>
      <c r="P27" s="45">
        <f>(($H$10*$I$10)+($H$11*$I$11)+($H$12*$I$12)+($H$13*$I$13)+($H$14*$I$14)+($H$15*$I$15)+($H$19*$I$19*2)+($H$20*$I$20*2)+($H$21*$I$21*2)+($H$22*$I$22*2)+($H$27*$I$27)+($H$28*$I$28*2)-($H$19*2))/1000</f>
        <v>71.906000000000006</v>
      </c>
      <c r="Q27" s="45">
        <f>$J$1*P27</f>
        <v>71.906000000000006</v>
      </c>
      <c r="S27" s="6">
        <f>O32*P32*6*Q32*2.5/1000000</f>
        <v>82.842780000000005</v>
      </c>
      <c r="W27" s="12" t="s">
        <v>244</v>
      </c>
      <c r="X27" s="11" t="s">
        <v>13</v>
      </c>
      <c r="Y27" s="11">
        <v>0.28499999999999998</v>
      </c>
      <c r="AB27" s="108">
        <v>5</v>
      </c>
      <c r="AC27" s="46" t="s">
        <v>211</v>
      </c>
      <c r="AD27" s="108" t="s">
        <v>47</v>
      </c>
      <c r="AE27" s="108">
        <v>1.466</v>
      </c>
      <c r="AF27" s="108">
        <f>2*AB27</f>
        <v>10</v>
      </c>
      <c r="AG27" s="59" t="s">
        <v>223</v>
      </c>
      <c r="AH27" s="47">
        <f>($J$5-18-9.5-(8*4)-62)/AB27</f>
        <v>475.7</v>
      </c>
      <c r="AI27" s="108">
        <f t="shared" ref="AI27:AI29" si="11">AF27*$J$1</f>
        <v>10</v>
      </c>
      <c r="AL27" s="108">
        <v>5</v>
      </c>
      <c r="AM27" s="46" t="s">
        <v>212</v>
      </c>
      <c r="AN27" s="108" t="s">
        <v>47</v>
      </c>
      <c r="AO27" s="108">
        <v>1.466</v>
      </c>
      <c r="AP27" s="108">
        <f>2*AL27</f>
        <v>10</v>
      </c>
      <c r="AQ27" s="59" t="s">
        <v>188</v>
      </c>
      <c r="AR27" s="47">
        <f>($J$5-18-9.5-(8*4)-77)/AL27</f>
        <v>472.7</v>
      </c>
      <c r="AS27" s="108">
        <f t="shared" si="10"/>
        <v>10</v>
      </c>
    </row>
    <row r="28" spans="1:45" ht="34.950000000000003" customHeight="1" x14ac:dyDescent="0.25">
      <c r="A28" s="25">
        <v>9</v>
      </c>
      <c r="B28" s="26" t="s">
        <v>179</v>
      </c>
      <c r="C28" s="84"/>
      <c r="D28" s="25" t="s">
        <v>180</v>
      </c>
      <c r="E28" s="25">
        <v>1.03</v>
      </c>
      <c r="F28" s="25">
        <v>1</v>
      </c>
      <c r="G28" s="132" t="s">
        <v>256</v>
      </c>
      <c r="H28" s="27">
        <f>$H$19+4</f>
        <v>2910</v>
      </c>
      <c r="I28" s="25">
        <f>F28*$J$1</f>
        <v>1</v>
      </c>
      <c r="J28" s="25">
        <f>ROUNDUP((H28*I28)/6400,0)</f>
        <v>1</v>
      </c>
      <c r="K28" s="28"/>
      <c r="L28" s="108">
        <v>23</v>
      </c>
      <c r="M28" s="43" t="s">
        <v>65</v>
      </c>
      <c r="N28" s="58"/>
      <c r="O28" s="108" t="s">
        <v>1</v>
      </c>
      <c r="P28" s="45">
        <f>((($D$32+$E$32)*2)*$F$32/1000)+(($O$32+$P$32)*2)*$Q$32/1000</f>
        <v>36.511000000000003</v>
      </c>
      <c r="Q28" s="45">
        <f t="shared" ref="Q28:Q29" si="12">$J$1*P28</f>
        <v>36.511000000000003</v>
      </c>
      <c r="S28" s="18">
        <f>SUM(S16:S27)</f>
        <v>113.099616</v>
      </c>
      <c r="W28" s="12" t="s">
        <v>245</v>
      </c>
      <c r="X28" s="11" t="s">
        <v>55</v>
      </c>
      <c r="Y28" s="11">
        <v>0.252</v>
      </c>
      <c r="AB28" s="108">
        <v>7</v>
      </c>
      <c r="AC28" s="46" t="s">
        <v>211</v>
      </c>
      <c r="AD28" s="108" t="s">
        <v>47</v>
      </c>
      <c r="AE28" s="108">
        <v>1.466</v>
      </c>
      <c r="AF28" s="108">
        <f>2*AB28</f>
        <v>14</v>
      </c>
      <c r="AG28" s="59" t="s">
        <v>224</v>
      </c>
      <c r="AH28" s="47">
        <f>($J$5-18-9.5-(8*6)-62)/AB28</f>
        <v>337.5</v>
      </c>
      <c r="AI28" s="108">
        <f t="shared" si="11"/>
        <v>14</v>
      </c>
      <c r="AL28" s="108">
        <v>7</v>
      </c>
      <c r="AM28" s="46" t="s">
        <v>212</v>
      </c>
      <c r="AN28" s="108" t="s">
        <v>47</v>
      </c>
      <c r="AO28" s="108">
        <v>1.466</v>
      </c>
      <c r="AP28" s="108">
        <f>2*AL28</f>
        <v>14</v>
      </c>
      <c r="AQ28" s="59" t="s">
        <v>189</v>
      </c>
      <c r="AR28" s="47">
        <f>($J$5-18-9.5-(8*6)-77)/AL28</f>
        <v>335.35714285714283</v>
      </c>
      <c r="AS28" s="108">
        <f t="shared" si="10"/>
        <v>14</v>
      </c>
    </row>
    <row r="29" spans="1:45" ht="34.950000000000003" customHeight="1" x14ac:dyDescent="0.25">
      <c r="A29" s="95"/>
      <c r="B29" s="96"/>
      <c r="C29" s="96"/>
      <c r="D29" s="95"/>
      <c r="E29" s="95"/>
      <c r="F29" s="95"/>
      <c r="G29" s="95"/>
      <c r="H29" s="97"/>
      <c r="I29" s="95"/>
      <c r="J29" s="95"/>
      <c r="K29" s="28"/>
      <c r="L29" s="108">
        <v>24</v>
      </c>
      <c r="M29" s="43" t="s">
        <v>66</v>
      </c>
      <c r="N29" s="58"/>
      <c r="O29" s="108" t="s">
        <v>1</v>
      </c>
      <c r="P29" s="45">
        <f>(($O$32+$P$32)*2)*$Q$32/1000</f>
        <v>20.635000000000002</v>
      </c>
      <c r="Q29" s="45">
        <f t="shared" si="12"/>
        <v>20.635000000000002</v>
      </c>
      <c r="W29" s="12" t="s">
        <v>246</v>
      </c>
      <c r="X29" s="11" t="s">
        <v>55</v>
      </c>
      <c r="Y29" s="11">
        <v>0.252</v>
      </c>
      <c r="AB29" s="108">
        <v>9</v>
      </c>
      <c r="AC29" s="46" t="s">
        <v>211</v>
      </c>
      <c r="AD29" s="108" t="s">
        <v>47</v>
      </c>
      <c r="AE29" s="108">
        <v>1.466</v>
      </c>
      <c r="AF29" s="108">
        <f>2*AB29</f>
        <v>18</v>
      </c>
      <c r="AG29" s="59" t="s">
        <v>225</v>
      </c>
      <c r="AH29" s="47">
        <f>($J$5-18-9.5-(8*8)-62)/AB29</f>
        <v>260.72222222222223</v>
      </c>
      <c r="AI29" s="108">
        <f t="shared" si="11"/>
        <v>18</v>
      </c>
      <c r="AL29" s="108">
        <v>9</v>
      </c>
      <c r="AM29" s="46" t="s">
        <v>212</v>
      </c>
      <c r="AN29" s="108" t="s">
        <v>47</v>
      </c>
      <c r="AO29" s="108">
        <v>1.466</v>
      </c>
      <c r="AP29" s="108">
        <f>2*AL29</f>
        <v>18</v>
      </c>
      <c r="AQ29" s="59" t="s">
        <v>190</v>
      </c>
      <c r="AR29" s="47">
        <f>($J$5-18-9.5-(8*8)-77)/AL29</f>
        <v>259.05555555555554</v>
      </c>
      <c r="AS29" s="108">
        <f t="shared" si="10"/>
        <v>18</v>
      </c>
    </row>
    <row r="30" spans="1:45" ht="34.950000000000003" customHeight="1" x14ac:dyDescent="0.25">
      <c r="A30" s="31"/>
      <c r="B30" s="107" t="s">
        <v>219</v>
      </c>
      <c r="C30" s="70" t="s">
        <v>114</v>
      </c>
      <c r="D30" s="154" t="s">
        <v>39</v>
      </c>
      <c r="E30" s="154"/>
      <c r="F30" s="154"/>
      <c r="G30" s="31"/>
      <c r="H30" s="34"/>
      <c r="I30" s="33"/>
      <c r="J30" s="33"/>
      <c r="K30" s="28"/>
      <c r="L30" s="28"/>
      <c r="M30" s="107" t="s">
        <v>220</v>
      </c>
      <c r="N30" s="70" t="s">
        <v>114</v>
      </c>
      <c r="O30" s="154" t="s">
        <v>39</v>
      </c>
      <c r="P30" s="154"/>
      <c r="Q30" s="154"/>
      <c r="W30" s="12" t="s">
        <v>247</v>
      </c>
      <c r="X30" s="11" t="s">
        <v>62</v>
      </c>
      <c r="Y30" s="11">
        <v>0.22</v>
      </c>
    </row>
    <row r="31" spans="1:45" ht="34.950000000000003" customHeight="1" x14ac:dyDescent="0.25">
      <c r="A31" s="28"/>
      <c r="B31" s="35"/>
      <c r="C31" s="71">
        <f>((($E$19*$F$20*$H$20/1000)+($E$19*$F$22*$H$22/1000)+($E$23*$F$24*$H$24/1000)+($E$23*$F$26*$H$26/1000))+($D$32*$E$32*$E$6*2.5*$F$32/1000000))/$F$32</f>
        <v>-5.4131999999999998</v>
      </c>
      <c r="D31" s="39" t="s">
        <v>40</v>
      </c>
      <c r="E31" s="39" t="s">
        <v>41</v>
      </c>
      <c r="F31" s="40" t="s">
        <v>20</v>
      </c>
      <c r="G31" s="36"/>
      <c r="H31" s="38"/>
      <c r="I31" s="33"/>
      <c r="J31" s="33"/>
      <c r="K31" s="28"/>
      <c r="L31" s="28"/>
      <c r="M31" s="28"/>
      <c r="N31" s="71">
        <f>((($H$19*$F$19*$E$19/1000)+($H$21*$F$21*$E$19/1000)+($H$23*$F$23*$E$23/1000)+($H$25*$F$25*$E$23/1000))+($O$32*$P$32*$E$6*2.5*$Q$32/1000000))/$Q$32</f>
        <v>40.40914166666667</v>
      </c>
      <c r="O31" s="39" t="s">
        <v>40</v>
      </c>
      <c r="P31" s="39" t="s">
        <v>41</v>
      </c>
      <c r="Q31" s="40" t="s">
        <v>20</v>
      </c>
      <c r="W31" s="12" t="s">
        <v>248</v>
      </c>
      <c r="X31" s="11" t="s">
        <v>62</v>
      </c>
      <c r="Y31" s="11">
        <v>0.22</v>
      </c>
    </row>
    <row r="32" spans="1:45" ht="34.950000000000003" customHeight="1" x14ac:dyDescent="0.25">
      <c r="A32" s="28"/>
      <c r="B32" s="35"/>
      <c r="C32" s="72">
        <f>$N$31*$F$32</f>
        <v>121.22742500000001</v>
      </c>
      <c r="D32" s="41">
        <f>$H$20-130</f>
        <v>2776</v>
      </c>
      <c r="E32" s="41">
        <f>$H$22-130</f>
        <v>-130</v>
      </c>
      <c r="F32" s="41">
        <f>$I$7*$J$1</f>
        <v>3</v>
      </c>
      <c r="G32" s="36"/>
      <c r="H32" s="38"/>
      <c r="I32" s="33"/>
      <c r="J32" s="33"/>
      <c r="K32" s="28"/>
      <c r="L32" s="28"/>
      <c r="M32" s="28"/>
      <c r="N32" s="72">
        <f>$N$31*$Q$32</f>
        <v>121.22742500000001</v>
      </c>
      <c r="O32" s="41">
        <f>$H$19-130</f>
        <v>2776</v>
      </c>
      <c r="P32" s="41">
        <f>$H$21-130</f>
        <v>663.16666666666663</v>
      </c>
      <c r="Q32" s="41">
        <f>$I$5*$J$1</f>
        <v>3</v>
      </c>
      <c r="W32" s="81" t="s">
        <v>220</v>
      </c>
    </row>
    <row r="33" spans="1:25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W33" s="12" t="s">
        <v>237</v>
      </c>
      <c r="X33" s="11" t="s">
        <v>13</v>
      </c>
      <c r="Y33" s="11">
        <v>0.28499999999999998</v>
      </c>
    </row>
    <row r="34" spans="1:25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W34" s="12" t="s">
        <v>238</v>
      </c>
      <c r="X34" s="11" t="s">
        <v>13</v>
      </c>
      <c r="Y34" s="11">
        <v>0.28499999999999998</v>
      </c>
    </row>
    <row r="35" spans="1:25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  <c r="W35" s="12" t="s">
        <v>239</v>
      </c>
      <c r="X35" s="11" t="s">
        <v>55</v>
      </c>
      <c r="Y35" s="11">
        <v>0.252</v>
      </c>
    </row>
    <row r="36" spans="1:25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  <c r="W36" s="12" t="s">
        <v>240</v>
      </c>
      <c r="X36" s="11" t="s">
        <v>55</v>
      </c>
      <c r="Y36" s="11">
        <v>0.252</v>
      </c>
    </row>
    <row r="37" spans="1:25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  <c r="W37" s="12" t="s">
        <v>241</v>
      </c>
      <c r="X37" s="11" t="s">
        <v>62</v>
      </c>
      <c r="Y37" s="11">
        <v>0.22</v>
      </c>
    </row>
    <row r="38" spans="1:25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  <c r="W38" s="12" t="s">
        <v>242</v>
      </c>
      <c r="X38" s="11" t="s">
        <v>62</v>
      </c>
      <c r="Y38" s="11">
        <v>0.22</v>
      </c>
    </row>
    <row r="39" spans="1:25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25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25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25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25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25" ht="34.950000000000003" customHeight="1" x14ac:dyDescent="0.25">
      <c r="G44" s="6"/>
    </row>
  </sheetData>
  <sheetProtection sheet="1" objects="1" scenarios="1" formatCells="0" formatColumns="0"/>
  <dataConsolidate/>
  <mergeCells count="34">
    <mergeCell ref="A10:A11"/>
    <mergeCell ref="C10:C11"/>
    <mergeCell ref="D10:D11"/>
    <mergeCell ref="E10:E11"/>
    <mergeCell ref="J10:J11"/>
    <mergeCell ref="C2:F2"/>
    <mergeCell ref="E5:F5"/>
    <mergeCell ref="E6:F6"/>
    <mergeCell ref="A8:J8"/>
    <mergeCell ref="L8:Q8"/>
    <mergeCell ref="A16:A18"/>
    <mergeCell ref="C16:C18"/>
    <mergeCell ref="D16:D18"/>
    <mergeCell ref="E16:E18"/>
    <mergeCell ref="J16:J18"/>
    <mergeCell ref="A12:A13"/>
    <mergeCell ref="C12:C13"/>
    <mergeCell ref="D12:D13"/>
    <mergeCell ref="E12:E13"/>
    <mergeCell ref="J12:J13"/>
    <mergeCell ref="A19:A22"/>
    <mergeCell ref="C19:C20"/>
    <mergeCell ref="D19:D22"/>
    <mergeCell ref="E19:E22"/>
    <mergeCell ref="J19:J22"/>
    <mergeCell ref="C21:C22"/>
    <mergeCell ref="D30:F30"/>
    <mergeCell ref="O30:Q30"/>
    <mergeCell ref="A23:A26"/>
    <mergeCell ref="C23:C24"/>
    <mergeCell ref="D23:D26"/>
    <mergeCell ref="E23:E26"/>
    <mergeCell ref="J23:J26"/>
    <mergeCell ref="C25:C26"/>
  </mergeCells>
  <conditionalFormatting sqref="N31">
    <cfRule type="cellIs" dxfId="937" priority="3" operator="greaterThanOrEqual">
      <formula>45.5</formula>
    </cfRule>
    <cfRule type="cellIs" dxfId="936" priority="4" operator="greaterThanOrEqual">
      <formula>40</formula>
    </cfRule>
  </conditionalFormatting>
  <conditionalFormatting sqref="M28:Q29 P26:Q26">
    <cfRule type="expression" dxfId="935" priority="5">
      <formula>$E$6=33</formula>
    </cfRule>
    <cfRule type="expression" dxfId="934" priority="6">
      <formula>$E$6=20</formula>
    </cfRule>
    <cfRule type="expression" dxfId="933" priority="7">
      <formula>$E$6=18</formula>
    </cfRule>
    <cfRule type="expression" dxfId="932" priority="8">
      <formula>$E$6=12</formula>
    </cfRule>
    <cfRule type="expression" dxfId="931" priority="9">
      <formula>$E$6=10</formula>
    </cfRule>
  </conditionalFormatting>
  <conditionalFormatting sqref="C31">
    <cfRule type="cellIs" dxfId="930" priority="1" operator="greaterThanOrEqual">
      <formula>50.5</formula>
    </cfRule>
    <cfRule type="cellIs" dxfId="929" priority="2" operator="greaterThanOrEqual">
      <formula>45</formula>
    </cfRule>
  </conditionalFormatting>
  <dataValidations count="3">
    <dataValidation type="list" allowBlank="1" showInputMessage="1" showErrorMessage="1" sqref="I5 I7">
      <formula1>"1,3,5,7,9"</formula1>
    </dataValidation>
    <dataValidation type="list" allowBlank="1" showInputMessage="1" showErrorMessage="1" sqref="D6">
      <formula1>"ขาว,ดำ"</formula1>
    </dataValidation>
    <dataValidation type="list" allowBlank="1" showInputMessage="1" showErrorMessage="1" sqref="E6">
      <formula1>"5,6,8,10,12,14,16,18,20,29,30,33"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</sheetPr>
  <dimension ref="A1:AE37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2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1900</v>
      </c>
      <c r="J3" s="52">
        <v>4000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1864</v>
      </c>
      <c r="I6" s="25">
        <f>F6*$J$1</f>
        <v>2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1864</v>
      </c>
      <c r="I7" s="25">
        <f t="shared" ref="I7:I17" si="0">F7*$J$1</f>
        <v>2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IF($J$3&lt;=2700,7,10)</f>
        <v>10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4000</v>
      </c>
      <c r="I8" s="42">
        <f t="shared" si="0"/>
        <v>4</v>
      </c>
      <c r="J8" s="42">
        <f t="shared" si="1"/>
        <v>3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3880</v>
      </c>
      <c r="I9" s="42">
        <f t="shared" si="0"/>
        <v>4</v>
      </c>
      <c r="J9" s="42">
        <f t="shared" si="1"/>
        <v>3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3880</v>
      </c>
      <c r="I10" s="25">
        <f t="shared" si="0"/>
        <v>4</v>
      </c>
      <c r="J10" s="151">
        <f>ROUNDUP(((H10*I10)+(H11*I11))/6400,0)</f>
        <v>4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1860</v>
      </c>
      <c r="I11" s="25">
        <f t="shared" si="0"/>
        <v>4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4</v>
      </c>
      <c r="G12" s="42" t="s">
        <v>257</v>
      </c>
      <c r="H12" s="47">
        <f>$J$3-55-7-7-25</f>
        <v>3906</v>
      </c>
      <c r="I12" s="42">
        <f t="shared" si="0"/>
        <v>8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4</v>
      </c>
      <c r="R12" s="13">
        <v>73</v>
      </c>
      <c r="S12" s="6">
        <f>((H12*I12)/1000)*E12</f>
        <v>45.809567999999999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4</v>
      </c>
      <c r="G13" s="42" t="s">
        <v>73</v>
      </c>
      <c r="H13" s="47">
        <f>($I$3-18-9.5-(8*1)-50-18)/2</f>
        <v>898.25</v>
      </c>
      <c r="I13" s="42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8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3906</v>
      </c>
      <c r="I14" s="25">
        <f t="shared" si="0"/>
        <v>2</v>
      </c>
      <c r="J14" s="25">
        <f t="shared" si="1"/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24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3920</v>
      </c>
      <c r="I15" s="25">
        <f t="shared" si="0"/>
        <v>2</v>
      </c>
      <c r="J15" s="25">
        <f t="shared" si="1"/>
        <v>2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(($H$6*$I$6)+($H$7*$I$7)+($H$8*1)+($H$9*$I$9)+($H$12*$I$12*2)+($H$14*$I$13*2)+($H$13*3)+($H$15*$I$15))/1000</f>
        <v>162.50274999999999</v>
      </c>
      <c r="Q15" s="45">
        <f>$J$1*P15</f>
        <v>325.00549999999998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4</v>
      </c>
      <c r="G16" s="42" t="s">
        <v>19</v>
      </c>
      <c r="H16" s="47">
        <f>$H$12-80-80</f>
        <v>3746</v>
      </c>
      <c r="I16" s="42">
        <f t="shared" si="0"/>
        <v>8</v>
      </c>
      <c r="J16" s="159">
        <f>ROUNDUP(((H16*I16)+(H17*I17))/6400,0)</f>
        <v>6</v>
      </c>
      <c r="K16" s="28"/>
      <c r="L16" s="42">
        <v>15</v>
      </c>
      <c r="M16" s="43" t="s">
        <v>75</v>
      </c>
      <c r="N16" s="44"/>
      <c r="O16" s="42" t="s">
        <v>1</v>
      </c>
      <c r="P16" s="45">
        <f>(($H$14*2)+($H$15*2))/1000</f>
        <v>15.651999999999999</v>
      </c>
      <c r="Q16" s="45">
        <f>$J$1*P16</f>
        <v>31.303999999999998</v>
      </c>
      <c r="S16" s="6">
        <f>((H16*I16)/1000)*E16</f>
        <v>8.5408799999999996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42">
        <v>4</v>
      </c>
      <c r="G17" s="42" t="s">
        <v>56</v>
      </c>
      <c r="H17" s="47">
        <f>$H$13-60-60</f>
        <v>778.25</v>
      </c>
      <c r="I17" s="42">
        <f t="shared" si="0"/>
        <v>8</v>
      </c>
      <c r="J17" s="160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36.353999999999999</v>
      </c>
      <c r="Q17" s="45">
        <f t="shared" ref="Q17:Q18" si="4">$J$1*P17</f>
        <v>72.707999999999998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36.353999999999999</v>
      </c>
      <c r="Q18" s="45">
        <f t="shared" si="4"/>
        <v>72.707999999999998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O25*P25*$H$3*Q25*2.5/1000000</f>
        <v>174.05472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228.405168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22" t="s">
        <v>115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((($H$12*$F$12*$E$12/1000)+($H$13*$F$13*$E$13/1000)+($H$16*$F$16*$E$16/1000)+($H$17*$F$17*$E$17/1000))+($O$25*$P$25*$H$3*2.5*2/1000000))/2</f>
        <v>57.101292000000001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$N$24*2</f>
        <v>114.202584</v>
      </c>
      <c r="O25" s="41">
        <f>$H$12-130</f>
        <v>3776</v>
      </c>
      <c r="P25" s="41">
        <f>$H$13-130</f>
        <v>768.25</v>
      </c>
      <c r="Q25" s="41">
        <f>2*$J$1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C2:F2"/>
    <mergeCell ref="O23:Q23"/>
    <mergeCell ref="A4:J4"/>
    <mergeCell ref="L4:Q4"/>
    <mergeCell ref="J10:J11"/>
    <mergeCell ref="J12:J13"/>
    <mergeCell ref="J16:J17"/>
    <mergeCell ref="E10:E11"/>
    <mergeCell ref="D10:D11"/>
    <mergeCell ref="C10:C11"/>
    <mergeCell ref="D12:D13"/>
    <mergeCell ref="E12:E13"/>
    <mergeCell ref="C12:C13"/>
    <mergeCell ref="D16:D17"/>
    <mergeCell ref="E16:E17"/>
    <mergeCell ref="C16:C17"/>
  </mergeCells>
  <conditionalFormatting sqref="L17:Q18">
    <cfRule type="expression" dxfId="928" priority="3">
      <formula>$H$3=33</formula>
    </cfRule>
    <cfRule type="expression" dxfId="927" priority="4">
      <formula>$H$3=20</formula>
    </cfRule>
    <cfRule type="expression" dxfId="926" priority="5">
      <formula>$H$3=18</formula>
    </cfRule>
    <cfRule type="expression" dxfId="925" priority="6">
      <formula>$H$3=12</formula>
    </cfRule>
    <cfRule type="expression" dxfId="924" priority="7">
      <formula>$H$3=10</formula>
    </cfRule>
  </conditionalFormatting>
  <conditionalFormatting sqref="N24">
    <cfRule type="cellIs" dxfId="923" priority="1" operator="greaterThanOrEqual">
      <formula>90.5</formula>
    </cfRule>
    <cfRule type="cellIs" dxfId="922" priority="2" operator="greaterThanOrEqual">
      <formula>80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 tint="-0.249977111117893"/>
  </sheetPr>
  <dimension ref="A1:AE40"/>
  <sheetViews>
    <sheetView view="pageBreakPreview" zoomScale="70" zoomScaleNormal="55" zoomScaleSheetLayoutView="70" workbookViewId="0">
      <selection activeCell="A4" sqref="A4:J4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30</v>
      </c>
    </row>
    <row r="2" spans="1:25" ht="19.95" customHeight="1" x14ac:dyDescent="0.35">
      <c r="A2" s="7"/>
      <c r="C2" s="157" t="s">
        <v>267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850</v>
      </c>
      <c r="J3" s="52">
        <v>700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814</v>
      </c>
      <c r="I6" s="25">
        <f>F6*$J$1</f>
        <v>30</v>
      </c>
      <c r="J6" s="25">
        <f>ROUNDUP((H6*I6)/6400,0)</f>
        <v>4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30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814</v>
      </c>
      <c r="I7" s="25">
        <f t="shared" ref="I7:I14" si="0">F7*$J$1</f>
        <v>30</v>
      </c>
      <c r="J7" s="25">
        <f t="shared" ref="J7:J14" si="1">ROUNDUP((H7*I7)/6400,0)</f>
        <v>4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IF($J$3&lt;=2500,7,IF($J$3&lt;=3000,10,13))</f>
        <v>7</v>
      </c>
      <c r="Q7" s="25">
        <f t="shared" ref="Q7:Q13" si="3">$J$1*P7</f>
        <v>210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700</v>
      </c>
      <c r="I8" s="42">
        <f t="shared" si="0"/>
        <v>60</v>
      </c>
      <c r="J8" s="42">
        <f t="shared" si="1"/>
        <v>7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30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580</v>
      </c>
      <c r="I9" s="42">
        <f t="shared" si="0"/>
        <v>60</v>
      </c>
      <c r="J9" s="42">
        <f t="shared" si="1"/>
        <v>6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30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580</v>
      </c>
      <c r="I10" s="25">
        <f t="shared" si="0"/>
        <v>60</v>
      </c>
      <c r="J10" s="151">
        <f>ROUNDUP(((H10*I10)+(H11*I11))/6400,0)</f>
        <v>14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30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810</v>
      </c>
      <c r="I11" s="25">
        <f t="shared" si="0"/>
        <v>60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30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6</v>
      </c>
      <c r="G12" s="42" t="s">
        <v>257</v>
      </c>
      <c r="H12" s="47">
        <f>$J$3-55-7-7-25</f>
        <v>606</v>
      </c>
      <c r="I12" s="42">
        <f t="shared" si="0"/>
        <v>180</v>
      </c>
      <c r="J12" s="159">
        <f>ROUNDUP(((H12*I12)+(H13*I13))/6400,0)</f>
        <v>25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60</v>
      </c>
      <c r="R12" s="13">
        <v>73</v>
      </c>
      <c r="S12" s="6">
        <f>((H12*I12)/1000)*E12</f>
        <v>159.91128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6</v>
      </c>
      <c r="G13" s="42" t="s">
        <v>81</v>
      </c>
      <c r="H13" s="47">
        <f>($I$3-18-9.5-(8*2)-18-18)/3</f>
        <v>256.83333333333331</v>
      </c>
      <c r="I13" s="42">
        <f t="shared" si="0"/>
        <v>180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12</v>
      </c>
      <c r="Q13" s="25">
        <f t="shared" si="3"/>
        <v>360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606</v>
      </c>
      <c r="I14" s="25">
        <f t="shared" si="0"/>
        <v>30</v>
      </c>
      <c r="J14" s="25">
        <f t="shared" si="1"/>
        <v>3</v>
      </c>
      <c r="K14" s="28"/>
      <c r="L14" s="25">
        <v>13</v>
      </c>
      <c r="M14" s="29" t="s">
        <v>36</v>
      </c>
      <c r="N14" s="30"/>
      <c r="O14" s="25" t="s">
        <v>1</v>
      </c>
      <c r="P14" s="25">
        <v>36</v>
      </c>
      <c r="Q14" s="25">
        <f>$J$1*P14</f>
        <v>1080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6</v>
      </c>
      <c r="G15" s="42" t="s">
        <v>19</v>
      </c>
      <c r="H15" s="47">
        <f>$H$12-80-80</f>
        <v>446</v>
      </c>
      <c r="I15" s="42">
        <f>F15*$J$1</f>
        <v>180</v>
      </c>
      <c r="J15" s="159">
        <f>ROUNDUP(((H15*I15)+(H16*I16))/6400,0)</f>
        <v>17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30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6</v>
      </c>
      <c r="G16" s="42" t="s">
        <v>56</v>
      </c>
      <c r="H16" s="47">
        <f>$H$13-60-60</f>
        <v>136.83333333333331</v>
      </c>
      <c r="I16" s="42">
        <f>F16*$J$1</f>
        <v>180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30</v>
      </c>
      <c r="S16" s="6">
        <f>((H15*I15)/1000)*E15</f>
        <v>22.879799999999999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30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30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3</v>
      </c>
      <c r="Q19" s="25">
        <f>$J$1*P19</f>
        <v>90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90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0.6</v>
      </c>
      <c r="Q21" s="69">
        <f t="shared" ref="Q21" si="6">$J$1*P21</f>
        <v>18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(($H$6*$I$6)+($H$7*$I$7)+($H$8*1)+($H$9*$I$9)+($H$12*$I$12*2)+($H$13*$I$13)+($H$14*$I$14)-($H$12*2))/1000</f>
        <v>365.69799999999998</v>
      </c>
      <c r="Q22" s="45">
        <f>$J$1*P22</f>
        <v>10970.939999999999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108.50999999999999</v>
      </c>
      <c r="Q23" s="45">
        <f t="shared" ref="Q23:Q24" si="7">$J$1*P23</f>
        <v>3255.2999999999997</v>
      </c>
      <c r="S23" s="6">
        <f>O28*P28*6*Q28*2.5/1000000</f>
        <v>81.503099999999989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108.50999999999999</v>
      </c>
      <c r="Q24" s="45">
        <f t="shared" si="7"/>
        <v>3255.2999999999997</v>
      </c>
      <c r="S24" s="18">
        <f>SUM(S12:S23)</f>
        <v>264.29417999999998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((($H$12*$F$12*$E$12/1000)+($H$13*$F$13*$E$13/1000)+($H$15*$F$15*$E$15/1000)+($H$16*$F$16*$E$16/1000))+($O$28*$P$28*$H$3*2.5*3/1000000))/3</f>
        <v>2.9366020000000002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$N$27*3</f>
        <v>8.809806</v>
      </c>
      <c r="O28" s="41">
        <f>$H$12-130</f>
        <v>476</v>
      </c>
      <c r="P28" s="41">
        <f>$H$13-130</f>
        <v>126.83333333333331</v>
      </c>
      <c r="Q28" s="41">
        <f>3*$J$1</f>
        <v>90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M23:Q24">
    <cfRule type="expression" dxfId="921" priority="13">
      <formula>$H$3=33</formula>
    </cfRule>
    <cfRule type="expression" dxfId="920" priority="14">
      <formula>$H$3=20</formula>
    </cfRule>
    <cfRule type="expression" dxfId="919" priority="15">
      <formula>$H$3=18</formula>
    </cfRule>
    <cfRule type="expression" dxfId="918" priority="16">
      <formula>$H$3=12</formula>
    </cfRule>
    <cfRule type="expression" dxfId="917" priority="17">
      <formula>$H$3=10</formula>
    </cfRule>
  </conditionalFormatting>
  <conditionalFormatting sqref="P21">
    <cfRule type="expression" dxfId="916" priority="8">
      <formula>$H$3=33</formula>
    </cfRule>
    <cfRule type="expression" dxfId="915" priority="9">
      <formula>$H$3=20</formula>
    </cfRule>
    <cfRule type="expression" dxfId="914" priority="10">
      <formula>$H$3=18</formula>
    </cfRule>
    <cfRule type="expression" dxfId="913" priority="11">
      <formula>$H$3=12</formula>
    </cfRule>
    <cfRule type="expression" dxfId="912" priority="12">
      <formula>$H$3=10</formula>
    </cfRule>
  </conditionalFormatting>
  <conditionalFormatting sqref="Q21">
    <cfRule type="expression" dxfId="911" priority="3">
      <formula>$H$3=33</formula>
    </cfRule>
    <cfRule type="expression" dxfId="910" priority="4">
      <formula>$H$3=20</formula>
    </cfRule>
    <cfRule type="expression" dxfId="909" priority="5">
      <formula>$H$3=18</formula>
    </cfRule>
    <cfRule type="expression" dxfId="908" priority="6">
      <formula>$H$3=12</formula>
    </cfRule>
    <cfRule type="expression" dxfId="907" priority="7">
      <formula>$H$3=10</formula>
    </cfRule>
  </conditionalFormatting>
  <conditionalFormatting sqref="N27">
    <cfRule type="cellIs" dxfId="906" priority="1" operator="greaterThanOrEqual">
      <formula>45</formula>
    </cfRule>
    <cfRule type="cellIs" dxfId="905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8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2400</v>
      </c>
      <c r="J3" s="52">
        <v>4000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1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2364</v>
      </c>
      <c r="I7" s="25">
        <f t="shared" ref="I7:I14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IF($J$3&lt;=2700,9,12)</f>
        <v>12</v>
      </c>
      <c r="Q7" s="25">
        <f t="shared" ref="Q7:Q13" si="3">$J$1*P7</f>
        <v>12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4000</v>
      </c>
      <c r="I8" s="42">
        <f t="shared" si="0"/>
        <v>2</v>
      </c>
      <c r="J8" s="42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1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3880</v>
      </c>
      <c r="I9" s="42">
        <f t="shared" si="0"/>
        <v>2</v>
      </c>
      <c r="J9" s="42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1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3880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1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2360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1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6</v>
      </c>
      <c r="G12" s="135" t="s">
        <v>257</v>
      </c>
      <c r="H12" s="47">
        <f>$J$3-55-7-7-25</f>
        <v>3906</v>
      </c>
      <c r="I12" s="42">
        <f t="shared" si="0"/>
        <v>6</v>
      </c>
      <c r="J12" s="159">
        <f>ROUNDUP(((H12*I12)+(H13*I13))/6400,0)</f>
        <v>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2</v>
      </c>
      <c r="R12" s="13">
        <v>73</v>
      </c>
      <c r="S12" s="6">
        <f>((H12*I12)/1000)*E12</f>
        <v>34.357176000000003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6</v>
      </c>
      <c r="G13" s="59" t="s">
        <v>91</v>
      </c>
      <c r="H13" s="47">
        <f>($I$3-18-9.5-(8*1)-58-9.5-18)/3</f>
        <v>759.66666666666663</v>
      </c>
      <c r="I13" s="42">
        <f t="shared" si="0"/>
        <v>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12</v>
      </c>
      <c r="Q13" s="25">
        <f t="shared" si="3"/>
        <v>12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3906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36</v>
      </c>
      <c r="Q14" s="25">
        <f>$J$1*P14</f>
        <v>36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3906</v>
      </c>
      <c r="I15" s="25">
        <f t="shared" ref="I15" si="4">F15*$J$1</f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5">IF($G$3="ขาว","ขาว","ดำ")</f>
        <v>ดำ</v>
      </c>
      <c r="P15" s="25">
        <v>1</v>
      </c>
      <c r="Q15" s="25">
        <f t="shared" ref="Q15:Q18" si="6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6</v>
      </c>
      <c r="G16" s="42" t="s">
        <v>19</v>
      </c>
      <c r="H16" s="47">
        <f>$H$12-80-80</f>
        <v>3746</v>
      </c>
      <c r="I16" s="42">
        <f>F16*$J$1</f>
        <v>6</v>
      </c>
      <c r="J16" s="159">
        <f>ROUNDUP(((H16*I16)+(H17*I17))/6400,0)</f>
        <v>5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6"/>
        <v>1</v>
      </c>
      <c r="S16" s="6">
        <f>((H16*I16)/1000)*E16</f>
        <v>6.4056599999999992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6</v>
      </c>
      <c r="G17" s="42" t="s">
        <v>56</v>
      </c>
      <c r="H17" s="47">
        <f>$H$13-60-60</f>
        <v>639.66666666666663</v>
      </c>
      <c r="I17" s="42">
        <f>F17*$J$1</f>
        <v>6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6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6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7">IF($G$3="ขาว","ขาว","ดำ")</f>
        <v>ดำ</v>
      </c>
      <c r="P19" s="25">
        <v>2</v>
      </c>
      <c r="Q19" s="25">
        <f t="shared" ref="Q19" si="8"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3.9</v>
      </c>
      <c r="Q22" s="69">
        <f t="shared" ref="Q22" si="9">$J$1*P22</f>
        <v>3.9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(($H$6*$I$6)+($H$7*$I$7)+($H$8*1)+($H$9*$I$9)+($H$12*$I$12*2)+($H$13*$I$13)+($H$14*$I$14)+($H$15*3))/1000</f>
        <v>83.542000000000002</v>
      </c>
      <c r="Q23" s="45">
        <f>$J$1*P23</f>
        <v>83.542000000000002</v>
      </c>
      <c r="S23" s="6">
        <f>O28*P28*6*Q28*2.5/1000000</f>
        <v>106.99295999999998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26.434000000000001</v>
      </c>
      <c r="Q24" s="45">
        <f t="shared" ref="Q24:Q25" si="10">$J$1*P24</f>
        <v>26.434000000000001</v>
      </c>
      <c r="S24" s="18">
        <f>SUM(S12:S23)</f>
        <v>147.75579599999998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26.434000000000001</v>
      </c>
      <c r="Q25" s="45">
        <f t="shared" si="10"/>
        <v>26.434000000000001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((($H$12*$F$12*$E$12/1000)+($H$13*$F$13*$E$13/1000)+($H$16*$F$16*$E$16/1000)+($H$17*$F$17*$E$17/1000))+($O$28*$P$28*$H$3*2.5*3/1000000))/3</f>
        <v>49.251931999999989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$N$27*3</f>
        <v>147.75579599999998</v>
      </c>
      <c r="O28" s="41">
        <f>$H$12-130</f>
        <v>3776</v>
      </c>
      <c r="P28" s="41">
        <f>$H$13-130</f>
        <v>629.66666666666663</v>
      </c>
      <c r="Q28" s="41">
        <f>3*$J$1</f>
        <v>3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6:J17"/>
    <mergeCell ref="C16:C17"/>
    <mergeCell ref="D16:D17"/>
    <mergeCell ref="E16:E17"/>
    <mergeCell ref="D12:D13"/>
    <mergeCell ref="E12:E13"/>
    <mergeCell ref="C12:C13"/>
    <mergeCell ref="D10:D11"/>
    <mergeCell ref="E10:E11"/>
    <mergeCell ref="C10:C11"/>
  </mergeCells>
  <conditionalFormatting sqref="M24:Q25">
    <cfRule type="expression" dxfId="904" priority="13">
      <formula>$H$3=33</formula>
    </cfRule>
    <cfRule type="expression" dxfId="903" priority="14">
      <formula>$H$3=20</formula>
    </cfRule>
    <cfRule type="expression" dxfId="902" priority="15">
      <formula>$H$3=18</formula>
    </cfRule>
    <cfRule type="expression" dxfId="901" priority="16">
      <formula>$H$3=12</formula>
    </cfRule>
    <cfRule type="expression" dxfId="900" priority="17">
      <formula>$H$3=10</formula>
    </cfRule>
  </conditionalFormatting>
  <conditionalFormatting sqref="P22">
    <cfRule type="expression" dxfId="899" priority="8">
      <formula>$H$3=33</formula>
    </cfRule>
    <cfRule type="expression" dxfId="898" priority="9">
      <formula>$H$3=20</formula>
    </cfRule>
    <cfRule type="expression" dxfId="897" priority="10">
      <formula>$H$3=18</formula>
    </cfRule>
    <cfRule type="expression" dxfId="896" priority="11">
      <formula>$H$3=12</formula>
    </cfRule>
    <cfRule type="expression" dxfId="895" priority="12">
      <formula>$H$3=10</formula>
    </cfRule>
  </conditionalFormatting>
  <conditionalFormatting sqref="Q22">
    <cfRule type="expression" dxfId="894" priority="3">
      <formula>$H$3=33</formula>
    </cfRule>
    <cfRule type="expression" dxfId="893" priority="4">
      <formula>$H$3=20</formula>
    </cfRule>
    <cfRule type="expression" dxfId="892" priority="5">
      <formula>$H$3=18</formula>
    </cfRule>
    <cfRule type="expression" dxfId="891" priority="6">
      <formula>$H$3=12</formula>
    </cfRule>
    <cfRule type="expression" dxfId="890" priority="7">
      <formula>$H$3=10</formula>
    </cfRule>
  </conditionalFormatting>
  <conditionalFormatting sqref="N27">
    <cfRule type="cellIs" dxfId="889" priority="1" operator="greaterThanOrEqual">
      <formula>90</formula>
    </cfRule>
    <cfRule type="cellIs" dxfId="888" priority="2" operator="greaterThanOrEqual">
      <formula>80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5" tint="-0.249977111117893"/>
  </sheetPr>
  <dimension ref="A1:AE37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2358</v>
      </c>
      <c r="J3" s="52">
        <v>1929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2322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2322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IF($J$3&lt;=2700,11,16)</f>
        <v>11</v>
      </c>
      <c r="Q7" s="25">
        <f t="shared" ref="Q7:Q13" si="3">$J$1*P7</f>
        <v>11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1929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1809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1809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2318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8</v>
      </c>
      <c r="G12" s="42" t="s">
        <v>257</v>
      </c>
      <c r="H12" s="47">
        <f>$J$3-55-7-7-25</f>
        <v>1835</v>
      </c>
      <c r="I12" s="42">
        <f t="shared" si="0"/>
        <v>8</v>
      </c>
      <c r="J12" s="159">
        <f>ROUNDUP(((H12*I12)+(H13*I13))/6400,0)</f>
        <v>3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>$J$1*P12</f>
        <v>4</v>
      </c>
      <c r="R12" s="13">
        <v>73</v>
      </c>
      <c r="S12" s="6">
        <f>((H12*I12)/1000)*E12</f>
        <v>21.520879999999998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8</v>
      </c>
      <c r="G13" s="42" t="s">
        <v>74</v>
      </c>
      <c r="H13" s="47">
        <f>($I$3-18-9.5-(8*3)-50-18)/4</f>
        <v>559.625</v>
      </c>
      <c r="I13" s="42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1835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1849</v>
      </c>
      <c r="I15" s="25">
        <f t="shared" si="0"/>
        <v>1</v>
      </c>
      <c r="J15" s="25">
        <f t="shared" si="1"/>
        <v>1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(($H$6*$I$6)+($H$7*$I$7)+($H$8*1)+($H$9*$I$9)+($H$12*$I$12*2)+($H$14*$I$13*2)+($H$13*3)+($H$15*$I$15))/1000</f>
        <v>72.438874999999996</v>
      </c>
      <c r="Q15" s="45">
        <f>$J$1*P15</f>
        <v>72.438874999999996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8</v>
      </c>
      <c r="G16" s="42" t="s">
        <v>19</v>
      </c>
      <c r="H16" s="47">
        <f>$H$12-80-80</f>
        <v>1675</v>
      </c>
      <c r="I16" s="42">
        <f t="shared" si="0"/>
        <v>8</v>
      </c>
      <c r="J16" s="159">
        <f>ROUNDUP(((H16*I16)+(H17*I17))/6400,0)</f>
        <v>3</v>
      </c>
      <c r="K16" s="28"/>
      <c r="L16" s="42">
        <v>15</v>
      </c>
      <c r="M16" s="43" t="s">
        <v>75</v>
      </c>
      <c r="N16" s="44"/>
      <c r="O16" s="42" t="s">
        <v>1</v>
      </c>
      <c r="P16" s="45">
        <f>(($H$14*2)+($H$15*2))/1000</f>
        <v>7.3680000000000003</v>
      </c>
      <c r="Q16" s="45">
        <f>$J$1*P16</f>
        <v>7.3680000000000003</v>
      </c>
      <c r="S16" s="6">
        <f>((H16*I16)/1000)*E16</f>
        <v>3.819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42">
        <v>8</v>
      </c>
      <c r="G17" s="42" t="s">
        <v>56</v>
      </c>
      <c r="H17" s="47">
        <f>$H$13-60-60</f>
        <v>439.625</v>
      </c>
      <c r="I17" s="42">
        <f t="shared" si="0"/>
        <v>8</v>
      </c>
      <c r="J17" s="160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17.077000000000002</v>
      </c>
      <c r="Q17" s="45">
        <f t="shared" ref="Q17:Q18" si="4">$J$1*P17</f>
        <v>17.077000000000002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17.077000000000002</v>
      </c>
      <c r="Q18" s="45">
        <f t="shared" si="4"/>
        <v>17.077000000000002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43.950637499999999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69.290517499999993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((($H$12*$F$12*$E$12/1000)+($H$13*$F$13*$E$13/1000)+($H$16*$F$16*$E$16/1000)+($H$17*$F$17*$E$17/1000))+($O$25*$P$25*$H$3*2.5*4/1000000))/4</f>
        <v>17.322629374999998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$N$24*4</f>
        <v>69.290517499999993</v>
      </c>
      <c r="O25" s="41">
        <f>$H$12-130</f>
        <v>1705</v>
      </c>
      <c r="P25" s="41">
        <f>$H$13-130</f>
        <v>429.625</v>
      </c>
      <c r="Q25" s="41">
        <f>4*$J$1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formatCells="0" formatColumns="0"/>
  <dataConsolidate/>
  <mergeCells count="16">
    <mergeCell ref="C2:F2"/>
    <mergeCell ref="A4:J4"/>
    <mergeCell ref="L4:Q4"/>
    <mergeCell ref="O23:Q23"/>
    <mergeCell ref="J10:J11"/>
    <mergeCell ref="J12:J13"/>
    <mergeCell ref="J16:J17"/>
    <mergeCell ref="D10:D11"/>
    <mergeCell ref="E10:E11"/>
    <mergeCell ref="D12:D13"/>
    <mergeCell ref="E12:E13"/>
    <mergeCell ref="D16:D17"/>
    <mergeCell ref="E16:E17"/>
    <mergeCell ref="C16:C17"/>
    <mergeCell ref="C12:C13"/>
    <mergeCell ref="C10:C11"/>
  </mergeCells>
  <conditionalFormatting sqref="L17:Q18">
    <cfRule type="expression" dxfId="887" priority="3">
      <formula>$H$3=33</formula>
    </cfRule>
    <cfRule type="expression" dxfId="886" priority="4">
      <formula>$H$3=20</formula>
    </cfRule>
    <cfRule type="expression" dxfId="885" priority="5">
      <formula>$H$3=18</formula>
    </cfRule>
    <cfRule type="expression" dxfId="884" priority="6">
      <formula>$H$3=12</formula>
    </cfRule>
    <cfRule type="expression" dxfId="883" priority="7">
      <formula>$H$3=10</formula>
    </cfRule>
  </conditionalFormatting>
  <conditionalFormatting sqref="N24">
    <cfRule type="cellIs" dxfId="882" priority="1" operator="greaterThanOrEqual">
      <formula>60.5</formula>
    </cfRule>
    <cfRule type="cellIs" dxfId="881" priority="2" operator="greaterThanOrEqual">
      <formula>55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5" tint="-0.249977111117893"/>
  </sheetPr>
  <dimension ref="A1:AE40"/>
  <sheetViews>
    <sheetView view="pageBreakPreview" topLeftCell="B1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1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IF($J$3&lt;=2700,7,10)</f>
        <v>10</v>
      </c>
      <c r="Q7" s="25">
        <f t="shared" ref="Q7:Q13" si="3">$J$1*P7</f>
        <v>10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3200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1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3080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1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3080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1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3360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1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8</v>
      </c>
      <c r="G12" s="135" t="s">
        <v>257</v>
      </c>
      <c r="H12" s="47">
        <f>$J$3-55-7-7-25</f>
        <v>3106</v>
      </c>
      <c r="I12" s="42">
        <f t="shared" si="0"/>
        <v>8</v>
      </c>
      <c r="J12" s="159">
        <f>ROUNDUP(((H12*I12)+(H13*I13))/6400,0)</f>
        <v>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2</v>
      </c>
      <c r="R12" s="13">
        <v>73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8</v>
      </c>
      <c r="G13" s="59" t="s">
        <v>95</v>
      </c>
      <c r="H13" s="47">
        <f>($I$3-18-9.5-(8*2)-23-9.5-18)/4</f>
        <v>826.5</v>
      </c>
      <c r="I13" s="42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8</v>
      </c>
      <c r="G15" s="42" t="s">
        <v>19</v>
      </c>
      <c r="H15" s="47">
        <f>$H$12-80-80</f>
        <v>2946</v>
      </c>
      <c r="I15" s="42">
        <f>F15*$J$1</f>
        <v>8</v>
      </c>
      <c r="J15" s="159">
        <f>ROUNDUP(((H15*I15)+(H16*I16))/6400,0)</f>
        <v>5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8</v>
      </c>
      <c r="G16" s="42" t="s">
        <v>56</v>
      </c>
      <c r="H16" s="47">
        <f>$H$13-60-60</f>
        <v>706.5</v>
      </c>
      <c r="I16" s="42">
        <f>F16*$J$1</f>
        <v>8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66.183999999999997</v>
      </c>
      <c r="Q23" s="45">
        <f>$J$1*P23</f>
        <v>66.183999999999997</v>
      </c>
      <c r="S23" s="6">
        <f>O28*P28*6*Q28*2.5/1000000</f>
        <v>124.36704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29.38</v>
      </c>
      <c r="Q24" s="45">
        <f t="shared" ref="Q24:Q25" si="8">$J$1*P24</f>
        <v>29.38</v>
      </c>
      <c r="S24" s="18">
        <f>SUM(S12:S23)</f>
        <v>124.36704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29.38</v>
      </c>
      <c r="Q25" s="45">
        <f t="shared" si="8"/>
        <v>29.38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((($H$12*$F$12*$E$12/1000)+($H$13*$F$13*$E$13/1000)+($H$15*$F$15*$E$15/1000)+($H$16*$F$16*$E$16/1000))+($O$28*$P$28*$H$3*2.5*4/1000000))/4</f>
        <v>41.877772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$N$27*4</f>
        <v>167.511088</v>
      </c>
      <c r="O28" s="41">
        <f>$H$12-130</f>
        <v>2976</v>
      </c>
      <c r="P28" s="41">
        <f>$H$13-130</f>
        <v>696.5</v>
      </c>
      <c r="Q28" s="41">
        <f>4*$J$1</f>
        <v>4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M24:Q25">
    <cfRule type="expression" dxfId="880" priority="13">
      <formula>$H$3=33</formula>
    </cfRule>
    <cfRule type="expression" dxfId="879" priority="14">
      <formula>$H$3=20</formula>
    </cfRule>
    <cfRule type="expression" dxfId="878" priority="15">
      <formula>$H$3=18</formula>
    </cfRule>
    <cfRule type="expression" dxfId="877" priority="16">
      <formula>$H$3=12</formula>
    </cfRule>
    <cfRule type="expression" dxfId="876" priority="17">
      <formula>$H$3=10</formula>
    </cfRule>
  </conditionalFormatting>
  <conditionalFormatting sqref="P22">
    <cfRule type="expression" dxfId="875" priority="8">
      <formula>$H$3=33</formula>
    </cfRule>
    <cfRule type="expression" dxfId="874" priority="9">
      <formula>$H$3=20</formula>
    </cfRule>
    <cfRule type="expression" dxfId="873" priority="10">
      <formula>$H$3=18</formula>
    </cfRule>
    <cfRule type="expression" dxfId="872" priority="11">
      <formula>$H$3=12</formula>
    </cfRule>
    <cfRule type="expression" dxfId="871" priority="12">
      <formula>$H$3=10</formula>
    </cfRule>
  </conditionalFormatting>
  <conditionalFormatting sqref="Q22">
    <cfRule type="expression" dxfId="870" priority="3">
      <formula>$H$3=33</formula>
    </cfRule>
    <cfRule type="expression" dxfId="869" priority="4">
      <formula>$H$3=20</formula>
    </cfRule>
    <cfRule type="expression" dxfId="868" priority="5">
      <formula>$H$3=18</formula>
    </cfRule>
    <cfRule type="expression" dxfId="867" priority="6">
      <formula>$H$3=12</formula>
    </cfRule>
    <cfRule type="expression" dxfId="866" priority="7">
      <formula>$H$3=10</formula>
    </cfRule>
  </conditionalFormatting>
  <conditionalFormatting sqref="N27">
    <cfRule type="cellIs" dxfId="865" priority="1" operator="greaterThanOrEqual">
      <formula>45.5</formula>
    </cfRule>
    <cfRule type="cellIs" dxfId="864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5" tint="-0.249977111117893"/>
  </sheetPr>
  <dimension ref="A1:AE37"/>
  <sheetViews>
    <sheetView view="pageBreakPreview" zoomScale="70" zoomScaleNormal="55" zoomScaleSheetLayoutView="70" workbookViewId="0">
      <selection activeCell="C3" sqref="C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265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2495</v>
      </c>
      <c r="J3" s="52">
        <v>2100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2459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2459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134">
        <f>IF($J$3&lt;=2500,14,IF($J$3&lt;=3000,20,26))</f>
        <v>14</v>
      </c>
      <c r="Q7" s="25">
        <f t="shared" ref="Q7:Q13" si="3">$J$1*P7</f>
        <v>14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2100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1980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1980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2455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8</v>
      </c>
      <c r="G12" s="135" t="s">
        <v>257</v>
      </c>
      <c r="H12" s="47">
        <f>$J$3-55-7-7-25</f>
        <v>2006</v>
      </c>
      <c r="I12" s="42">
        <f t="shared" si="0"/>
        <v>8</v>
      </c>
      <c r="J12" s="159">
        <f>ROUNDUP(((H12*I12)+(H13*I13))/6400,0)</f>
        <v>4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>$J$1*P12</f>
        <v>4</v>
      </c>
      <c r="R12" s="13">
        <v>73</v>
      </c>
      <c r="S12" s="6">
        <f>((H12*I12)/1000)*E12</f>
        <v>23.526367999999998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8</v>
      </c>
      <c r="G13" s="59" t="s">
        <v>116</v>
      </c>
      <c r="H13" s="47">
        <f>($I$3-18-9.5-(8*2)-71-9.5-18)/4</f>
        <v>588.25</v>
      </c>
      <c r="I13" s="42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2006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8</v>
      </c>
      <c r="G15" s="42" t="s">
        <v>19</v>
      </c>
      <c r="H15" s="47">
        <f>$H$12-80-80</f>
        <v>1846</v>
      </c>
      <c r="I15" s="42">
        <f t="shared" si="0"/>
        <v>8</v>
      </c>
      <c r="J15" s="159">
        <f>ROUNDUP(((H15*I15)+(H16*I16))/6400,0)</f>
        <v>3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66.622</v>
      </c>
      <c r="Q15" s="45">
        <f>$J$1*P15</f>
        <v>66.622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8</v>
      </c>
      <c r="G16" s="42" t="s">
        <v>56</v>
      </c>
      <c r="H16" s="47">
        <f>$H$13-60-60</f>
        <v>468.25</v>
      </c>
      <c r="I16" s="42">
        <f t="shared" si="0"/>
        <v>8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8.0239999999999991</v>
      </c>
      <c r="Q16" s="45">
        <f>$J$1*P16</f>
        <v>8.0239999999999991</v>
      </c>
      <c r="S16" s="6">
        <f>((H15*I15)/1000)*E15</f>
        <v>4.2088799999999997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18.673999999999999</v>
      </c>
      <c r="Q17" s="45">
        <f t="shared" ref="Q17:Q18" si="4">$J$1*P17</f>
        <v>18.673999999999999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18.673999999999999</v>
      </c>
      <c r="Q18" s="45">
        <f t="shared" si="4"/>
        <v>18.673999999999999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51.580620000000003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79.315867999999995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((($H$12*$F$12*$E$12/1000)+($H$13*$F$13*$E$13/1000)+($H$15*$F$15*$E$15/1000)+($H$16*$F$16*$E$16/1000))+($O$25*$P$25*$H$3*2.5*4/1000000))/4</f>
        <v>19.828966999999999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$N$24*4</f>
        <v>79.315867999999995</v>
      </c>
      <c r="O25" s="41">
        <f>$H$12-130</f>
        <v>1876</v>
      </c>
      <c r="P25" s="41">
        <f>$H$13-130</f>
        <v>458.25</v>
      </c>
      <c r="Q25" s="41">
        <f>4*$J$1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formatCells="0" formatColumns="0"/>
  <dataConsolidate/>
  <mergeCells count="16">
    <mergeCell ref="O23:Q23"/>
    <mergeCell ref="C2:F2"/>
    <mergeCell ref="A4:J4"/>
    <mergeCell ref="L4:Q4"/>
    <mergeCell ref="J10:J11"/>
    <mergeCell ref="J12:J13"/>
    <mergeCell ref="J15:J16"/>
    <mergeCell ref="D10:D11"/>
    <mergeCell ref="C10:C11"/>
    <mergeCell ref="C12:C13"/>
    <mergeCell ref="D12:D13"/>
    <mergeCell ref="E10:E11"/>
    <mergeCell ref="E12:E13"/>
    <mergeCell ref="D15:D16"/>
    <mergeCell ref="E15:E16"/>
    <mergeCell ref="C15:C16"/>
  </mergeCells>
  <conditionalFormatting sqref="L17:Q18">
    <cfRule type="expression" dxfId="863" priority="5">
      <formula>$H$3=33</formula>
    </cfRule>
    <cfRule type="expression" dxfId="862" priority="6">
      <formula>$H$3=20</formula>
    </cfRule>
    <cfRule type="expression" dxfId="861" priority="7">
      <formula>$H$3=18</formula>
    </cfRule>
    <cfRule type="expression" dxfId="860" priority="8">
      <formula>$H$3=12</formula>
    </cfRule>
    <cfRule type="expression" dxfId="859" priority="9">
      <formula>$H$3=10</formula>
    </cfRule>
  </conditionalFormatting>
  <conditionalFormatting sqref="N24">
    <cfRule type="cellIs" dxfId="858" priority="1" operator="greaterThanOrEqual">
      <formula>90.5</formula>
    </cfRule>
    <cfRule type="cellIs" dxfId="857" priority="2" operator="greaterThanOrEqual">
      <formula>80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4" tint="-0.249977111117893"/>
    <pageSetUpPr fitToPage="1"/>
  </sheetPr>
  <dimension ref="A1:AE40"/>
  <sheetViews>
    <sheetView zoomScale="70" zoomScaleNormal="70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258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83</v>
      </c>
      <c r="H3" s="51">
        <v>6</v>
      </c>
      <c r="I3" s="52">
        <v>18</v>
      </c>
      <c r="J3" s="52">
        <v>2383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-18</v>
      </c>
      <c r="I6" s="25">
        <f>F6*$J$1</f>
        <v>1</v>
      </c>
      <c r="J6" s="25">
        <f>ROUNDUP((H6*I6)/6400,0)</f>
        <v>-1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ขาว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-18</v>
      </c>
      <c r="I7" s="25">
        <f t="shared" ref="I7:I14" si="0">F7*$J$1</f>
        <v>1</v>
      </c>
      <c r="J7" s="25">
        <f t="shared" ref="J7:J14" si="1">ROUNDUP((H7*I7)/6400,0)</f>
        <v>-1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ขาว</v>
      </c>
      <c r="P7" s="25">
        <f>IF($J$3&lt;=2700,11,16)</f>
        <v>11</v>
      </c>
      <c r="Q7" s="25">
        <f t="shared" ref="Q7:Q13" si="3">$J$1*P7</f>
        <v>11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2383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ขาว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2263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ขาว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2263</v>
      </c>
      <c r="I10" s="25">
        <f t="shared" si="0"/>
        <v>2</v>
      </c>
      <c r="J10" s="151">
        <f>ROUNDUP(((H10*I10)+(H11*I11))/6400,0)</f>
        <v>1</v>
      </c>
      <c r="K10" s="28"/>
      <c r="L10" s="25">
        <v>5</v>
      </c>
      <c r="M10" s="29" t="s">
        <v>22</v>
      </c>
      <c r="N10" s="25"/>
      <c r="O10" s="25" t="str">
        <f t="shared" si="2"/>
        <v>ขาว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-22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ขาว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10</v>
      </c>
      <c r="G12" s="42" t="s">
        <v>257</v>
      </c>
      <c r="H12" s="47">
        <f>$J$3-55-7-7-25</f>
        <v>2289</v>
      </c>
      <c r="I12" s="42">
        <f t="shared" si="0"/>
        <v>10</v>
      </c>
      <c r="J12" s="159">
        <f>ROUNDUP(((H12*I12)+(H13*I13))/6400,0)</f>
        <v>4</v>
      </c>
      <c r="K12" s="28"/>
      <c r="L12" s="25">
        <v>7</v>
      </c>
      <c r="M12" s="29" t="s">
        <v>29</v>
      </c>
      <c r="N12" s="25"/>
      <c r="O12" s="25" t="str">
        <f t="shared" si="2"/>
        <v>ขาว</v>
      </c>
      <c r="P12" s="25">
        <v>4</v>
      </c>
      <c r="Q12" s="25">
        <f t="shared" si="3"/>
        <v>4</v>
      </c>
      <c r="R12" s="13">
        <v>73</v>
      </c>
      <c r="S12" s="6">
        <f>((H12*I12)/1000)*E12</f>
        <v>33.556739999999998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10</v>
      </c>
      <c r="G13" s="42" t="s">
        <v>85</v>
      </c>
      <c r="H13" s="47">
        <f>($I$3-18-9.5-(8*4)-18-18)/5</f>
        <v>-15.5</v>
      </c>
      <c r="I13" s="42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2289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10</v>
      </c>
      <c r="G15" s="42" t="s">
        <v>19</v>
      </c>
      <c r="H15" s="47">
        <f>$H$12-80-80</f>
        <v>2129</v>
      </c>
      <c r="I15" s="42">
        <f>F15*$J$1</f>
        <v>10</v>
      </c>
      <c r="J15" s="159">
        <f>ROUNDUP(((H15*I15)+(H16*I16))/6400,0)</f>
        <v>4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ขาว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10</v>
      </c>
      <c r="G16" s="42" t="s">
        <v>56</v>
      </c>
      <c r="H16" s="47">
        <f>$H$13-60-60</f>
        <v>-135.5</v>
      </c>
      <c r="I16" s="42">
        <f>F16*$J$1</f>
        <v>10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6.0676499999999995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2.2000000000000002</v>
      </c>
      <c r="Q21" s="69">
        <f>$J$1*P21</f>
        <v>2.2000000000000002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(($H$6*$I$6)+($H$7*$I$7)+($H$8*1)+($H$9*$I$9)+($H$12*$I$12*2)+($H$13*$I$13)+($H$14*$I$14)-($H$12*2))/1000</f>
        <v>50.209000000000003</v>
      </c>
      <c r="Q22" s="45">
        <f>$J$1*P22</f>
        <v>50.209000000000003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20.135000000000002</v>
      </c>
      <c r="Q23" s="45">
        <f t="shared" ref="Q23:Q24" si="6">$J$1*P23</f>
        <v>20.135000000000002</v>
      </c>
      <c r="S23" s="6">
        <f>O28*P28*6*Q28*2.5/1000000</f>
        <v>-23.560087500000002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20.135000000000002</v>
      </c>
      <c r="Q24" s="45">
        <f t="shared" si="6"/>
        <v>20.135000000000002</v>
      </c>
      <c r="S24" s="18">
        <f>SUM(S12:S23)</f>
        <v>16.064302499999997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((($H$12*$F$12*$E$12/1000)+($H$13*$F$13*$E$13/1000)+($H$15*$F$15*$E$15/1000)+($H$16*$F$16*$E$16/1000))+($O$28*$P$28*$H$3*2.5*5/1000000))/5</f>
        <v>3.2128604999999992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16.064302499999997</v>
      </c>
      <c r="O28" s="41">
        <f>$H$12-130</f>
        <v>2159</v>
      </c>
      <c r="P28" s="41">
        <f>$H$13-130</f>
        <v>-145.5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C10:C11"/>
    <mergeCell ref="E10:E11"/>
    <mergeCell ref="D12:D13"/>
    <mergeCell ref="E12:E13"/>
    <mergeCell ref="C12:C13"/>
    <mergeCell ref="D15:D16"/>
    <mergeCell ref="E15:E16"/>
    <mergeCell ref="C15:C16"/>
  </mergeCells>
  <conditionalFormatting sqref="M23:Q24">
    <cfRule type="expression" dxfId="856" priority="13">
      <formula>$H$3=33</formula>
    </cfRule>
    <cfRule type="expression" dxfId="855" priority="16">
      <formula>$H$3=20</formula>
    </cfRule>
    <cfRule type="expression" dxfId="854" priority="17">
      <formula>$H$3=18</formula>
    </cfRule>
    <cfRule type="expression" dxfId="853" priority="18">
      <formula>$H$3=12</formula>
    </cfRule>
    <cfRule type="expression" dxfId="852" priority="19">
      <formula>$H$3=10</formula>
    </cfRule>
  </conditionalFormatting>
  <conditionalFormatting sqref="P21">
    <cfRule type="expression" dxfId="851" priority="8">
      <formula>$H$3=33</formula>
    </cfRule>
    <cfRule type="expression" dxfId="850" priority="9">
      <formula>$H$3=20</formula>
    </cfRule>
    <cfRule type="expression" dxfId="849" priority="10">
      <formula>$H$3=18</formula>
    </cfRule>
    <cfRule type="expression" dxfId="848" priority="11">
      <formula>$H$3=12</formula>
    </cfRule>
    <cfRule type="expression" dxfId="847" priority="12">
      <formula>$H$3=10</formula>
    </cfRule>
  </conditionalFormatting>
  <conditionalFormatting sqref="Q21">
    <cfRule type="expression" dxfId="846" priority="3">
      <formula>$H$3=33</formula>
    </cfRule>
    <cfRule type="expression" dxfId="845" priority="4">
      <formula>$H$3=20</formula>
    </cfRule>
    <cfRule type="expression" dxfId="844" priority="5">
      <formula>$H$3=18</formula>
    </cfRule>
    <cfRule type="expression" dxfId="843" priority="6">
      <formula>$H$3=12</formula>
    </cfRule>
    <cfRule type="expression" dxfId="842" priority="7">
      <formula>$H$3=10</formula>
    </cfRule>
  </conditionalFormatting>
  <conditionalFormatting sqref="N27">
    <cfRule type="cellIs" dxfId="841" priority="1" operator="greaterThanOrEqual">
      <formula>45.5</formula>
    </cfRule>
    <cfRule type="cellIs" dxfId="840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92" orientation="landscape" r:id="rId1"/>
  <rowBreaks count="1" manualBreakCount="1">
    <brk id="10" max="9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260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3480</v>
      </c>
      <c r="J3" s="52">
        <v>2107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3444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3444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IF($J$3&lt;=2700,14,20)</f>
        <v>14</v>
      </c>
      <c r="Q7" s="25">
        <f t="shared" ref="Q7:Q13" si="3">$J$1*P7</f>
        <v>14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2107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1987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1987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3440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10</v>
      </c>
      <c r="G12" s="42" t="s">
        <v>257</v>
      </c>
      <c r="H12" s="47">
        <f>$J$3-55-7-7-25</f>
        <v>2013</v>
      </c>
      <c r="I12" s="42">
        <f t="shared" si="0"/>
        <v>10</v>
      </c>
      <c r="J12" s="159">
        <f>ROUNDUP(((H12*I12)+(H13*I13))/6400,0)</f>
        <v>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29.510579999999997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10</v>
      </c>
      <c r="G13" s="59" t="s">
        <v>92</v>
      </c>
      <c r="H13" s="47">
        <f>($I$3-18-9.5-(8*3)-58-9.5-18)/5</f>
        <v>668.6</v>
      </c>
      <c r="I13" s="42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2013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2013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10</v>
      </c>
      <c r="G16" s="42" t="s">
        <v>19</v>
      </c>
      <c r="H16" s="47">
        <f>$H$12-80-80</f>
        <v>1853</v>
      </c>
      <c r="I16" s="42">
        <f>F16*$J$1</f>
        <v>10</v>
      </c>
      <c r="J16" s="159">
        <f>ROUNDUP(((H16*I16)+(H17*I17))/6400,0)</f>
        <v>4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5.2810499999999996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10</v>
      </c>
      <c r="G17" s="42" t="s">
        <v>56</v>
      </c>
      <c r="H17" s="47">
        <f>$H$13-60-60</f>
        <v>548.6</v>
      </c>
      <c r="I17" s="42">
        <f>F17*$J$1</f>
        <v>10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</v>
      </c>
      <c r="Q21" s="69">
        <f>$J$1*P21</f>
        <v>2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67.966999999999999</v>
      </c>
      <c r="Q22" s="45">
        <f>$J$1*P22</f>
        <v>67.966999999999999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24.216000000000001</v>
      </c>
      <c r="Q23" s="45">
        <f t="shared" ref="Q23:Q24" si="6">$J$1*P23</f>
        <v>24.216000000000001</v>
      </c>
      <c r="S23" s="6">
        <f>O28*P28*6*Q28*2.5/1000000</f>
        <v>76.06378500000001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24.216000000000001</v>
      </c>
      <c r="Q24" s="45">
        <f t="shared" si="6"/>
        <v>24.216000000000001</v>
      </c>
      <c r="S24" s="18">
        <f>SUM(S12:S23)</f>
        <v>110.85541500000001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((($H$12*$F$12*$E$12/1000)+($H$13*$F$13*$E$13/1000)+($H$16*$F$16*$E$16/1000)+($H$17*$F$17*$E$17/1000))+($O$28*$P$28*$H$3*2.5*5/1000000))/5</f>
        <v>22.171083000000003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110.85541500000002</v>
      </c>
      <c r="O28" s="41">
        <f>$H$12-130</f>
        <v>1883</v>
      </c>
      <c r="P28" s="41">
        <f>$H$13-130</f>
        <v>538.6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6:J17"/>
    <mergeCell ref="D10:D11"/>
    <mergeCell ref="E10:E11"/>
    <mergeCell ref="C10:C11"/>
    <mergeCell ref="D12:D13"/>
    <mergeCell ref="E12:E13"/>
    <mergeCell ref="C12:C13"/>
    <mergeCell ref="D16:D17"/>
    <mergeCell ref="E16:E17"/>
    <mergeCell ref="C16:C17"/>
  </mergeCells>
  <conditionalFormatting sqref="M23:Q24">
    <cfRule type="expression" dxfId="839" priority="13">
      <formula>$H$3=33</formula>
    </cfRule>
    <cfRule type="expression" dxfId="838" priority="14">
      <formula>$H$3=20</formula>
    </cfRule>
    <cfRule type="expression" dxfId="837" priority="15">
      <formula>$H$3=18</formula>
    </cfRule>
    <cfRule type="expression" dxfId="836" priority="16">
      <formula>$H$3=12</formula>
    </cfRule>
    <cfRule type="expression" dxfId="835" priority="17">
      <formula>$H$3=10</formula>
    </cfRule>
  </conditionalFormatting>
  <conditionalFormatting sqref="P21">
    <cfRule type="expression" dxfId="834" priority="8">
      <formula>$H$3=33</formula>
    </cfRule>
    <cfRule type="expression" dxfId="833" priority="9">
      <formula>$H$3=20</formula>
    </cfRule>
    <cfRule type="expression" dxfId="832" priority="10">
      <formula>$H$3=18</formula>
    </cfRule>
    <cfRule type="expression" dxfId="831" priority="11">
      <formula>$H$3=12</formula>
    </cfRule>
    <cfRule type="expression" dxfId="830" priority="12">
      <formula>$H$3=10</formula>
    </cfRule>
  </conditionalFormatting>
  <conditionalFormatting sqref="Q21">
    <cfRule type="expression" dxfId="829" priority="3">
      <formula>$H$3=33</formula>
    </cfRule>
    <cfRule type="expression" dxfId="828" priority="4">
      <formula>$H$3=20</formula>
    </cfRule>
    <cfRule type="expression" dxfId="827" priority="5">
      <formula>$H$3=18</formula>
    </cfRule>
    <cfRule type="expression" dxfId="826" priority="6">
      <formula>$H$3=12</formula>
    </cfRule>
    <cfRule type="expression" dxfId="825" priority="7">
      <formula>$H$3=10</formula>
    </cfRule>
  </conditionalFormatting>
  <conditionalFormatting sqref="N27">
    <cfRule type="cellIs" dxfId="824" priority="1" operator="greaterThanOrEqual">
      <formula>60.5</formula>
    </cfRule>
    <cfRule type="cellIs" dxfId="823" priority="2" operator="greaterThanOrEqual">
      <formula>55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-0.249977111117893"/>
  </sheetPr>
  <dimension ref="A1:AE40"/>
  <sheetViews>
    <sheetView view="pageBreakPreview" zoomScale="70" zoomScaleNormal="55" zoomScaleSheetLayoutView="70" workbookViewId="0">
      <selection activeCell="C2" sqref="C2:F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2790</v>
      </c>
      <c r="J3" s="52">
        <v>2790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2754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2754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IF($J$3&lt;=2700,14,20)</f>
        <v>20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2790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2670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2670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2750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10</v>
      </c>
      <c r="G12" s="135" t="s">
        <v>257</v>
      </c>
      <c r="H12" s="47">
        <f>$J$3-55-7-7-25</f>
        <v>2696</v>
      </c>
      <c r="I12" s="42">
        <f t="shared" si="0"/>
        <v>10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39.523360000000004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10</v>
      </c>
      <c r="G13" s="59" t="s">
        <v>92</v>
      </c>
      <c r="H13" s="47">
        <f>($I$3-18-9.5-(8*3)-58-9.5-18)/5</f>
        <v>530.6</v>
      </c>
      <c r="I13" s="42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2696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2696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10</v>
      </c>
      <c r="G16" s="42" t="s">
        <v>19</v>
      </c>
      <c r="H16" s="47">
        <f>$H$12-80-80</f>
        <v>2536</v>
      </c>
      <c r="I16" s="42">
        <f>F16*$J$1</f>
        <v>10</v>
      </c>
      <c r="J16" s="159">
        <f>ROUNDUP(((H16*I16)+(H17*I17))/6400,0)</f>
        <v>5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7.2275999999999989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10</v>
      </c>
      <c r="G17" s="42" t="s">
        <v>56</v>
      </c>
      <c r="H17" s="47">
        <f>$H$13-60-60</f>
        <v>410.6</v>
      </c>
      <c r="I17" s="42">
        <f>F17*$J$1</f>
        <v>10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83.647999999999996</v>
      </c>
      <c r="Q22" s="45">
        <f>$J$1*P22</f>
        <v>83.647999999999996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29.666</v>
      </c>
      <c r="Q23" s="45">
        <f t="shared" ref="Q23:Q24" si="6">$J$1*P23</f>
        <v>29.666</v>
      </c>
      <c r="S23" s="6">
        <f>O28*P28*6*Q28*2.5/1000000</f>
        <v>77.09547000000002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29.666</v>
      </c>
      <c r="Q24" s="45">
        <f t="shared" si="6"/>
        <v>29.666</v>
      </c>
      <c r="S24" s="18">
        <f>SUM(S12:S23)</f>
        <v>123.84643000000003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((($H$12*$F$12*$E$12/1000)+($H$13*$F$13*$E$13/1000)+($H$16*$F$16*$E$16/1000)+($H$17*$F$17*$E$17/1000))+($O$28*$P$28*$H$3*2.5*5/1000000))/5</f>
        <v>24.769286000000005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123.84643000000003</v>
      </c>
      <c r="O28" s="41">
        <f>$H$12-130</f>
        <v>2566</v>
      </c>
      <c r="P28" s="41">
        <f>$H$13-130</f>
        <v>400.6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6:J17"/>
    <mergeCell ref="D10:D11"/>
    <mergeCell ref="E10:E11"/>
    <mergeCell ref="C10:C11"/>
    <mergeCell ref="D12:D13"/>
    <mergeCell ref="E12:E13"/>
    <mergeCell ref="C12:C13"/>
    <mergeCell ref="D16:D17"/>
    <mergeCell ref="E16:E17"/>
    <mergeCell ref="C16:C17"/>
  </mergeCells>
  <conditionalFormatting sqref="M23:Q24">
    <cfRule type="expression" dxfId="822" priority="13">
      <formula>$H$3=33</formula>
    </cfRule>
    <cfRule type="expression" dxfId="821" priority="14">
      <formula>$H$3=20</formula>
    </cfRule>
    <cfRule type="expression" dxfId="820" priority="15">
      <formula>$H$3=18</formula>
    </cfRule>
    <cfRule type="expression" dxfId="819" priority="16">
      <formula>$H$3=12</formula>
    </cfRule>
    <cfRule type="expression" dxfId="818" priority="17">
      <formula>$H$3=10</formula>
    </cfRule>
  </conditionalFormatting>
  <conditionalFormatting sqref="P21">
    <cfRule type="expression" dxfId="817" priority="8">
      <formula>$H$3=33</formula>
    </cfRule>
    <cfRule type="expression" dxfId="816" priority="9">
      <formula>$H$3=20</formula>
    </cfRule>
    <cfRule type="expression" dxfId="815" priority="10">
      <formula>$H$3=18</formula>
    </cfRule>
    <cfRule type="expression" dxfId="814" priority="11">
      <formula>$H$3=12</formula>
    </cfRule>
    <cfRule type="expression" dxfId="813" priority="12">
      <formula>$H$3=10</formula>
    </cfRule>
  </conditionalFormatting>
  <conditionalFormatting sqref="Q21">
    <cfRule type="expression" dxfId="812" priority="3">
      <formula>$H$3=33</formula>
    </cfRule>
    <cfRule type="expression" dxfId="811" priority="4">
      <formula>$H$3=20</formula>
    </cfRule>
    <cfRule type="expression" dxfId="810" priority="5">
      <formula>$H$3=18</formula>
    </cfRule>
    <cfRule type="expression" dxfId="809" priority="6">
      <formula>$H$3=12</formula>
    </cfRule>
    <cfRule type="expression" dxfId="808" priority="7">
      <formula>$H$3=10</formula>
    </cfRule>
  </conditionalFormatting>
  <conditionalFormatting sqref="N27">
    <cfRule type="cellIs" dxfId="807" priority="1" operator="greaterThanOrEqual">
      <formula>45.5</formula>
    </cfRule>
    <cfRule type="cellIs" dxfId="806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5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83</v>
      </c>
      <c r="H3" s="51">
        <v>8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5</v>
      </c>
      <c r="J6" s="25">
        <f>ROUNDUP((H6*I6)/6400,0)</f>
        <v>5</v>
      </c>
      <c r="K6" s="28"/>
      <c r="L6" s="25">
        <v>1</v>
      </c>
      <c r="M6" s="29" t="s">
        <v>24</v>
      </c>
      <c r="N6" s="25"/>
      <c r="O6" s="25" t="str">
        <f>IF($G$3="ขาว","ขาว","ดำ")</f>
        <v>ขาว</v>
      </c>
      <c r="P6" s="25">
        <v>3</v>
      </c>
      <c r="Q6" s="25">
        <f>$J$1*P6</f>
        <v>15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7" si="0">F7*$J$1</f>
        <v>5</v>
      </c>
      <c r="J7" s="25">
        <f t="shared" ref="J7:J15" si="1">ROUNDUP((H7*I7)/6400,0)</f>
        <v>5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ขาว</v>
      </c>
      <c r="P7" s="25">
        <f>IF($J$3&lt;=2700,15,22)</f>
        <v>22</v>
      </c>
      <c r="Q7" s="25">
        <f t="shared" ref="Q7:Q13" si="3">$J$1*P7</f>
        <v>110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10</v>
      </c>
      <c r="J8" s="42">
        <f t="shared" si="1"/>
        <v>5</v>
      </c>
      <c r="K8" s="28"/>
      <c r="L8" s="25">
        <v>3</v>
      </c>
      <c r="M8" s="29" t="s">
        <v>26</v>
      </c>
      <c r="N8" s="25"/>
      <c r="O8" s="25" t="str">
        <f t="shared" si="2"/>
        <v>ขาว</v>
      </c>
      <c r="P8" s="25">
        <v>3</v>
      </c>
      <c r="Q8" s="25">
        <f t="shared" si="3"/>
        <v>15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>F9*$J$1</f>
        <v>10</v>
      </c>
      <c r="J9" s="42">
        <f t="shared" si="1"/>
        <v>5</v>
      </c>
      <c r="K9" s="28"/>
      <c r="L9" s="25">
        <v>4</v>
      </c>
      <c r="M9" s="29" t="s">
        <v>27</v>
      </c>
      <c r="N9" s="25"/>
      <c r="O9" s="25" t="str">
        <f t="shared" si="2"/>
        <v>ขาว</v>
      </c>
      <c r="P9" s="25">
        <v>3</v>
      </c>
      <c r="Q9" s="25">
        <f t="shared" si="3"/>
        <v>15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10</v>
      </c>
      <c r="J10" s="151">
        <f>ROUNDUP(((H10*I10)+(H11*I11))/6400,0)</f>
        <v>14</v>
      </c>
      <c r="K10" s="28"/>
      <c r="L10" s="25">
        <v>5</v>
      </c>
      <c r="M10" s="29" t="s">
        <v>22</v>
      </c>
      <c r="N10" s="25"/>
      <c r="O10" s="25" t="str">
        <f t="shared" si="2"/>
        <v>ขาว</v>
      </c>
      <c r="P10" s="25">
        <v>3</v>
      </c>
      <c r="Q10" s="25">
        <f t="shared" si="3"/>
        <v>15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10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ขาว</v>
      </c>
      <c r="P11" s="25">
        <v>3</v>
      </c>
      <c r="Q11" s="25">
        <f t="shared" si="3"/>
        <v>15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12</v>
      </c>
      <c r="G12" s="135" t="s">
        <v>257</v>
      </c>
      <c r="H12" s="47">
        <f>$J$3-55-7-7-25</f>
        <v>2906</v>
      </c>
      <c r="I12" s="42">
        <f t="shared" si="0"/>
        <v>60</v>
      </c>
      <c r="J12" s="159">
        <f>ROUNDUP(((H12*I12)+(H13*I13))/6400,0)</f>
        <v>37</v>
      </c>
      <c r="K12" s="28"/>
      <c r="L12" s="25">
        <v>7</v>
      </c>
      <c r="M12" s="29" t="s">
        <v>29</v>
      </c>
      <c r="N12" s="25"/>
      <c r="O12" s="25" t="str">
        <f t="shared" si="2"/>
        <v>ขาว</v>
      </c>
      <c r="P12" s="25">
        <v>6</v>
      </c>
      <c r="Q12" s="25">
        <f>$J$1*P12</f>
        <v>30</v>
      </c>
      <c r="R12" s="13">
        <v>73</v>
      </c>
      <c r="S12" s="6">
        <f>((H12*I12)/1000)*E12</f>
        <v>255.61176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12</v>
      </c>
      <c r="G13" s="42" t="s">
        <v>76</v>
      </c>
      <c r="H13" s="47">
        <f>($I$3-18-9.5-(8*5)-50-18)/6</f>
        <v>977.41666666666663</v>
      </c>
      <c r="I13" s="42">
        <f t="shared" si="0"/>
        <v>60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120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2906</v>
      </c>
      <c r="I14" s="25">
        <f t="shared" si="0"/>
        <v>5</v>
      </c>
      <c r="J14" s="25">
        <f t="shared" si="1"/>
        <v>3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360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2920</v>
      </c>
      <c r="I15" s="25">
        <f t="shared" si="0"/>
        <v>5</v>
      </c>
      <c r="J15" s="25">
        <f t="shared" si="1"/>
        <v>3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(($H$6*$I$6)+($H$7*$I$7)+($H$8*1)+($H$9*$I$9)+($H$12*$I$12*2)+($H$14*$I$13*2)+($H$13*3)+($H$15*$I$15))/1000</f>
        <v>806.41224999999997</v>
      </c>
      <c r="Q15" s="45">
        <f t="shared" ref="Q15" si="4">$J$1*P15</f>
        <v>4032.0612499999997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12</v>
      </c>
      <c r="G16" s="42" t="s">
        <v>19</v>
      </c>
      <c r="H16" s="47">
        <f>$H$12-80-80</f>
        <v>2746</v>
      </c>
      <c r="I16" s="42">
        <f t="shared" si="0"/>
        <v>60</v>
      </c>
      <c r="J16" s="159">
        <f>ROUNDUP(((H16*I16)+(H17*I17))/6400,0)</f>
        <v>34</v>
      </c>
      <c r="K16" s="28"/>
      <c r="L16" s="42">
        <v>15</v>
      </c>
      <c r="M16" s="43" t="s">
        <v>75</v>
      </c>
      <c r="N16" s="44"/>
      <c r="O16" s="42" t="s">
        <v>1</v>
      </c>
      <c r="P16" s="45">
        <f>(($H$14*2)+($H$15*2))/1000</f>
        <v>11.651999999999999</v>
      </c>
      <c r="Q16" s="45">
        <f>$J$1*P16</f>
        <v>58.26</v>
      </c>
      <c r="S16" s="6">
        <f>((H16*I16)/1000)*E16</f>
        <v>46.956599999999995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42">
        <v>12</v>
      </c>
      <c r="G17" s="42" t="s">
        <v>56</v>
      </c>
      <c r="H17" s="47">
        <f>$H$13-60-60</f>
        <v>857.41666666666663</v>
      </c>
      <c r="I17" s="42">
        <f t="shared" si="0"/>
        <v>60</v>
      </c>
      <c r="J17" s="160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217.405</v>
      </c>
      <c r="Q17" s="45">
        <f>$J$1*P17</f>
        <v>1087.0250000000001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217.405</v>
      </c>
      <c r="Q18" s="45">
        <f>$J$1*P18</f>
        <v>1087.0250000000001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1058.5929000000001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1361.1612600000001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((($H$12*$F$12*$E$12/1000)+($H$13*$F$13*$E$13/1000)+($H$16*$F$16*$E$16/1000)+($H$17*$F$17*$E$17/1000))+($O$25*$P$25*$H$3*2.5*6/1000000))/6</f>
        <v>57.134185333333335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$N$24*6</f>
        <v>342.80511200000001</v>
      </c>
      <c r="O25" s="41">
        <f>$H$12-130</f>
        <v>2776</v>
      </c>
      <c r="P25" s="41">
        <f>$H$13-130</f>
        <v>847.41666666666663</v>
      </c>
      <c r="Q25" s="41">
        <f>6*$J$1</f>
        <v>30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C2:F2"/>
    <mergeCell ref="A4:J4"/>
    <mergeCell ref="L4:Q4"/>
    <mergeCell ref="O23:Q23"/>
    <mergeCell ref="J10:J11"/>
    <mergeCell ref="J12:J13"/>
    <mergeCell ref="J16:J17"/>
    <mergeCell ref="D10:D11"/>
    <mergeCell ref="E10:E11"/>
    <mergeCell ref="C10:C11"/>
    <mergeCell ref="D12:D13"/>
    <mergeCell ref="E12:E13"/>
    <mergeCell ref="C12:C13"/>
    <mergeCell ref="D16:D17"/>
    <mergeCell ref="E16:E17"/>
    <mergeCell ref="C16:C17"/>
  </mergeCells>
  <conditionalFormatting sqref="L17:Q18">
    <cfRule type="expression" dxfId="805" priority="3">
      <formula>$H$3=33</formula>
    </cfRule>
    <cfRule type="expression" dxfId="804" priority="4">
      <formula>$H$3=20</formula>
    </cfRule>
    <cfRule type="expression" dxfId="803" priority="5">
      <formula>$H$3=18</formula>
    </cfRule>
    <cfRule type="expression" dxfId="802" priority="6">
      <formula>$H$3=12</formula>
    </cfRule>
    <cfRule type="expression" dxfId="801" priority="7">
      <formula>$H$3=10</formula>
    </cfRule>
  </conditionalFormatting>
  <conditionalFormatting sqref="N24">
    <cfRule type="cellIs" dxfId="800" priority="1" operator="greaterThanOrEqual">
      <formula>54.5</formula>
    </cfRule>
    <cfRule type="cellIs" dxfId="799" priority="2" operator="greaterThanOrEqual">
      <formula>49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9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1464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IF($J$3&lt;=2700,11,16)</f>
        <v>11</v>
      </c>
      <c r="Q7" s="25">
        <f t="shared" ref="Q7:Q13" si="3">$J$1*P7</f>
        <v>11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2600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2480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2480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1460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12</v>
      </c>
      <c r="G12" s="135" t="s">
        <v>257</v>
      </c>
      <c r="H12" s="47">
        <f>$J$3-55-7-7-25</f>
        <v>2506</v>
      </c>
      <c r="I12" s="42">
        <f t="shared" si="0"/>
        <v>12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44.085552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12</v>
      </c>
      <c r="G13" s="59" t="s">
        <v>97</v>
      </c>
      <c r="H13" s="47">
        <f>($I$3-18-9.5-(8*4)-23-9.5-18)/6</f>
        <v>231.66666666666666</v>
      </c>
      <c r="I13" s="42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2506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12</v>
      </c>
      <c r="G15" s="42" t="s">
        <v>19</v>
      </c>
      <c r="H15" s="47">
        <f>$H$12-80-80</f>
        <v>2346</v>
      </c>
      <c r="I15" s="42">
        <f>F15*$J$1</f>
        <v>12</v>
      </c>
      <c r="J15" s="159">
        <f>ROUNDUP(((H15*I15)+(H16*I16))/6400,0)</f>
        <v>5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12</v>
      </c>
      <c r="G16" s="42" t="s">
        <v>56</v>
      </c>
      <c r="H16" s="47">
        <f>$H$13-60-60</f>
        <v>111.66666666666666</v>
      </c>
      <c r="I16" s="42">
        <f>F16*$J$1</f>
        <v>12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8.02332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3</v>
      </c>
      <c r="Q21" s="25">
        <f>$J$1*P21</f>
        <v>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2.5</v>
      </c>
      <c r="Q22" s="69">
        <f>$J$1*P22</f>
        <v>2.5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68.400000000000006</v>
      </c>
      <c r="Q23" s="45">
        <f>$J$1*P23</f>
        <v>68.400000000000006</v>
      </c>
      <c r="S23" s="6">
        <f>O28*P28*6*Q28*2.5/1000000</f>
        <v>21.740399999999998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29.731999999999999</v>
      </c>
      <c r="Q24" s="45">
        <f t="shared" ref="Q24:Q25" si="7">$J$1*P24</f>
        <v>29.731999999999999</v>
      </c>
      <c r="S24" s="18">
        <f>SUM(S12:S23)</f>
        <v>73.849271999999999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29.731999999999999</v>
      </c>
      <c r="Q25" s="45">
        <f t="shared" si="7"/>
        <v>29.731999999999999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((($H$12*$F$12*$E$12/1000)+($H$13*$F$13*$E$13/1000)+($H$15*$F$15*$E$15/1000)+($H$16*$F$16*$E$16/1000))+($O$28*$P$28*$H$3*2.5*6/1000000))/6</f>
        <v>12.308211999999997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$N$27*6</f>
        <v>73.849271999999985</v>
      </c>
      <c r="O28" s="41">
        <f>$H$12-130</f>
        <v>2376</v>
      </c>
      <c r="P28" s="41">
        <f>$H$13-130</f>
        <v>101.66666666666666</v>
      </c>
      <c r="Q28" s="41">
        <f>6*$J$1</f>
        <v>6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E12:E13"/>
    <mergeCell ref="D12:D13"/>
    <mergeCell ref="C12:C13"/>
    <mergeCell ref="D15:D16"/>
    <mergeCell ref="E15:E16"/>
    <mergeCell ref="C15:C16"/>
  </mergeCells>
  <conditionalFormatting sqref="M24:Q25">
    <cfRule type="expression" dxfId="798" priority="13">
      <formula>$H$3=33</formula>
    </cfRule>
    <cfRule type="expression" dxfId="797" priority="14">
      <formula>$H$3=20</formula>
    </cfRule>
    <cfRule type="expression" dxfId="796" priority="15">
      <formula>$H$3=18</formula>
    </cfRule>
    <cfRule type="expression" dxfId="795" priority="16">
      <formula>$H$3=12</formula>
    </cfRule>
    <cfRule type="expression" dxfId="794" priority="17">
      <formula>$H$3=10</formula>
    </cfRule>
  </conditionalFormatting>
  <conditionalFormatting sqref="P22">
    <cfRule type="expression" dxfId="793" priority="8">
      <formula>$H$3=33</formula>
    </cfRule>
    <cfRule type="expression" dxfId="792" priority="9">
      <formula>$H$3=20</formula>
    </cfRule>
    <cfRule type="expression" dxfId="791" priority="10">
      <formula>$H$3=18</formula>
    </cfRule>
    <cfRule type="expression" dxfId="790" priority="11">
      <formula>$H$3=12</formula>
    </cfRule>
    <cfRule type="expression" dxfId="789" priority="12">
      <formula>$H$3=10</formula>
    </cfRule>
  </conditionalFormatting>
  <conditionalFormatting sqref="Q22">
    <cfRule type="expression" dxfId="788" priority="3">
      <formula>$H$3=33</formula>
    </cfRule>
    <cfRule type="expression" dxfId="787" priority="4">
      <formula>$H$3=20</formula>
    </cfRule>
    <cfRule type="expression" dxfId="786" priority="5">
      <formula>$H$3=18</formula>
    </cfRule>
    <cfRule type="expression" dxfId="785" priority="6">
      <formula>$H$3=12</formula>
    </cfRule>
    <cfRule type="expression" dxfId="784" priority="7">
      <formula>$H$3=10</formula>
    </cfRule>
  </conditionalFormatting>
  <conditionalFormatting sqref="N27">
    <cfRule type="cellIs" dxfId="783" priority="1" operator="greaterThanOrEqual">
      <formula>45.5</formula>
    </cfRule>
    <cfRule type="cellIs" dxfId="782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9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3750</v>
      </c>
      <c r="J3" s="52">
        <v>3500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3714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3714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IF($J$3&lt;=2700,16,24)</f>
        <v>24</v>
      </c>
      <c r="Q7" s="25">
        <f t="shared" ref="Q7:Q13" si="3">$J$1*P7</f>
        <v>24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3500</v>
      </c>
      <c r="I8" s="42">
        <f t="shared" si="0"/>
        <v>2</v>
      </c>
      <c r="J8" s="42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3380</v>
      </c>
      <c r="I9" s="42">
        <f>F9*$J$1</f>
        <v>2</v>
      </c>
      <c r="J9" s="42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3380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3710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12</v>
      </c>
      <c r="G12" s="135" t="s">
        <v>257</v>
      </c>
      <c r="H12" s="47">
        <f>$J$3-55-7-7-25</f>
        <v>3406</v>
      </c>
      <c r="I12" s="42">
        <f t="shared" si="0"/>
        <v>12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>$J$1*P12</f>
        <v>6</v>
      </c>
      <c r="R12" s="13">
        <v>73</v>
      </c>
      <c r="S12" s="6">
        <f>((H12*I12)/1000)*E12</f>
        <v>59.918351999999999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12</v>
      </c>
      <c r="G13" s="59" t="s">
        <v>119</v>
      </c>
      <c r="H13" s="47">
        <f>($I$3-18-9.5-(8*4)-71-9.5-18)/6</f>
        <v>598.66666666666663</v>
      </c>
      <c r="I13" s="42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3406</v>
      </c>
      <c r="I14" s="25">
        <f t="shared" si="0"/>
        <v>2</v>
      </c>
      <c r="J14" s="25">
        <f t="shared" si="1"/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72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12</v>
      </c>
      <c r="G15" s="42" t="s">
        <v>19</v>
      </c>
      <c r="H15" s="47">
        <f>$H$12-80-80</f>
        <v>3246</v>
      </c>
      <c r="I15" s="42">
        <f t="shared" si="0"/>
        <v>12</v>
      </c>
      <c r="J15" s="159">
        <f>ROUNDUP(((H15*I15)+(H16*I16))/6400,0)</f>
        <v>7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137.73599999999999</v>
      </c>
      <c r="Q15" s="45">
        <f>$J$1*P15</f>
        <v>137.73599999999999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12</v>
      </c>
      <c r="G16" s="42" t="s">
        <v>56</v>
      </c>
      <c r="H16" s="47">
        <f>$H$13-60-60</f>
        <v>478.66666666666663</v>
      </c>
      <c r="I16" s="42">
        <f t="shared" si="0"/>
        <v>12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13.624000000000001</v>
      </c>
      <c r="Q16" s="45">
        <f>$J$1*P16</f>
        <v>13.624000000000001</v>
      </c>
      <c r="S16" s="6">
        <f>((H15*I15)/1000)*E15</f>
        <v>11.101319999999999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44.936</v>
      </c>
      <c r="Q17" s="45">
        <f t="shared" ref="Q17:Q18" si="4">$J$1*P17</f>
        <v>44.936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44.936</v>
      </c>
      <c r="Q18" s="45">
        <f t="shared" si="4"/>
        <v>44.936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138.18167999999997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209.20135199999999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((($H$12*$F$12*$E$12/1000)+($H$13*$F$13*$E$13/1000)+($H$15*$F$15*$E$15/1000)+($H$16*$F$16*$E$16/1000))+($O$25*$P$25*$H$3*2.5*6/1000000))/6</f>
        <v>34.866892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$N$24*6</f>
        <v>209.20135199999999</v>
      </c>
      <c r="O25" s="41">
        <f>$H$12-130</f>
        <v>3276</v>
      </c>
      <c r="P25" s="41">
        <f>$H$13-130</f>
        <v>468.66666666666663</v>
      </c>
      <c r="Q25" s="41">
        <f>6*$J$1</f>
        <v>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2:F2"/>
    <mergeCell ref="A4:J4"/>
    <mergeCell ref="L4:Q4"/>
    <mergeCell ref="J10:J11"/>
    <mergeCell ref="J12:J13"/>
    <mergeCell ref="J15:J16"/>
    <mergeCell ref="D10:D11"/>
    <mergeCell ref="E10:E11"/>
    <mergeCell ref="D12:D13"/>
    <mergeCell ref="E12:E13"/>
    <mergeCell ref="D15:D16"/>
    <mergeCell ref="E15:E16"/>
    <mergeCell ref="C12:C13"/>
    <mergeCell ref="C10:C11"/>
    <mergeCell ref="C15:C16"/>
  </mergeCells>
  <conditionalFormatting sqref="L17:Q18">
    <cfRule type="expression" dxfId="781" priority="3">
      <formula>$H$3=33</formula>
    </cfRule>
    <cfRule type="expression" dxfId="780" priority="4">
      <formula>$H$3=20</formula>
    </cfRule>
    <cfRule type="expression" dxfId="779" priority="5">
      <formula>$H$3=18</formula>
    </cfRule>
    <cfRule type="expression" dxfId="778" priority="6">
      <formula>$H$3=12</formula>
    </cfRule>
    <cfRule type="expression" dxfId="777" priority="7">
      <formula>$H$3=10</formula>
    </cfRule>
  </conditionalFormatting>
  <conditionalFormatting sqref="N24">
    <cfRule type="cellIs" dxfId="776" priority="1" operator="greaterThanOrEqual">
      <formula>67.5</formula>
    </cfRule>
    <cfRule type="cellIs" dxfId="775" priority="2" operator="greaterThanOrEqual">
      <formula>62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9" tint="-0.249977111117893"/>
  </sheetPr>
  <dimension ref="A1:AE40"/>
  <sheetViews>
    <sheetView zoomScale="70" zoomScaleNormal="70" zoomScaleSheetLayoutView="70" workbookViewId="0">
      <selection activeCell="A4" sqref="A4:J4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264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4298</v>
      </c>
      <c r="J3" s="52">
        <v>2452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4262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1200</v>
      </c>
      <c r="S6" s="6">
        <f>((H6*I6)/1000)*E6</f>
        <v>11.792953999999998</v>
      </c>
      <c r="U6" s="6">
        <f>((E6*J6)*6.4)</f>
        <v>17.7088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4262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IF($J$3&lt;=2500,14,IF($J$3&lt;=3000,18,22))</f>
        <v>14</v>
      </c>
      <c r="Q7" s="25">
        <f t="shared" ref="Q7:Q13" si="3">$J$1*P7</f>
        <v>14</v>
      </c>
      <c r="R7" s="13">
        <v>250</v>
      </c>
      <c r="S7" s="6">
        <f t="shared" ref="S7:S10" si="4">((H7*I7)/1000)*E7</f>
        <v>6.5336459999999992</v>
      </c>
      <c r="U7" s="6">
        <f t="shared" ref="U7:U9" si="5">((E7*J7)*6.4)</f>
        <v>9.8111999999999995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2452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250</v>
      </c>
      <c r="S8" s="6">
        <f t="shared" si="4"/>
        <v>4.580336</v>
      </c>
      <c r="U8" s="6">
        <f t="shared" si="5"/>
        <v>5.9776000000000007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2332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500</v>
      </c>
      <c r="S9" s="6">
        <f t="shared" si="4"/>
        <v>1.8655999999999999</v>
      </c>
      <c r="U9" s="6">
        <f t="shared" si="5"/>
        <v>2.5600000000000005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2332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630</v>
      </c>
      <c r="S10" s="6">
        <f t="shared" si="4"/>
        <v>0.88615999999999995</v>
      </c>
      <c r="U10" s="6">
        <f>((E10*J10)*6.4)</f>
        <v>3.6480000000000006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4258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170</v>
      </c>
      <c r="S11" s="6">
        <f>((H11*I11)/1000)*E10</f>
        <v>1.6180399999999999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12</v>
      </c>
      <c r="G12" s="135" t="s">
        <v>257</v>
      </c>
      <c r="H12" s="47">
        <f>$J$3-55-7-7-25</f>
        <v>2358</v>
      </c>
      <c r="I12" s="42">
        <f t="shared" si="0"/>
        <v>12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41.481935999999997</v>
      </c>
      <c r="U12" s="6">
        <f>((E12*J12)*6.4)</f>
        <v>56.294399999999996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12</v>
      </c>
      <c r="G13" s="59" t="s">
        <v>97</v>
      </c>
      <c r="H13" s="47">
        <f>($I$3-18-9.5-(8*4)-23-9.5-18)/6</f>
        <v>698</v>
      </c>
      <c r="I13" s="42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((H13*I13)/1000)*E12</f>
        <v>12.279215999999998</v>
      </c>
      <c r="U13" s="6">
        <f>((E14*J14)*6.4)</f>
        <v>2.8928000000000003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2358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72</v>
      </c>
      <c r="R14" s="13">
        <v>1.5</v>
      </c>
      <c r="U14" s="6">
        <f>((E15*J15)*6.4)</f>
        <v>10.944000000000001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12</v>
      </c>
      <c r="G15" s="42" t="s">
        <v>19</v>
      </c>
      <c r="H15" s="47">
        <f>$H$12-80-80</f>
        <v>2198</v>
      </c>
      <c r="I15" s="42">
        <f>F15*$J$1</f>
        <v>12</v>
      </c>
      <c r="J15" s="159">
        <f>ROUNDUP(((H15*I15)+(H16*I16))/6400,0)</f>
        <v>6</v>
      </c>
      <c r="K15" s="28"/>
      <c r="L15" s="25">
        <v>14</v>
      </c>
      <c r="M15" s="12" t="s">
        <v>28</v>
      </c>
      <c r="N15" s="57"/>
      <c r="O15" s="25" t="str">
        <f t="shared" ref="O15" si="6">IF($G$3="ขาว","ขาว","ดำ")</f>
        <v>ดำ</v>
      </c>
      <c r="P15" s="25">
        <v>1</v>
      </c>
      <c r="Q15" s="25">
        <f t="shared" ref="Q15:Q18" si="7">$J$1*P15</f>
        <v>1</v>
      </c>
      <c r="R15" s="6">
        <v>1100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12</v>
      </c>
      <c r="G16" s="42" t="s">
        <v>56</v>
      </c>
      <c r="H16" s="47">
        <f>$H$13-60-60</f>
        <v>578</v>
      </c>
      <c r="I16" s="42">
        <f>F16*$J$1</f>
        <v>12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7"/>
        <v>1</v>
      </c>
      <c r="S16" s="6">
        <f>((H15*I15)/1000)*E15</f>
        <v>7.5171599999999996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7"/>
        <v>1</v>
      </c>
      <c r="R17" s="6">
        <v>950</v>
      </c>
      <c r="S17" s="6">
        <f>((H16*I16)/1000)*E15</f>
        <v>1.9767599999999999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7"/>
        <v>1</v>
      </c>
      <c r="R18" s="6">
        <v>300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8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3</v>
      </c>
      <c r="Q20" s="25">
        <f>$J$1*P20</f>
        <v>3</v>
      </c>
      <c r="R20" s="6">
        <v>15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3</v>
      </c>
      <c r="Q21" s="25">
        <f>$J$1*P21</f>
        <v>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259</v>
      </c>
      <c r="N22" s="60"/>
      <c r="O22" s="57"/>
      <c r="P22" s="69">
        <f>ROUNDDOWN($H$12/1000,1)</f>
        <v>2.2999999999999998</v>
      </c>
      <c r="Q22" s="69">
        <f t="shared" ref="Q22" si="9">$J$1*P22</f>
        <v>2.2999999999999998</v>
      </c>
      <c r="R22" s="133">
        <f>SUM(R6:R21)</f>
        <v>5454.5</v>
      </c>
      <c r="S22" s="18">
        <f>SUM(S6:S21)</f>
        <v>90.531807999999984</v>
      </c>
      <c r="T22" s="6">
        <f>S22*195</f>
        <v>17653.702559999998</v>
      </c>
      <c r="U22" s="6">
        <f>SUM(U6:U17)</f>
        <v>109.8368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75.891999999999996</v>
      </c>
      <c r="Q23" s="45">
        <f>$J$1*P23</f>
        <v>75.891999999999996</v>
      </c>
      <c r="S23" s="6">
        <f>O28*P28*6*Q28*2.5/1000000</f>
        <v>113.89536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33.552</v>
      </c>
      <c r="Q24" s="45">
        <f t="shared" ref="Q24:Q25" si="10">$J$1*P24</f>
        <v>33.552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33.552</v>
      </c>
      <c r="Q25" s="45">
        <f t="shared" si="10"/>
        <v>33.552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((($H$12*$F$12*$E$12/1000)+($H$13*$F$13*$E$13/1000)+($H$15*$F$15*$E$15/1000)+($H$16*$F$16*$E$16/1000))+($O$28*$P$28*$H$3*2.5*6/1000000))/6</f>
        <v>27.149075999999997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$N$27*6</f>
        <v>162.89445599999999</v>
      </c>
      <c r="O28" s="41">
        <f>$H$12-130</f>
        <v>2228</v>
      </c>
      <c r="P28" s="41">
        <f>$H$13-130</f>
        <v>568</v>
      </c>
      <c r="Q28" s="41">
        <f>6*$J$1</f>
        <v>6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5:J16"/>
    <mergeCell ref="D10:D11"/>
    <mergeCell ref="E10:E11"/>
    <mergeCell ref="D12:D13"/>
    <mergeCell ref="E12:E13"/>
    <mergeCell ref="D15:D16"/>
    <mergeCell ref="E15:E16"/>
    <mergeCell ref="C10:C11"/>
    <mergeCell ref="C12:C13"/>
    <mergeCell ref="C15:C16"/>
  </mergeCells>
  <conditionalFormatting sqref="M24:Q25">
    <cfRule type="expression" dxfId="774" priority="13">
      <formula>$H$3=33</formula>
    </cfRule>
    <cfRule type="expression" dxfId="773" priority="14">
      <formula>$H$3=20</formula>
    </cfRule>
    <cfRule type="expression" dxfId="772" priority="15">
      <formula>$H$3=18</formula>
    </cfRule>
    <cfRule type="expression" dxfId="771" priority="16">
      <formula>$H$3=12</formula>
    </cfRule>
    <cfRule type="expression" dxfId="770" priority="17">
      <formula>$H$3=10</formula>
    </cfRule>
  </conditionalFormatting>
  <conditionalFormatting sqref="P22">
    <cfRule type="expression" dxfId="769" priority="8">
      <formula>$H$3=33</formula>
    </cfRule>
    <cfRule type="expression" dxfId="768" priority="9">
      <formula>$H$3=20</formula>
    </cfRule>
    <cfRule type="expression" dxfId="767" priority="10">
      <formula>$H$3=18</formula>
    </cfRule>
    <cfRule type="expression" dxfId="766" priority="11">
      <formula>$H$3=12</formula>
    </cfRule>
    <cfRule type="expression" dxfId="765" priority="12">
      <formula>$H$3=10</formula>
    </cfRule>
  </conditionalFormatting>
  <conditionalFormatting sqref="Q22">
    <cfRule type="expression" dxfId="764" priority="3">
      <formula>$H$3=33</formula>
    </cfRule>
    <cfRule type="expression" dxfId="763" priority="4">
      <formula>$H$3=20</formula>
    </cfRule>
    <cfRule type="expression" dxfId="762" priority="5">
      <formula>$H$3=18</formula>
    </cfRule>
    <cfRule type="expression" dxfId="761" priority="6">
      <formula>$H$3=12</formula>
    </cfRule>
    <cfRule type="expression" dxfId="760" priority="7">
      <formula>$H$3=10</formula>
    </cfRule>
  </conditionalFormatting>
  <conditionalFormatting sqref="N27">
    <cfRule type="cellIs" dxfId="759" priority="1" operator="greaterThanOrEqual">
      <formula>45.5</formula>
    </cfRule>
    <cfRule type="cellIs" dxfId="758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paperSize="9" scale="5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4" tint="-0.249977111117893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4000</v>
      </c>
      <c r="J3" s="52">
        <v>3500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IF($J$3&lt;=2700,15,22)</f>
        <v>22</v>
      </c>
      <c r="Q7" s="25">
        <f t="shared" ref="Q7:Q13" si="3">$J$1*P7</f>
        <v>22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3500</v>
      </c>
      <c r="I8" s="42">
        <f t="shared" si="0"/>
        <v>2</v>
      </c>
      <c r="J8" s="42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3380</v>
      </c>
      <c r="I9" s="42">
        <f t="shared" si="0"/>
        <v>2</v>
      </c>
      <c r="J9" s="42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3380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14</v>
      </c>
      <c r="G12" s="42" t="s">
        <v>257</v>
      </c>
      <c r="H12" s="47">
        <f>$J$3-55-7-7-25</f>
        <v>3406</v>
      </c>
      <c r="I12" s="42">
        <f t="shared" si="0"/>
        <v>14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69.904743999999994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14</v>
      </c>
      <c r="G13" s="42" t="s">
        <v>86</v>
      </c>
      <c r="H13" s="47">
        <f>($I$3-18-9.5-(8*6)-18-18)/7</f>
        <v>555.5</v>
      </c>
      <c r="I13" s="42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3406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14</v>
      </c>
      <c r="G15" s="42" t="s">
        <v>19</v>
      </c>
      <c r="H15" s="47">
        <f>$H$12-80-80</f>
        <v>3246</v>
      </c>
      <c r="I15" s="42">
        <f>F15*$J$1</f>
        <v>14</v>
      </c>
      <c r="J15" s="159">
        <f>ROUNDUP(((H15*I15)+(H16*I16))/6400,0)</f>
        <v>9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14</v>
      </c>
      <c r="G16" s="42" t="s">
        <v>56</v>
      </c>
      <c r="H16" s="47">
        <f>$H$13-60-60</f>
        <v>435.5</v>
      </c>
      <c r="I16" s="42">
        <f>F16*$J$1</f>
        <v>14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12.95154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3.4</v>
      </c>
      <c r="Q21" s="69">
        <f>$J$1*P21</f>
        <v>3.4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(($H$6*$I$6)+($H$7*$I$7)+($H$8*1)+($H$9*$I$9)+($H$12*$I$12*2)+($H$13*$I$13)+($H$14*$I$14)-($H$12*2))/1000</f>
        <v>117.92700000000001</v>
      </c>
      <c r="Q22" s="45">
        <f>$J$1*P22</f>
        <v>117.92700000000001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51.820999999999998</v>
      </c>
      <c r="Q23" s="45">
        <f t="shared" ref="Q23:Q24" si="6">$J$1*P23</f>
        <v>51.820999999999998</v>
      </c>
      <c r="S23" s="6">
        <f>O28*P28*6*Q28*2.5/1000000</f>
        <v>146.36349000000001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51.820999999999998</v>
      </c>
      <c r="Q24" s="45">
        <f t="shared" si="6"/>
        <v>51.820999999999998</v>
      </c>
      <c r="S24" s="18">
        <f>SUM(S12:S23)</f>
        <v>229.219774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((($H$12*$F$12*$E$12/1000)+($H$13*$F$13*$E$13/1000)+($H$15*$F$15*$E$15/1000)+($H$16*$F$16*$E$16/1000))+($O$28*$P$28*$H$3*2.5*7/1000000))/7</f>
        <v>39.715372000000002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278.00760400000001</v>
      </c>
      <c r="O28" s="41">
        <f>$H$12-130</f>
        <v>3276</v>
      </c>
      <c r="P28" s="41">
        <f>$H$13-130</f>
        <v>425.5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M23:Q24">
    <cfRule type="expression" dxfId="757" priority="13">
      <formula>$H$3=33</formula>
    </cfRule>
    <cfRule type="expression" dxfId="756" priority="14">
      <formula>$H$3=20</formula>
    </cfRule>
    <cfRule type="expression" dxfId="755" priority="15">
      <formula>$H$3=18</formula>
    </cfRule>
    <cfRule type="expression" dxfId="754" priority="16">
      <formula>$H$3=12</formula>
    </cfRule>
    <cfRule type="expression" dxfId="753" priority="17">
      <formula>$H$3=10</formula>
    </cfRule>
  </conditionalFormatting>
  <conditionalFormatting sqref="P21">
    <cfRule type="expression" dxfId="752" priority="8">
      <formula>$H$3=33</formula>
    </cfRule>
    <cfRule type="expression" dxfId="751" priority="9">
      <formula>$H$3=20</formula>
    </cfRule>
    <cfRule type="expression" dxfId="750" priority="10">
      <formula>$H$3=18</formula>
    </cfRule>
    <cfRule type="expression" dxfId="749" priority="11">
      <formula>$H$3=12</formula>
    </cfRule>
    <cfRule type="expression" dxfId="748" priority="12">
      <formula>$H$3=10</formula>
    </cfRule>
  </conditionalFormatting>
  <conditionalFormatting sqref="Q21">
    <cfRule type="expression" dxfId="747" priority="3">
      <formula>$H$3=33</formula>
    </cfRule>
    <cfRule type="expression" dxfId="746" priority="4">
      <formula>$H$3=20</formula>
    </cfRule>
    <cfRule type="expression" dxfId="745" priority="5">
      <formula>$H$3=18</formula>
    </cfRule>
    <cfRule type="expression" dxfId="744" priority="6">
      <formula>$H$3=12</formula>
    </cfRule>
    <cfRule type="expression" dxfId="743" priority="7">
      <formula>$H$3=10</formula>
    </cfRule>
  </conditionalFormatting>
  <conditionalFormatting sqref="N27">
    <cfRule type="cellIs" dxfId="742" priority="1" operator="greaterThanOrEqual">
      <formula>45.5</formula>
    </cfRule>
    <cfRule type="cellIs" dxfId="741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1464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IF($J$3&lt;=2700,17,24)</f>
        <v>17</v>
      </c>
      <c r="Q7" s="25">
        <f t="shared" ref="Q7:Q13" si="3">$J$1*P7</f>
        <v>17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2600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2480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2480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1460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14</v>
      </c>
      <c r="G12" s="135" t="s">
        <v>257</v>
      </c>
      <c r="H12" s="47">
        <f>$J$3-55-7-7-25</f>
        <v>2506</v>
      </c>
      <c r="I12" s="42">
        <f t="shared" si="0"/>
        <v>14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51.433144000000006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14</v>
      </c>
      <c r="G13" s="59" t="s">
        <v>93</v>
      </c>
      <c r="H13" s="47">
        <f>($I$3-18-9.5-(8*5)-58-9.5-18)/7</f>
        <v>192.42857142857142</v>
      </c>
      <c r="I13" s="42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2506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2506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14</v>
      </c>
      <c r="G16" s="42" t="s">
        <v>19</v>
      </c>
      <c r="H16" s="47">
        <f>$H$12-80-80</f>
        <v>2346</v>
      </c>
      <c r="I16" s="42">
        <f>F16*$J$1</f>
        <v>14</v>
      </c>
      <c r="J16" s="159">
        <f>ROUNDUP(((H16*I16)+(H17*I17))/6400,0)</f>
        <v>6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9.3605400000000003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14</v>
      </c>
      <c r="G17" s="42" t="s">
        <v>56</v>
      </c>
      <c r="H17" s="47">
        <f>$H$13-60-60</f>
        <v>72.428571428571416</v>
      </c>
      <c r="I17" s="42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2.5</v>
      </c>
      <c r="Q21" s="69">
        <f>$J$1*P21</f>
        <v>2.5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93.373999999999995</v>
      </c>
      <c r="Q22" s="45">
        <f>$J$1*P22</f>
        <v>93.373999999999995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34.137999999999998</v>
      </c>
      <c r="Q23" s="45">
        <f t="shared" ref="Q23:Q24" si="6">$J$1*P23</f>
        <v>34.137999999999998</v>
      </c>
      <c r="S23" s="6">
        <f>O28*P28*6*Q28*2.5/1000000</f>
        <v>15.574679999999995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34.137999999999998</v>
      </c>
      <c r="Q24" s="45">
        <f t="shared" si="6"/>
        <v>34.137999999999998</v>
      </c>
      <c r="S24" s="18">
        <f>SUM(S12:S23)</f>
        <v>76.368364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10.909766285714285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76.368364</v>
      </c>
      <c r="O28" s="41">
        <f>$H$12-130</f>
        <v>2376</v>
      </c>
      <c r="P28" s="41">
        <f>$H$13-130</f>
        <v>62.428571428571416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6:J17"/>
    <mergeCell ref="D10:D11"/>
    <mergeCell ref="E10:E11"/>
    <mergeCell ref="C10:C11"/>
    <mergeCell ref="D12:D13"/>
    <mergeCell ref="E12:E13"/>
    <mergeCell ref="C12:C13"/>
    <mergeCell ref="D16:D17"/>
    <mergeCell ref="E16:E17"/>
    <mergeCell ref="C16:C17"/>
  </mergeCells>
  <conditionalFormatting sqref="M23:Q24">
    <cfRule type="expression" dxfId="740" priority="13">
      <formula>$H$3=33</formula>
    </cfRule>
    <cfRule type="expression" dxfId="739" priority="14">
      <formula>$H$3=20</formula>
    </cfRule>
    <cfRule type="expression" dxfId="738" priority="15">
      <formula>$H$3=18</formula>
    </cfRule>
    <cfRule type="expression" dxfId="737" priority="16">
      <formula>$H$3=12</formula>
    </cfRule>
    <cfRule type="expression" dxfId="736" priority="17">
      <formula>$H$3=10</formula>
    </cfRule>
  </conditionalFormatting>
  <conditionalFormatting sqref="P21">
    <cfRule type="expression" dxfId="735" priority="8">
      <formula>$H$3=33</formula>
    </cfRule>
    <cfRule type="expression" dxfId="734" priority="9">
      <formula>$H$3=20</formula>
    </cfRule>
    <cfRule type="expression" dxfId="733" priority="10">
      <formula>$H$3=18</formula>
    </cfRule>
    <cfRule type="expression" dxfId="732" priority="11">
      <formula>$H$3=12</formula>
    </cfRule>
    <cfRule type="expression" dxfId="731" priority="12">
      <formula>$H$3=10</formula>
    </cfRule>
  </conditionalFormatting>
  <conditionalFormatting sqref="Q21">
    <cfRule type="expression" dxfId="730" priority="3">
      <formula>$H$3=33</formula>
    </cfRule>
    <cfRule type="expression" dxfId="729" priority="4">
      <formula>$H$3=20</formula>
    </cfRule>
    <cfRule type="expression" dxfId="728" priority="5">
      <formula>$H$3=18</formula>
    </cfRule>
    <cfRule type="expression" dxfId="727" priority="6">
      <formula>$H$3=12</formula>
    </cfRule>
    <cfRule type="expression" dxfId="726" priority="7">
      <formula>$H$3=10</formula>
    </cfRule>
  </conditionalFormatting>
  <conditionalFormatting sqref="N27">
    <cfRule type="cellIs" dxfId="725" priority="1" operator="greaterThanOrEqual">
      <formula>54.5</formula>
    </cfRule>
    <cfRule type="cellIs" dxfId="724" priority="2" operator="greaterThanOrEqual">
      <formula>49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IF($J$3&lt;=2700,18,26)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2750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2630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2630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14</v>
      </c>
      <c r="G12" s="135" t="s">
        <v>257</v>
      </c>
      <c r="H12" s="47">
        <f>$J$3-55-7-7-25</f>
        <v>2656</v>
      </c>
      <c r="I12" s="42">
        <f t="shared" si="0"/>
        <v>14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54.511743999999993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14</v>
      </c>
      <c r="G13" s="59" t="s">
        <v>93</v>
      </c>
      <c r="H13" s="47">
        <f>($I$3-18-9.5-(8*5)-58-9.5-18)/7</f>
        <v>621</v>
      </c>
      <c r="I13" s="42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2656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2656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14</v>
      </c>
      <c r="G16" s="42" t="s">
        <v>19</v>
      </c>
      <c r="H16" s="47">
        <f>$H$12-80-80</f>
        <v>2496</v>
      </c>
      <c r="I16" s="42">
        <f>F16*$J$1</f>
        <v>14</v>
      </c>
      <c r="J16" s="159">
        <f>ROUNDUP(((H16*I16)+(H17*I17))/6400,0)</f>
        <v>7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9.9590399999999999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14</v>
      </c>
      <c r="G17" s="42" t="s">
        <v>56</v>
      </c>
      <c r="H17" s="47">
        <f>$H$13-60-60</f>
        <v>501</v>
      </c>
      <c r="I17" s="42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110.624</v>
      </c>
      <c r="Q22" s="45">
        <f>$J$1*P22</f>
        <v>110.624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42.238</v>
      </c>
      <c r="Q23" s="45">
        <f t="shared" ref="Q23:Q24" si="6">$J$1*P23</f>
        <v>42.238</v>
      </c>
      <c r="S23" s="6">
        <f>O28*P28*6*Q28*2.5/1000000</f>
        <v>130.22792999999999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42.238</v>
      </c>
      <c r="Q24" s="45">
        <f t="shared" si="6"/>
        <v>42.238</v>
      </c>
      <c r="S24" s="18">
        <f>SUM(S12:S23)</f>
        <v>194.698714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27.814101999999998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194.698714</v>
      </c>
      <c r="O28" s="41">
        <f>$H$12-130</f>
        <v>2526</v>
      </c>
      <c r="P28" s="41">
        <f>$H$13-130</f>
        <v>491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6:J17"/>
    <mergeCell ref="D10:D11"/>
    <mergeCell ref="C10:C11"/>
    <mergeCell ref="D12:D13"/>
    <mergeCell ref="C12:C13"/>
    <mergeCell ref="E12:E13"/>
    <mergeCell ref="E10:E11"/>
    <mergeCell ref="D16:D17"/>
    <mergeCell ref="E16:E17"/>
    <mergeCell ref="C16:C17"/>
  </mergeCells>
  <conditionalFormatting sqref="M23:Q24">
    <cfRule type="expression" dxfId="723" priority="13">
      <formula>$H$3=33</formula>
    </cfRule>
    <cfRule type="expression" dxfId="722" priority="14">
      <formula>$H$3=20</formula>
    </cfRule>
    <cfRule type="expression" dxfId="721" priority="15">
      <formula>$H$3=18</formula>
    </cfRule>
    <cfRule type="expression" dxfId="720" priority="16">
      <formula>$H$3=12</formula>
    </cfRule>
    <cfRule type="expression" dxfId="719" priority="17">
      <formula>$H$3=10</formula>
    </cfRule>
  </conditionalFormatting>
  <conditionalFormatting sqref="P21">
    <cfRule type="expression" dxfId="718" priority="8">
      <formula>$H$3=33</formula>
    </cfRule>
    <cfRule type="expression" dxfId="717" priority="9">
      <formula>$H$3=20</formula>
    </cfRule>
    <cfRule type="expression" dxfId="716" priority="10">
      <formula>$H$3=18</formula>
    </cfRule>
    <cfRule type="expression" dxfId="715" priority="11">
      <formula>$H$3=12</formula>
    </cfRule>
    <cfRule type="expression" dxfId="714" priority="12">
      <formula>$H$3=10</formula>
    </cfRule>
  </conditionalFormatting>
  <conditionalFormatting sqref="Q21">
    <cfRule type="expression" dxfId="713" priority="3">
      <formula>$H$3=33</formula>
    </cfRule>
    <cfRule type="expression" dxfId="712" priority="4">
      <formula>$H$3=20</formula>
    </cfRule>
    <cfRule type="expression" dxfId="711" priority="5">
      <formula>$H$3=18</formula>
    </cfRule>
    <cfRule type="expression" dxfId="710" priority="6">
      <formula>$H$3=12</formula>
    </cfRule>
    <cfRule type="expression" dxfId="709" priority="7">
      <formula>$H$3=10</formula>
    </cfRule>
  </conditionalFormatting>
  <conditionalFormatting sqref="N27">
    <cfRule type="cellIs" dxfId="708" priority="1" operator="greaterThanOrEqual">
      <formula>45.5</formula>
    </cfRule>
    <cfRule type="cellIs" dxfId="707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4770</v>
      </c>
      <c r="J3" s="52">
        <v>2960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4734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4734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134">
        <f>IF($J$3&lt;=2500,18,IF($J$3&lt;=3000,26,34))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2960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2840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2840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4730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14</v>
      </c>
      <c r="G12" s="135" t="s">
        <v>257</v>
      </c>
      <c r="H12" s="47">
        <f>$J$3-55-7-7-25</f>
        <v>2866</v>
      </c>
      <c r="I12" s="42">
        <f t="shared" si="0"/>
        <v>14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58.821784000000001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14</v>
      </c>
      <c r="G13" s="59" t="s">
        <v>93</v>
      </c>
      <c r="H13" s="47">
        <f>($I$3-18-9.5-(8*5)-58-9.5-18)/7</f>
        <v>659.57142857142856</v>
      </c>
      <c r="I13" s="42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2866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2866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14</v>
      </c>
      <c r="G16" s="42" t="s">
        <v>19</v>
      </c>
      <c r="H16" s="47">
        <f>$H$12-80-80</f>
        <v>2706</v>
      </c>
      <c r="I16" s="42">
        <f>F16*$J$1</f>
        <v>14</v>
      </c>
      <c r="J16" s="159">
        <f>ROUNDUP(((H16*I16)+(H17*I17))/6400,0)</f>
        <v>8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10.796939999999999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14</v>
      </c>
      <c r="G17" s="42" t="s">
        <v>56</v>
      </c>
      <c r="H17" s="47">
        <f>$H$13-60-60</f>
        <v>539.57142857142856</v>
      </c>
      <c r="I17" s="42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2.8</v>
      </c>
      <c r="Q21" s="69">
        <f>$J$1*P21</f>
        <v>2.8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119.054</v>
      </c>
      <c r="Q22" s="45">
        <f>$J$1*P22</f>
        <v>119.054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45.718000000000004</v>
      </c>
      <c r="Q23" s="45">
        <f t="shared" ref="Q23:Q24" si="6">$J$1*P23</f>
        <v>45.718000000000004</v>
      </c>
      <c r="S23" s="6">
        <f>O28*P28*6*Q28*2.5/1000000</f>
        <v>152.13527999999999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45.718000000000004</v>
      </c>
      <c r="Q24" s="45">
        <f t="shared" si="6"/>
        <v>45.718000000000004</v>
      </c>
      <c r="S24" s="18">
        <f>SUM(S12:S23)</f>
        <v>221.75400400000001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31.679143428571422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221.75400399999995</v>
      </c>
      <c r="O28" s="41">
        <f>$H$12-130</f>
        <v>2736</v>
      </c>
      <c r="P28" s="41">
        <f>$H$13-130</f>
        <v>529.57142857142856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6:J17"/>
    <mergeCell ref="D10:D11"/>
    <mergeCell ref="E10:E11"/>
    <mergeCell ref="D12:D13"/>
    <mergeCell ref="E12:E13"/>
    <mergeCell ref="C10:C11"/>
    <mergeCell ref="C12:C13"/>
    <mergeCell ref="D16:D17"/>
    <mergeCell ref="E16:E17"/>
    <mergeCell ref="C16:C17"/>
  </mergeCells>
  <conditionalFormatting sqref="M23:Q24">
    <cfRule type="expression" dxfId="706" priority="13">
      <formula>$H$3=33</formula>
    </cfRule>
    <cfRule type="expression" dxfId="705" priority="14">
      <formula>$H$3=20</formula>
    </cfRule>
    <cfRule type="expression" dxfId="704" priority="15">
      <formula>$H$3=18</formula>
    </cfRule>
    <cfRule type="expression" dxfId="703" priority="16">
      <formula>$H$3=12</formula>
    </cfRule>
    <cfRule type="expression" dxfId="702" priority="17">
      <formula>$H$3=10</formula>
    </cfRule>
  </conditionalFormatting>
  <conditionalFormatting sqref="P21">
    <cfRule type="expression" dxfId="701" priority="8">
      <formula>$H$3=33</formula>
    </cfRule>
    <cfRule type="expression" dxfId="700" priority="9">
      <formula>$H$3=20</formula>
    </cfRule>
    <cfRule type="expression" dxfId="699" priority="10">
      <formula>$H$3=18</formula>
    </cfRule>
    <cfRule type="expression" dxfId="698" priority="11">
      <formula>$H$3=12</formula>
    </cfRule>
    <cfRule type="expression" dxfId="697" priority="12">
      <formula>$H$3=10</formula>
    </cfRule>
  </conditionalFormatting>
  <conditionalFormatting sqref="Q21">
    <cfRule type="expression" dxfId="696" priority="3">
      <formula>$H$3=33</formula>
    </cfRule>
    <cfRule type="expression" dxfId="695" priority="4">
      <formula>$H$3=20</formula>
    </cfRule>
    <cfRule type="expression" dxfId="694" priority="5">
      <formula>$H$3=18</formula>
    </cfRule>
    <cfRule type="expression" dxfId="693" priority="6">
      <formula>$H$3=12</formula>
    </cfRule>
    <cfRule type="expression" dxfId="692" priority="7">
      <formula>$H$3=10</formula>
    </cfRule>
  </conditionalFormatting>
  <conditionalFormatting sqref="N27">
    <cfRule type="cellIs" dxfId="691" priority="1" operator="greaterThanOrEqual">
      <formula>45.5</formula>
    </cfRule>
    <cfRule type="cellIs" dxfId="690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7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1300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1264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1264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IF($J$3&lt;=2700,19,28)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2750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2630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2630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1260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16</v>
      </c>
      <c r="G12" s="135" t="s">
        <v>257</v>
      </c>
      <c r="H12" s="47">
        <f>$J$3-55-7-7-25</f>
        <v>2656</v>
      </c>
      <c r="I12" s="42">
        <f t="shared" si="0"/>
        <v>16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62.299136000000004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16</v>
      </c>
      <c r="G13" s="42" t="s">
        <v>77</v>
      </c>
      <c r="H13" s="47">
        <f>($I$3-18-9.5-(8*7)-50-18)/8</f>
        <v>143.5625</v>
      </c>
      <c r="I13" s="42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2656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2670</v>
      </c>
      <c r="I15" s="25">
        <f t="shared" si="0"/>
        <v>1</v>
      </c>
      <c r="J15" s="25">
        <f t="shared" si="1"/>
        <v>1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(($H$6*$I$6)+($H$7*$I$7)+($H$8*1)+($H$9*$I$9)+($H$12*$I$12*2)+($H$14*$I$13*2)+($H$13*3)+($H$15*$I$15))/1000</f>
        <v>183.62268750000001</v>
      </c>
      <c r="Q15" s="45">
        <f t="shared" ref="Q15" si="4">$J$1*P15</f>
        <v>183.62268750000001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16</v>
      </c>
      <c r="G16" s="42" t="s">
        <v>19</v>
      </c>
      <c r="H16" s="47">
        <f>$H$12-80-80</f>
        <v>2496</v>
      </c>
      <c r="I16" s="42">
        <f t="shared" si="0"/>
        <v>16</v>
      </c>
      <c r="J16" s="159">
        <f>ROUNDUP(((H16*I16)+(H17*I17))/6400,0)</f>
        <v>7</v>
      </c>
      <c r="K16" s="28"/>
      <c r="L16" s="42">
        <v>15</v>
      </c>
      <c r="M16" s="43" t="s">
        <v>75</v>
      </c>
      <c r="N16" s="44"/>
      <c r="O16" s="42" t="s">
        <v>1</v>
      </c>
      <c r="P16" s="45">
        <f>(($H$14*2)+($H$15*2))/1000</f>
        <v>10.651999999999999</v>
      </c>
      <c r="Q16" s="45">
        <f>$J$1*P16</f>
        <v>10.651999999999999</v>
      </c>
      <c r="S16" s="6">
        <f>((H16*I16)/1000)*E16</f>
        <v>11.38176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42">
        <v>16</v>
      </c>
      <c r="G17" s="42" t="s">
        <v>56</v>
      </c>
      <c r="H17" s="47">
        <f>$H$13-60-60</f>
        <v>23.5625</v>
      </c>
      <c r="I17" s="42">
        <f t="shared" si="0"/>
        <v>16</v>
      </c>
      <c r="J17" s="160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40.633000000000003</v>
      </c>
      <c r="Q17" s="45">
        <f>$J$1*P17</f>
        <v>40.633000000000003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40.633000000000003</v>
      </c>
      <c r="Q18" s="45">
        <f>$J$1*P18</f>
        <v>40.633000000000003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4.111065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77.791961000000001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((($H$12*$F$12*$E$12/1000)+($H$13*$F$13*$E$13/1000)+($H$16*$F$16*$E$16/1000)+($H$17*$F$17*$E$17/1000))+($O$25*$P$25*$H$3*2.5*8/1000000))/8</f>
        <v>9.7239951249999983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77.791960999999986</v>
      </c>
      <c r="O25" s="41">
        <f>$H$12-130</f>
        <v>2526</v>
      </c>
      <c r="P25" s="41">
        <f>$H$13-130</f>
        <v>13.5625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C2:F2"/>
    <mergeCell ref="A4:J4"/>
    <mergeCell ref="L4:Q4"/>
    <mergeCell ref="O23:Q23"/>
    <mergeCell ref="J10:J11"/>
    <mergeCell ref="J12:J13"/>
    <mergeCell ref="J16:J17"/>
    <mergeCell ref="D10:D11"/>
    <mergeCell ref="E10:E11"/>
    <mergeCell ref="C10:C11"/>
    <mergeCell ref="C12:C13"/>
    <mergeCell ref="D12:D13"/>
    <mergeCell ref="E12:E13"/>
    <mergeCell ref="D16:D17"/>
    <mergeCell ref="E16:E17"/>
    <mergeCell ref="C16:C17"/>
  </mergeCells>
  <conditionalFormatting sqref="L17:Q18">
    <cfRule type="expression" dxfId="689" priority="3">
      <formula>$H$3=33</formula>
    </cfRule>
    <cfRule type="expression" dxfId="688" priority="4">
      <formula>$H$3=20</formula>
    </cfRule>
    <cfRule type="expression" dxfId="687" priority="5">
      <formula>$H$3=18</formula>
    </cfRule>
    <cfRule type="expression" dxfId="686" priority="6">
      <formula>$H$3=12</formula>
    </cfRule>
    <cfRule type="expression" dxfId="685" priority="7">
      <formula>$H$3=10</formula>
    </cfRule>
  </conditionalFormatting>
  <conditionalFormatting sqref="N24">
    <cfRule type="cellIs" dxfId="684" priority="1" operator="greaterThanOrEqual">
      <formula>52.5</formula>
    </cfRule>
    <cfRule type="cellIs" dxfId="683" priority="2" operator="greaterThanOrEqual">
      <formula>47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7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1464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IF($J$3&lt;=2700,15,22)</f>
        <v>15</v>
      </c>
      <c r="Q7" s="25">
        <f t="shared" ref="Q7:Q13" si="3">$J$1*P7</f>
        <v>15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2600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2480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2480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1460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16</v>
      </c>
      <c r="G12" s="42" t="s">
        <v>257</v>
      </c>
      <c r="H12" s="47">
        <f>$J$3-55-7-7-25</f>
        <v>2506</v>
      </c>
      <c r="I12" s="42">
        <f t="shared" si="0"/>
        <v>16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58.78073599999999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16</v>
      </c>
      <c r="G13" s="59" t="s">
        <v>98</v>
      </c>
      <c r="H13" s="47">
        <f>($I$3-18-9.5-(8*6)-23-9.5-18)/8</f>
        <v>171.75</v>
      </c>
      <c r="I13" s="42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2506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16</v>
      </c>
      <c r="G15" s="42" t="s">
        <v>19</v>
      </c>
      <c r="H15" s="47">
        <f>$H$12-80-80</f>
        <v>2346</v>
      </c>
      <c r="I15" s="42">
        <f>F15*$J$1</f>
        <v>16</v>
      </c>
      <c r="J15" s="159">
        <f>ROUNDUP(((H15*I15)+(H16*I16))/6400,0)</f>
        <v>6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16</v>
      </c>
      <c r="G16" s="42" t="s">
        <v>56</v>
      </c>
      <c r="H16" s="47">
        <f>$H$13-60-60</f>
        <v>51.75</v>
      </c>
      <c r="I16" s="42">
        <f>F16*$J$1</f>
        <v>16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10.697759999999999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18</v>
      </c>
      <c r="M20" s="12" t="s">
        <v>113</v>
      </c>
      <c r="N20" s="60"/>
      <c r="O20" s="57" t="s">
        <v>1</v>
      </c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19</v>
      </c>
      <c r="M21" s="12" t="s">
        <v>110</v>
      </c>
      <c r="N21" s="60"/>
      <c r="O21" s="57"/>
      <c r="P21" s="25">
        <f>IF($J$3&lt;=2700,3,4)</f>
        <v>3</v>
      </c>
      <c r="Q21" s="25">
        <f>$J$1*P21</f>
        <v>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20</v>
      </c>
      <c r="M22" s="68" t="s">
        <v>111</v>
      </c>
      <c r="N22" s="60"/>
      <c r="O22" s="57"/>
      <c r="P22" s="69">
        <f>ROUNDDOWN($H$12/1000,1)</f>
        <v>2.5</v>
      </c>
      <c r="Q22" s="69">
        <f>$J$1*P22</f>
        <v>2.5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19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88.415999999999997</v>
      </c>
      <c r="Q23" s="45">
        <f>$J$1*P23</f>
        <v>88.415999999999997</v>
      </c>
      <c r="S23" s="6">
        <f>O28*P28*6*Q28*2.5/1000000</f>
        <v>11.90376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20</v>
      </c>
      <c r="M24" s="43" t="s">
        <v>65</v>
      </c>
      <c r="N24" s="58"/>
      <c r="O24" s="42" t="s">
        <v>1</v>
      </c>
      <c r="P24" s="45">
        <f>(($O$28+$P$28)*2)*$Q$28/1000</f>
        <v>38.683999999999997</v>
      </c>
      <c r="Q24" s="45">
        <f t="shared" ref="Q24:Q25" si="7">$J$1*P24</f>
        <v>38.683999999999997</v>
      </c>
      <c r="S24" s="18">
        <f>SUM(S12:S23)</f>
        <v>81.382255999999998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21</v>
      </c>
      <c r="M25" s="43" t="s">
        <v>66</v>
      </c>
      <c r="N25" s="58"/>
      <c r="O25" s="42" t="s">
        <v>1</v>
      </c>
      <c r="P25" s="45">
        <f>(($O$28+$P$28)*2)*$Q$28/1000</f>
        <v>38.683999999999997</v>
      </c>
      <c r="Q25" s="45">
        <f t="shared" si="7"/>
        <v>38.683999999999997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((($H$12*$F$12*$E$12/1000)+($H$13*$F$13*$E$13/1000)+($H$15*$F$15*$E$15/1000)+($H$16*$F$16*$E$16/1000))+($O$28*$P$28*$H$3*2.5*8/1000000))/8</f>
        <v>10.172782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$N$27*8</f>
        <v>81.382255999999998</v>
      </c>
      <c r="O28" s="41">
        <f>$H$12-130</f>
        <v>2376</v>
      </c>
      <c r="P28" s="41">
        <f>$H$13-130</f>
        <v>41.75</v>
      </c>
      <c r="Q28" s="41">
        <f>8*$J$1</f>
        <v>8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D12:D13"/>
    <mergeCell ref="E12:E13"/>
    <mergeCell ref="C12:C13"/>
    <mergeCell ref="D15:D16"/>
    <mergeCell ref="E15:E16"/>
    <mergeCell ref="C15:C16"/>
  </mergeCells>
  <conditionalFormatting sqref="L24:Q25">
    <cfRule type="expression" dxfId="682" priority="13">
      <formula>$H$3=33</formula>
    </cfRule>
    <cfRule type="expression" dxfId="681" priority="14">
      <formula>$H$3=20</formula>
    </cfRule>
    <cfRule type="expression" dxfId="680" priority="15">
      <formula>$H$3=18</formula>
    </cfRule>
    <cfRule type="expression" dxfId="679" priority="16">
      <formula>$H$3=12</formula>
    </cfRule>
    <cfRule type="expression" dxfId="678" priority="17">
      <formula>$H$3=10</formula>
    </cfRule>
  </conditionalFormatting>
  <conditionalFormatting sqref="P22">
    <cfRule type="expression" dxfId="677" priority="8">
      <formula>$H$3=33</formula>
    </cfRule>
    <cfRule type="expression" dxfId="676" priority="9">
      <formula>$H$3=20</formula>
    </cfRule>
    <cfRule type="expression" dxfId="675" priority="10">
      <formula>$H$3=18</formula>
    </cfRule>
    <cfRule type="expression" dxfId="674" priority="11">
      <formula>$H$3=12</formula>
    </cfRule>
    <cfRule type="expression" dxfId="673" priority="12">
      <formula>$H$3=10</formula>
    </cfRule>
  </conditionalFormatting>
  <conditionalFormatting sqref="Q22">
    <cfRule type="expression" dxfId="672" priority="3">
      <formula>$H$3=33</formula>
    </cfRule>
    <cfRule type="expression" dxfId="671" priority="4">
      <formula>$H$3=20</formula>
    </cfRule>
    <cfRule type="expression" dxfId="670" priority="5">
      <formula>$H$3=18</formula>
    </cfRule>
    <cfRule type="expression" dxfId="669" priority="6">
      <formula>$H$3=12</formula>
    </cfRule>
    <cfRule type="expression" dxfId="668" priority="7">
      <formula>$H$3=10</formula>
    </cfRule>
  </conditionalFormatting>
  <conditionalFormatting sqref="N27">
    <cfRule type="cellIs" dxfId="667" priority="1" operator="greaterThanOrEqual">
      <formula>45.5</formula>
    </cfRule>
    <cfRule type="cellIs" dxfId="666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7" tint="-0.249977111117893"/>
  </sheetPr>
  <dimension ref="A1:AE37"/>
  <sheetViews>
    <sheetView view="pageBreakPreview" zoomScale="70" zoomScaleNormal="55" zoomScaleSheetLayoutView="70" workbookViewId="0">
      <selection activeCell="A4" sqref="A4:J4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4710</v>
      </c>
      <c r="J3" s="52">
        <v>2400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4674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4674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22</v>
      </c>
      <c r="Q7" s="25">
        <f t="shared" ref="Q7:Q13" si="3">$J$1*P7</f>
        <v>22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2400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2280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2280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4670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16</v>
      </c>
      <c r="G12" s="135" t="s">
        <v>257</v>
      </c>
      <c r="H12" s="47">
        <f>$J$3-55-7-7-25</f>
        <v>2306</v>
      </c>
      <c r="I12" s="42">
        <f t="shared" si="0"/>
        <v>16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54.089536000000003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16</v>
      </c>
      <c r="G13" s="59" t="s">
        <v>117</v>
      </c>
      <c r="H13" s="47">
        <f>($I$3-18-9.5-(8*6)-71-9.5-18)/8</f>
        <v>567</v>
      </c>
      <c r="I13" s="42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2306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16</v>
      </c>
      <c r="G15" s="42" t="s">
        <v>19</v>
      </c>
      <c r="H15" s="47">
        <f>$H$12-80-80</f>
        <v>2146</v>
      </c>
      <c r="I15" s="42">
        <f t="shared" si="0"/>
        <v>16</v>
      </c>
      <c r="J15" s="159">
        <f>ROUNDUP(((H15*I15)+(H16*I16))/6400,0)</f>
        <v>7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124.48</v>
      </c>
      <c r="Q15" s="45">
        <f>$J$1*P15</f>
        <v>124.48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16</v>
      </c>
      <c r="G16" s="42" t="s">
        <v>56</v>
      </c>
      <c r="H16" s="47">
        <f>$H$13-60-60</f>
        <v>447</v>
      </c>
      <c r="I16" s="42">
        <f t="shared" si="0"/>
        <v>16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9.2240000000000002</v>
      </c>
      <c r="Q16" s="45">
        <f>$J$1*P16</f>
        <v>9.2240000000000002</v>
      </c>
      <c r="S16" s="6">
        <f>((H15*I15)/1000)*E15</f>
        <v>9.785759999999998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41.808</v>
      </c>
      <c r="Q17" s="45">
        <f t="shared" ref="Q17:Q18" si="4">$J$1*P17</f>
        <v>41.808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41.808</v>
      </c>
      <c r="Q18" s="45">
        <f t="shared" si="4"/>
        <v>41.808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114.10944000000001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177.984736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((($H$12*$F$12*$E$12/1000)+($H$13*$F$13*$E$13/1000)+($H$15*$F$15*$E$15/1000)+($H$16*$F$16*$E$16/1000))+($O$25*$P$25*$H$3*2.5*8/1000000))/8</f>
        <v>22.248092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177.984736</v>
      </c>
      <c r="O25" s="41">
        <f>$H$12-130</f>
        <v>2176</v>
      </c>
      <c r="P25" s="41">
        <f>$H$13-130</f>
        <v>437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J15:J16"/>
    <mergeCell ref="O23:Q23"/>
    <mergeCell ref="C2:F2"/>
    <mergeCell ref="A4:J4"/>
    <mergeCell ref="L4:Q4"/>
    <mergeCell ref="J10:J11"/>
    <mergeCell ref="J12:J13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L17:Q18">
    <cfRule type="expression" dxfId="665" priority="3">
      <formula>$H$3=33</formula>
    </cfRule>
    <cfRule type="expression" dxfId="664" priority="4">
      <formula>$H$3=20</formula>
    </cfRule>
    <cfRule type="expression" dxfId="663" priority="5">
      <formula>$H$3=18</formula>
    </cfRule>
    <cfRule type="expression" dxfId="662" priority="6">
      <formula>$H$3=12</formula>
    </cfRule>
    <cfRule type="expression" dxfId="661" priority="7">
      <formula>$H$3=10</formula>
    </cfRule>
  </conditionalFormatting>
  <conditionalFormatting sqref="N24">
    <cfRule type="cellIs" dxfId="660" priority="1" operator="greaterThanOrEqual">
      <formula>60.5</formula>
    </cfRule>
    <cfRule type="cellIs" dxfId="659" priority="2" operator="greaterThanOrEqual">
      <formula>55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7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IF($J$3&lt;=2700,18,26)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3200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3080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3080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3360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16</v>
      </c>
      <c r="G12" s="135" t="s">
        <v>257</v>
      </c>
      <c r="H12" s="47">
        <f>$J$3-55-7-7-25</f>
        <v>3106</v>
      </c>
      <c r="I12" s="42">
        <f t="shared" si="0"/>
        <v>16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72.854335999999989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16</v>
      </c>
      <c r="G13" s="59" t="s">
        <v>98</v>
      </c>
      <c r="H13" s="47">
        <f>($I$3-18-9.5-(8*6)-23-9.5-18)/8</f>
        <v>409.25</v>
      </c>
      <c r="I13" s="42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16</v>
      </c>
      <c r="G15" s="42" t="s">
        <v>19</v>
      </c>
      <c r="H15" s="47">
        <f>$H$12-80-80</f>
        <v>2946</v>
      </c>
      <c r="I15" s="42">
        <f>F15*$J$1</f>
        <v>16</v>
      </c>
      <c r="J15" s="159">
        <f>ROUNDUP(((H15*I15)+(H16*I16))/6400,0)</f>
        <v>9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16</v>
      </c>
      <c r="G16" s="42" t="s">
        <v>56</v>
      </c>
      <c r="H16" s="47">
        <f>$H$13-60-60</f>
        <v>289.25</v>
      </c>
      <c r="I16" s="42">
        <f>F16*$J$1</f>
        <v>16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13.433759999999999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115.816</v>
      </c>
      <c r="Q23" s="45">
        <f>$J$1*P23</f>
        <v>115.816</v>
      </c>
      <c r="S23" s="6">
        <f>O28*P28*6*Q28*2.5/1000000</f>
        <v>99.725759999999994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52.084000000000003</v>
      </c>
      <c r="Q24" s="45">
        <f t="shared" ref="Q24:Q25" si="8">$J$1*P24</f>
        <v>52.084000000000003</v>
      </c>
      <c r="S24" s="18">
        <f>SUM(S12:S23)</f>
        <v>186.01385599999998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52.084000000000003</v>
      </c>
      <c r="Q25" s="45">
        <f t="shared" si="8"/>
        <v>52.084000000000003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((($H$12*$F$12*$E$12/1000)+($H$13*$F$13*$E$13/1000)+($H$15*$F$15*$E$15/1000)+($H$16*$F$16*$E$16/1000))+($O$28*$P$28*$H$3*2.5*8/1000000))/8</f>
        <v>23.251731999999997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$N$27*8</f>
        <v>186.01385599999998</v>
      </c>
      <c r="O28" s="41">
        <f>$H$12-130</f>
        <v>2976</v>
      </c>
      <c r="P28" s="41">
        <f>$H$13-130</f>
        <v>279.25</v>
      </c>
      <c r="Q28" s="41">
        <f>8*$J$1</f>
        <v>8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M24:Q25">
    <cfRule type="expression" dxfId="658" priority="13">
      <formula>$H$3=33</formula>
    </cfRule>
    <cfRule type="expression" dxfId="657" priority="14">
      <formula>$H$3=20</formula>
    </cfRule>
    <cfRule type="expression" dxfId="656" priority="15">
      <formula>$H$3=18</formula>
    </cfRule>
    <cfRule type="expression" dxfId="655" priority="16">
      <formula>$H$3=12</formula>
    </cfRule>
    <cfRule type="expression" dxfId="654" priority="17">
      <formula>$H$3=10</formula>
    </cfRule>
  </conditionalFormatting>
  <conditionalFormatting sqref="P22">
    <cfRule type="expression" dxfId="653" priority="8">
      <formula>$H$3=33</formula>
    </cfRule>
    <cfRule type="expression" dxfId="652" priority="9">
      <formula>$H$3=20</formula>
    </cfRule>
    <cfRule type="expression" dxfId="651" priority="10">
      <formula>$H$3=18</formula>
    </cfRule>
    <cfRule type="expression" dxfId="650" priority="11">
      <formula>$H$3=12</formula>
    </cfRule>
    <cfRule type="expression" dxfId="649" priority="12">
      <formula>$H$3=10</formula>
    </cfRule>
  </conditionalFormatting>
  <conditionalFormatting sqref="Q22">
    <cfRule type="expression" dxfId="648" priority="3">
      <formula>$H$3=33</formula>
    </cfRule>
    <cfRule type="expression" dxfId="647" priority="4">
      <formula>$H$3=20</formula>
    </cfRule>
    <cfRule type="expression" dxfId="646" priority="5">
      <formula>$H$3=18</formula>
    </cfRule>
    <cfRule type="expression" dxfId="645" priority="6">
      <formula>$H$3=12</formula>
    </cfRule>
    <cfRule type="expression" dxfId="644" priority="7">
      <formula>$H$3=10</formula>
    </cfRule>
  </conditionalFormatting>
  <conditionalFormatting sqref="N27">
    <cfRule type="cellIs" dxfId="643" priority="1" operator="greaterThanOrEqual">
      <formula>45.5</formula>
    </cfRule>
    <cfRule type="cellIs" dxfId="642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7" tint="-0.249977111117893"/>
  </sheetPr>
  <dimension ref="A1:AE37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16</v>
      </c>
      <c r="G12" s="42" t="s">
        <v>257</v>
      </c>
      <c r="H12" s="47">
        <f>$J$3-55-7-7-25</f>
        <v>2906</v>
      </c>
      <c r="I12" s="42">
        <f t="shared" si="0"/>
        <v>16</v>
      </c>
      <c r="J12" s="159">
        <f>ROUNDUP(((H12*I12)+(H13*I13))/6400,0)</f>
        <v>10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68.163136000000009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16</v>
      </c>
      <c r="G13" s="59" t="s">
        <v>117</v>
      </c>
      <c r="H13" s="47">
        <f>($I$3-18-9.5-(8*6)-71-9.5-18)/8</f>
        <v>728.25</v>
      </c>
      <c r="I13" s="42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16</v>
      </c>
      <c r="G15" s="42" t="s">
        <v>19</v>
      </c>
      <c r="H15" s="47">
        <f>$H$12-80-80</f>
        <v>2746</v>
      </c>
      <c r="I15" s="42">
        <f t="shared" si="0"/>
        <v>16</v>
      </c>
      <c r="J15" s="159">
        <f>ROUNDUP(((H15*I15)+(H16*I16))/6400,0)</f>
        <v>9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157.41999999999999</v>
      </c>
      <c r="Q15" s="45">
        <f>$J$1*P15</f>
        <v>157.41999999999999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16</v>
      </c>
      <c r="G16" s="42" t="s">
        <v>56</v>
      </c>
      <c r="H16" s="47">
        <f>$H$13-60-60</f>
        <v>608.25</v>
      </c>
      <c r="I16" s="42">
        <f t="shared" si="0"/>
        <v>16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11.624000000000001</v>
      </c>
      <c r="Q16" s="45">
        <f>$J$1*P16</f>
        <v>11.624000000000001</v>
      </c>
      <c r="S16" s="6">
        <f>((H15*I15)/1000)*E15</f>
        <v>12.521759999999999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53.988</v>
      </c>
      <c r="Q17" s="45">
        <f t="shared" ref="Q17:Q18" si="4">$J$1*P17</f>
        <v>53.988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53.988</v>
      </c>
      <c r="Q18" s="45">
        <f t="shared" si="4"/>
        <v>53.988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199.28904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279.97393599999998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((($H$12*$F$12*$E$12/1000)+($H$13*$F$13*$E$13/1000)+($H$15*$F$15*$E$15/1000)+($H$16*$F$16*$E$16/1000))+($O$25*$P$25*$H$3*2.5*8/1000000))/8</f>
        <v>34.996741999999998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279.97393599999998</v>
      </c>
      <c r="O25" s="41">
        <f>$H$12-130</f>
        <v>2776</v>
      </c>
      <c r="P25" s="41">
        <f>$H$13-130</f>
        <v>598.25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2:F2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E12:E13"/>
    <mergeCell ref="D12:D13"/>
    <mergeCell ref="D15:D16"/>
    <mergeCell ref="E15:E16"/>
    <mergeCell ref="C15:C16"/>
  </mergeCells>
  <conditionalFormatting sqref="L17:Q18">
    <cfRule type="expression" dxfId="641" priority="3">
      <formula>$H$3=33</formula>
    </cfRule>
    <cfRule type="expression" dxfId="640" priority="4">
      <formula>$H$3=20</formula>
    </cfRule>
    <cfRule type="expression" dxfId="639" priority="5">
      <formula>$H$3=18</formula>
    </cfRule>
    <cfRule type="expression" dxfId="638" priority="6">
      <formula>$H$3=12</formula>
    </cfRule>
    <cfRule type="expression" dxfId="637" priority="7">
      <formula>$H$3=10</formula>
    </cfRule>
  </conditionalFormatting>
  <conditionalFormatting sqref="N24">
    <cfRule type="cellIs" dxfId="636" priority="1" operator="greaterThanOrEqual">
      <formula>54.5</formula>
    </cfRule>
    <cfRule type="cellIs" dxfId="635" priority="2" operator="greaterThanOrEqual">
      <formula>49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IF($J$3&lt;=2700,19,28)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18</v>
      </c>
      <c r="G12" s="135" t="s">
        <v>257</v>
      </c>
      <c r="H12" s="47">
        <f>$J$3-55-7-7-25</f>
        <v>2906</v>
      </c>
      <c r="I12" s="42">
        <f t="shared" si="0"/>
        <v>18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76.683527999999995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18</v>
      </c>
      <c r="G13" s="42" t="s">
        <v>88</v>
      </c>
      <c r="H13" s="47">
        <f>($I$3-18-9.5-(8*8)-18-18)/9</f>
        <v>652.5</v>
      </c>
      <c r="I13" s="42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2906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18</v>
      </c>
      <c r="G15" s="42" t="s">
        <v>19</v>
      </c>
      <c r="H15" s="47">
        <f>$H$12-80-80</f>
        <v>2746</v>
      </c>
      <c r="I15" s="42">
        <f>F15*$J$1</f>
        <v>18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18</v>
      </c>
      <c r="G16" s="42" t="s">
        <v>56</v>
      </c>
      <c r="H16" s="47">
        <f>$H$13-60-60</f>
        <v>532.5</v>
      </c>
      <c r="I16" s="42">
        <f>F16*$J$1</f>
        <v>18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14.086979999999999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2.9</v>
      </c>
      <c r="Q21" s="69">
        <f>$J$1*P21</f>
        <v>2.9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(($H$6*$I$6)+($H$7*$I$7)+($H$8*1)+($H$9*$I$9)+($H$12*$I$12*2)+($H$13*$I$13)+($H$14*$I$14)-($H$12*2))/1000</f>
        <v>134.143</v>
      </c>
      <c r="Q22" s="45">
        <f>$J$1*P22</f>
        <v>134.143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59.372999999999998</v>
      </c>
      <c r="Q23" s="45">
        <f t="shared" ref="Q23:Q24" si="6">$J$1*P23</f>
        <v>59.372999999999998</v>
      </c>
      <c r="S23" s="6">
        <f>O28*P28*6*Q28*2.5/1000000</f>
        <v>195.81209999999999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59.372999999999998</v>
      </c>
      <c r="Q24" s="45">
        <f t="shared" si="6"/>
        <v>59.372999999999998</v>
      </c>
      <c r="S24" s="18">
        <f>SUM(S12:S23)</f>
        <v>286.58260799999999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((($H$12*$F$12*$E$12/1000)+($H$13*$F$13*$E$13/1000)+($H$15*$F$15*$E$15/1000)+($H$16*$F$16*$E$16/1000))+($O$28*$P$28*$H$3*2.5*9/1000000))/9</f>
        <v>39.094812000000005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351.85330800000003</v>
      </c>
      <c r="O28" s="41">
        <f>$H$12-130</f>
        <v>2776</v>
      </c>
      <c r="P28" s="41">
        <f>$H$13-130</f>
        <v>522.5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M23:Q24">
    <cfRule type="expression" dxfId="634" priority="13">
      <formula>$H$3=33</formula>
    </cfRule>
    <cfRule type="expression" dxfId="633" priority="14">
      <formula>$H$3=20</formula>
    </cfRule>
    <cfRule type="expression" dxfId="632" priority="15">
      <formula>$H$3=18</formula>
    </cfRule>
    <cfRule type="expression" dxfId="631" priority="16">
      <formula>$H$3=12</formula>
    </cfRule>
    <cfRule type="expression" dxfId="630" priority="17">
      <formula>$H$3=10</formula>
    </cfRule>
  </conditionalFormatting>
  <conditionalFormatting sqref="P21">
    <cfRule type="expression" dxfId="629" priority="8">
      <formula>$H$3=33</formula>
    </cfRule>
    <cfRule type="expression" dxfId="628" priority="9">
      <formula>$H$3=20</formula>
    </cfRule>
    <cfRule type="expression" dxfId="627" priority="10">
      <formula>$H$3=18</formula>
    </cfRule>
    <cfRule type="expression" dxfId="626" priority="11">
      <formula>$H$3=12</formula>
    </cfRule>
    <cfRule type="expression" dxfId="625" priority="12">
      <formula>$H$3=10</formula>
    </cfRule>
  </conditionalFormatting>
  <conditionalFormatting sqref="Q21">
    <cfRule type="expression" dxfId="624" priority="3">
      <formula>$H$3=33</formula>
    </cfRule>
    <cfRule type="expression" dxfId="623" priority="4">
      <formula>$H$3=20</formula>
    </cfRule>
    <cfRule type="expression" dxfId="622" priority="5">
      <formula>$H$3=18</formula>
    </cfRule>
    <cfRule type="expression" dxfId="621" priority="6">
      <formula>$H$3=12</formula>
    </cfRule>
    <cfRule type="expression" dxfId="620" priority="7">
      <formula>$H$3=10</formula>
    </cfRule>
  </conditionalFormatting>
  <conditionalFormatting sqref="N27">
    <cfRule type="cellIs" dxfId="619" priority="1" operator="greaterThanOrEqual">
      <formula>45.5</formula>
    </cfRule>
    <cfRule type="cellIs" dxfId="618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2464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IF($J$3&lt;=2700,21,30)</f>
        <v>21</v>
      </c>
      <c r="Q7" s="25">
        <f t="shared" ref="Q7:Q13" si="3">$J$1*P7</f>
        <v>21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2600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2480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2480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2460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18</v>
      </c>
      <c r="G12" s="135" t="s">
        <v>257</v>
      </c>
      <c r="H12" s="47">
        <f>$J$3-55-7-7-25</f>
        <v>2506</v>
      </c>
      <c r="I12" s="42">
        <f t="shared" si="0"/>
        <v>18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66.128327999999996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18</v>
      </c>
      <c r="G13" s="59" t="s">
        <v>94</v>
      </c>
      <c r="H13" s="47">
        <f>($I$3-18-9.5-(8*7)-58-9.5-18)/9</f>
        <v>259</v>
      </c>
      <c r="I13" s="42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2506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2506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18</v>
      </c>
      <c r="G16" s="42" t="s">
        <v>19</v>
      </c>
      <c r="H16" s="47">
        <f>$H$12-80-80</f>
        <v>2346</v>
      </c>
      <c r="I16" s="42">
        <f>F16*$J$1</f>
        <v>18</v>
      </c>
      <c r="J16" s="159">
        <f>ROUNDUP(((H16*I16)+(H17*I17))/6400,0)</f>
        <v>7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12.034979999999999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18</v>
      </c>
      <c r="G17" s="42" t="s">
        <v>56</v>
      </c>
      <c r="H17" s="47">
        <f>$H$13-60-60</f>
        <v>139</v>
      </c>
      <c r="I17" s="42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2.5</v>
      </c>
      <c r="Q21" s="69">
        <f>$J$1*P21</f>
        <v>2.5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117.39</v>
      </c>
      <c r="Q22" s="45">
        <f>$J$1*P22</f>
        <v>117.39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45.09</v>
      </c>
      <c r="Q23" s="45">
        <f t="shared" ref="Q23:Q24" si="6">$J$1*P23</f>
        <v>45.09</v>
      </c>
      <c r="S23" s="6">
        <f>O28*P28*6*Q28*2.5/1000000</f>
        <v>41.378039999999999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45.09</v>
      </c>
      <c r="Q24" s="45">
        <f t="shared" si="6"/>
        <v>45.09</v>
      </c>
      <c r="S24" s="18">
        <f>SUM(S12:S23)</f>
        <v>119.541348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13.282372000000001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119.541348</v>
      </c>
      <c r="O28" s="41">
        <f>$H$12-130</f>
        <v>2376</v>
      </c>
      <c r="P28" s="41">
        <f>$H$13-130</f>
        <v>129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6:J17"/>
    <mergeCell ref="C16:C17"/>
    <mergeCell ref="D16:D17"/>
    <mergeCell ref="E16:E17"/>
    <mergeCell ref="E12:E13"/>
    <mergeCell ref="D12:D13"/>
    <mergeCell ref="D10:D11"/>
    <mergeCell ref="E10:E11"/>
    <mergeCell ref="C10:C11"/>
    <mergeCell ref="C12:C13"/>
  </mergeCells>
  <conditionalFormatting sqref="M23:Q24">
    <cfRule type="expression" dxfId="617" priority="13">
      <formula>$H$3=33</formula>
    </cfRule>
    <cfRule type="expression" dxfId="616" priority="14">
      <formula>$H$3=20</formula>
    </cfRule>
    <cfRule type="expression" dxfId="615" priority="15">
      <formula>$H$3=18</formula>
    </cfRule>
    <cfRule type="expression" dxfId="614" priority="16">
      <formula>$H$3=12</formula>
    </cfRule>
    <cfRule type="expression" dxfId="613" priority="17">
      <formula>$H$3=10</formula>
    </cfRule>
  </conditionalFormatting>
  <conditionalFormatting sqref="P21">
    <cfRule type="expression" dxfId="612" priority="8">
      <formula>$H$3=33</formula>
    </cfRule>
    <cfRule type="expression" dxfId="611" priority="9">
      <formula>$H$3=20</formula>
    </cfRule>
    <cfRule type="expression" dxfId="610" priority="10">
      <formula>$H$3=18</formula>
    </cfRule>
    <cfRule type="expression" dxfId="609" priority="11">
      <formula>$H$3=12</formula>
    </cfRule>
    <cfRule type="expression" dxfId="608" priority="12">
      <formula>$H$3=10</formula>
    </cfRule>
  </conditionalFormatting>
  <conditionalFormatting sqref="Q21">
    <cfRule type="expression" dxfId="607" priority="3">
      <formula>$H$3=33</formula>
    </cfRule>
    <cfRule type="expression" dxfId="606" priority="4">
      <formula>$H$3=20</formula>
    </cfRule>
    <cfRule type="expression" dxfId="605" priority="5">
      <formula>$H$3=18</formula>
    </cfRule>
    <cfRule type="expression" dxfId="604" priority="6">
      <formula>$H$3=12</formula>
    </cfRule>
    <cfRule type="expression" dxfId="603" priority="7">
      <formula>$H$3=10</formula>
    </cfRule>
  </conditionalFormatting>
  <conditionalFormatting sqref="N27">
    <cfRule type="cellIs" dxfId="602" priority="1" operator="greaterThanOrEqual">
      <formula>52.5</formula>
    </cfRule>
    <cfRule type="cellIs" dxfId="601" priority="2" operator="greaterThanOrEqual">
      <formula>47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2750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2630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2630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18</v>
      </c>
      <c r="G12" s="42" t="s">
        <v>257</v>
      </c>
      <c r="H12" s="47">
        <f>$J$3-55-7-7-25</f>
        <v>2656</v>
      </c>
      <c r="I12" s="42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70.086528000000001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18</v>
      </c>
      <c r="G13" s="59" t="s">
        <v>94</v>
      </c>
      <c r="H13" s="47">
        <f>($I$3-18-9.5-(8*7)-58-9.5-18)/9</f>
        <v>481.22222222222223</v>
      </c>
      <c r="I13" s="42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2656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2656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18</v>
      </c>
      <c r="G16" s="42" t="s">
        <v>19</v>
      </c>
      <c r="H16" s="47">
        <f>$H$12-80-80</f>
        <v>2496</v>
      </c>
      <c r="I16" s="42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12.804479999999998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18</v>
      </c>
      <c r="G17" s="42" t="s">
        <v>56</v>
      </c>
      <c r="H17" s="47">
        <f>$H$13-60-60</f>
        <v>361.22222222222223</v>
      </c>
      <c r="I17" s="42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131.84</v>
      </c>
      <c r="Q22" s="45">
        <f>$J$1*P22</f>
        <v>131.84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51.79</v>
      </c>
      <c r="Q23" s="45">
        <f t="shared" ref="Q23:Q24" si="6">$J$1*P23</f>
        <v>51.79</v>
      </c>
      <c r="S23" s="6">
        <f>O28*P28*6*Q28*2.5/1000000</f>
        <v>119.77029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51.79</v>
      </c>
      <c r="Q24" s="45">
        <f t="shared" si="6"/>
        <v>51.79</v>
      </c>
      <c r="S24" s="18">
        <f>SUM(S12:S23)</f>
        <v>202.66129799999999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22.517921999999999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202.66129799999999</v>
      </c>
      <c r="O28" s="41">
        <f>$H$12-130</f>
        <v>2526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6:J17"/>
    <mergeCell ref="D16:D17"/>
    <mergeCell ref="E16:E17"/>
    <mergeCell ref="D12:D13"/>
    <mergeCell ref="E12:E13"/>
    <mergeCell ref="C12:C13"/>
    <mergeCell ref="C10:C11"/>
    <mergeCell ref="D10:D11"/>
    <mergeCell ref="E10:E11"/>
    <mergeCell ref="C16:C17"/>
  </mergeCells>
  <conditionalFormatting sqref="M23:Q24">
    <cfRule type="expression" dxfId="600" priority="13">
      <formula>$H$3=33</formula>
    </cfRule>
    <cfRule type="expression" dxfId="599" priority="14">
      <formula>$H$3=20</formula>
    </cfRule>
    <cfRule type="expression" dxfId="598" priority="15">
      <formula>$H$3=18</formula>
    </cfRule>
    <cfRule type="expression" dxfId="597" priority="16">
      <formula>$H$3=12</formula>
    </cfRule>
    <cfRule type="expression" dxfId="596" priority="17">
      <formula>$H$3=10</formula>
    </cfRule>
  </conditionalFormatting>
  <conditionalFormatting sqref="P21">
    <cfRule type="expression" dxfId="595" priority="8">
      <formula>$H$3=33</formula>
    </cfRule>
    <cfRule type="expression" dxfId="594" priority="9">
      <formula>$H$3=20</formula>
    </cfRule>
    <cfRule type="expression" dxfId="593" priority="10">
      <formula>$H$3=18</formula>
    </cfRule>
    <cfRule type="expression" dxfId="592" priority="11">
      <formula>$H$3=12</formula>
    </cfRule>
    <cfRule type="expression" dxfId="591" priority="12">
      <formula>$H$3=10</formula>
    </cfRule>
  </conditionalFormatting>
  <conditionalFormatting sqref="Q21">
    <cfRule type="expression" dxfId="590" priority="3">
      <formula>$H$3=33</formula>
    </cfRule>
    <cfRule type="expression" dxfId="589" priority="4">
      <formula>$H$3=20</formula>
    </cfRule>
    <cfRule type="expression" dxfId="588" priority="5">
      <formula>$H$3=18</formula>
    </cfRule>
    <cfRule type="expression" dxfId="587" priority="6">
      <formula>$H$3=12</formula>
    </cfRule>
    <cfRule type="expression" dxfId="586" priority="7">
      <formula>$H$3=10</formula>
    </cfRule>
  </conditionalFormatting>
  <conditionalFormatting sqref="N27">
    <cfRule type="cellIs" dxfId="585" priority="1" operator="greaterThanOrEqual">
      <formula>45.5</formula>
    </cfRule>
    <cfRule type="cellIs" dxfId="584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2750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2630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2630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18</v>
      </c>
      <c r="G12" s="135" t="s">
        <v>257</v>
      </c>
      <c r="H12" s="47">
        <f>$J$3-55-7-7-25</f>
        <v>2656</v>
      </c>
      <c r="I12" s="42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70.086528000000001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18</v>
      </c>
      <c r="G13" s="59" t="s">
        <v>94</v>
      </c>
      <c r="H13" s="47">
        <f>($I$3-18-9.5-(8*7)-58-9.5-18)/9</f>
        <v>481.22222222222223</v>
      </c>
      <c r="I13" s="42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2656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2656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18</v>
      </c>
      <c r="G16" s="42" t="s">
        <v>19</v>
      </c>
      <c r="H16" s="47">
        <f>$H$12-80-80</f>
        <v>2496</v>
      </c>
      <c r="I16" s="42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12.804479999999998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18</v>
      </c>
      <c r="G17" s="42" t="s">
        <v>56</v>
      </c>
      <c r="H17" s="47">
        <f>$H$13-60-60</f>
        <v>361.22222222222223</v>
      </c>
      <c r="I17" s="42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131.84</v>
      </c>
      <c r="Q22" s="45">
        <f>$J$1*P22</f>
        <v>131.84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51.79</v>
      </c>
      <c r="Q23" s="45">
        <f t="shared" ref="Q23:Q24" si="6">$J$1*P23</f>
        <v>51.79</v>
      </c>
      <c r="S23" s="6">
        <f>O28*P28*6*Q28*2.5/1000000</f>
        <v>119.77029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51.79</v>
      </c>
      <c r="Q24" s="45">
        <f t="shared" si="6"/>
        <v>51.79</v>
      </c>
      <c r="S24" s="18">
        <f>SUM(S12:S23)</f>
        <v>202.66129799999999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22.517921999999999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202.66129799999999</v>
      </c>
      <c r="O28" s="41">
        <f>$H$12-130</f>
        <v>2526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6:J17"/>
    <mergeCell ref="C10:C11"/>
    <mergeCell ref="D10:D11"/>
    <mergeCell ref="E10:E11"/>
    <mergeCell ref="E12:E13"/>
    <mergeCell ref="D12:D13"/>
    <mergeCell ref="C12:C13"/>
    <mergeCell ref="D16:D17"/>
    <mergeCell ref="E16:E17"/>
    <mergeCell ref="C16:C17"/>
  </mergeCells>
  <conditionalFormatting sqref="M23:Q24">
    <cfRule type="expression" dxfId="583" priority="13">
      <formula>$H$3=33</formula>
    </cfRule>
    <cfRule type="expression" dxfId="582" priority="14">
      <formula>$H$3=20</formula>
    </cfRule>
    <cfRule type="expression" dxfId="581" priority="15">
      <formula>$H$3=18</formula>
    </cfRule>
    <cfRule type="expression" dxfId="580" priority="16">
      <formula>$H$3=12</formula>
    </cfRule>
    <cfRule type="expression" dxfId="579" priority="17">
      <formula>$H$3=10</formula>
    </cfRule>
  </conditionalFormatting>
  <conditionalFormatting sqref="P21">
    <cfRule type="expression" dxfId="578" priority="8">
      <formula>$H$3=33</formula>
    </cfRule>
    <cfRule type="expression" dxfId="577" priority="9">
      <formula>$H$3=20</formula>
    </cfRule>
    <cfRule type="expression" dxfId="576" priority="10">
      <formula>$H$3=18</formula>
    </cfRule>
    <cfRule type="expression" dxfId="575" priority="11">
      <formula>$H$3=12</formula>
    </cfRule>
    <cfRule type="expression" dxfId="574" priority="12">
      <formula>$H$3=10</formula>
    </cfRule>
  </conditionalFormatting>
  <conditionalFormatting sqref="Q21">
    <cfRule type="expression" dxfId="573" priority="3">
      <formula>$H$3=33</formula>
    </cfRule>
    <cfRule type="expression" dxfId="572" priority="4">
      <formula>$H$3=20</formula>
    </cfRule>
    <cfRule type="expression" dxfId="571" priority="5">
      <formula>$H$3=18</formula>
    </cfRule>
    <cfRule type="expression" dxfId="570" priority="6">
      <formula>$H$3=12</formula>
    </cfRule>
    <cfRule type="expression" dxfId="569" priority="7">
      <formula>$H$3=10</formula>
    </cfRule>
  </conditionalFormatting>
  <conditionalFormatting sqref="N27">
    <cfRule type="cellIs" dxfId="568" priority="1" operator="greaterThanOrEqual">
      <formula>45.5</formula>
    </cfRule>
    <cfRule type="cellIs" dxfId="567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4" tint="-0.249977111117893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2750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2630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2630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4460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18</v>
      </c>
      <c r="G12" s="135" t="s">
        <v>257</v>
      </c>
      <c r="H12" s="47">
        <f>$J$3-55-7-7-25</f>
        <v>2656</v>
      </c>
      <c r="I12" s="42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70.086528000000001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18</v>
      </c>
      <c r="G13" s="59" t="s">
        <v>94</v>
      </c>
      <c r="H13" s="47">
        <f>($I$3-18-9.5-(8*7)-58-9.5-18)/9</f>
        <v>481.22222222222223</v>
      </c>
      <c r="I13" s="42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2656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2656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18</v>
      </c>
      <c r="G16" s="42" t="s">
        <v>19</v>
      </c>
      <c r="H16" s="47">
        <f>$H$12-80-80</f>
        <v>2496</v>
      </c>
      <c r="I16" s="42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12.804479999999998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42">
        <v>18</v>
      </c>
      <c r="G17" s="42" t="s">
        <v>56</v>
      </c>
      <c r="H17" s="47">
        <f>$H$13-60-60</f>
        <v>361.22222222222223</v>
      </c>
      <c r="I17" s="42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42">
        <v>21</v>
      </c>
      <c r="M22" s="43" t="s">
        <v>67</v>
      </c>
      <c r="N22" s="58"/>
      <c r="O22" s="42" t="s">
        <v>1</v>
      </c>
      <c r="P22" s="45">
        <f>(($H$6*$I$6)+($H$7*$I$7)+($H$8*1)+($H$9*$I$9)+($H$12*$I$12*2)+($H$13*$I$13)+($H$14*$I$14)+($H$15*3))/1000</f>
        <v>131.84</v>
      </c>
      <c r="Q22" s="45">
        <f>$J$1*P22</f>
        <v>131.84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65</v>
      </c>
      <c r="N23" s="58"/>
      <c r="O23" s="42" t="s">
        <v>1</v>
      </c>
      <c r="P23" s="45">
        <f>(($O$28+$P$28)*2)*$Q$28/1000</f>
        <v>51.79</v>
      </c>
      <c r="Q23" s="45">
        <f t="shared" ref="Q23:Q24" si="6">$J$1*P23</f>
        <v>51.79</v>
      </c>
      <c r="S23" s="6">
        <f>O28*P28*6*Q28*2.5/1000000</f>
        <v>119.77029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66</v>
      </c>
      <c r="N24" s="58"/>
      <c r="O24" s="42" t="s">
        <v>1</v>
      </c>
      <c r="P24" s="45">
        <f>(($O$28+$P$28)*2)*$Q$28/1000</f>
        <v>51.79</v>
      </c>
      <c r="Q24" s="45">
        <f t="shared" si="6"/>
        <v>51.79</v>
      </c>
      <c r="S24" s="18">
        <f>SUM(S12:S23)</f>
        <v>202.66129799999999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22.517921999999999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202.66129799999999</v>
      </c>
      <c r="O28" s="41">
        <f>$H$12-130</f>
        <v>2526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6:J17"/>
    <mergeCell ref="D10:D11"/>
    <mergeCell ref="E10:E11"/>
    <mergeCell ref="C10:C11"/>
    <mergeCell ref="C12:C13"/>
    <mergeCell ref="D12:D13"/>
    <mergeCell ref="E12:E13"/>
    <mergeCell ref="E16:E17"/>
    <mergeCell ref="D16:D17"/>
    <mergeCell ref="C16:C17"/>
  </mergeCells>
  <conditionalFormatting sqref="M23:Q24">
    <cfRule type="expression" dxfId="566" priority="13">
      <formula>$H$3=33</formula>
    </cfRule>
    <cfRule type="expression" dxfId="565" priority="14">
      <formula>$H$3=20</formula>
    </cfRule>
    <cfRule type="expression" dxfId="564" priority="15">
      <formula>$H$3=18</formula>
    </cfRule>
    <cfRule type="expression" dxfId="563" priority="16">
      <formula>$H$3=12</formula>
    </cfRule>
    <cfRule type="expression" dxfId="562" priority="17">
      <formula>$H$3=10</formula>
    </cfRule>
  </conditionalFormatting>
  <conditionalFormatting sqref="P21">
    <cfRule type="expression" dxfId="561" priority="8">
      <formula>$H$3=33</formula>
    </cfRule>
    <cfRule type="expression" dxfId="560" priority="9">
      <formula>$H$3=20</formula>
    </cfRule>
    <cfRule type="expression" dxfId="559" priority="10">
      <formula>$H$3=18</formula>
    </cfRule>
    <cfRule type="expression" dxfId="558" priority="11">
      <formula>$H$3=12</formula>
    </cfRule>
    <cfRule type="expression" dxfId="557" priority="12">
      <formula>$H$3=10</formula>
    </cfRule>
  </conditionalFormatting>
  <conditionalFormatting sqref="Q21">
    <cfRule type="expression" dxfId="556" priority="3">
      <formula>$H$3=33</formula>
    </cfRule>
    <cfRule type="expression" dxfId="555" priority="4">
      <formula>$H$3=20</formula>
    </cfRule>
    <cfRule type="expression" dxfId="554" priority="5">
      <formula>$H$3=18</formula>
    </cfRule>
    <cfRule type="expression" dxfId="553" priority="6">
      <formula>$H$3=12</formula>
    </cfRule>
    <cfRule type="expression" dxfId="552" priority="7">
      <formula>$H$3=10</formula>
    </cfRule>
  </conditionalFormatting>
  <conditionalFormatting sqref="N27">
    <cfRule type="cellIs" dxfId="551" priority="1" operator="greaterThanOrEqual">
      <formula>45.5</formula>
    </cfRule>
    <cfRule type="cellIs" dxfId="550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rgb="FFFFFF00"/>
  </sheetPr>
  <dimension ref="A1:AE37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IF($J$3&lt;=2700,23,34)</f>
        <v>34</v>
      </c>
      <c r="Q7" s="25">
        <f t="shared" ref="Q7:Q13" si="3">$J$1*P7</f>
        <v>34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135" t="s">
        <v>257</v>
      </c>
      <c r="H12" s="47">
        <f>$J$3-55-7-7-25</f>
        <v>2906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85.203919999999997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42" t="s">
        <v>78</v>
      </c>
      <c r="H13" s="47">
        <f>($I$3-18-9.5-(8*9)-50-18)/10</f>
        <v>583.25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2906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2920</v>
      </c>
      <c r="I15" s="25">
        <f t="shared" si="0"/>
        <v>1</v>
      </c>
      <c r="J15" s="25">
        <f t="shared" si="1"/>
        <v>1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(($H$6*$I$6)+($H$7*$I$7)+($H$8*1)+($H$9*$I$9)+($H$12*$I$12*2)+($H$14*$I$13*2)+($H$13*3)+($H$15*$I$15))/1000</f>
        <v>257.83775000000003</v>
      </c>
      <c r="Q15" s="45">
        <f t="shared" ref="Q15" si="4">$J$1*P15</f>
        <v>257.83775000000003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42">
        <v>20</v>
      </c>
      <c r="G16" s="42" t="s">
        <v>19</v>
      </c>
      <c r="H16" s="47">
        <f>$H$12-80-80</f>
        <v>2746</v>
      </c>
      <c r="I16" s="42">
        <f t="shared" si="0"/>
        <v>20</v>
      </c>
      <c r="J16" s="159">
        <f>ROUNDUP(((H16*I16)+(H17*I17))/6400,0)</f>
        <v>11</v>
      </c>
      <c r="K16" s="28"/>
      <c r="L16" s="42">
        <v>15</v>
      </c>
      <c r="M16" s="43" t="s">
        <v>75</v>
      </c>
      <c r="N16" s="44"/>
      <c r="O16" s="42" t="s">
        <v>1</v>
      </c>
      <c r="P16" s="45">
        <f>(($H$14*2)+($H$15*2))/1000</f>
        <v>11.651999999999999</v>
      </c>
      <c r="Q16" s="45">
        <f>$J$1*P16</f>
        <v>11.651999999999999</v>
      </c>
      <c r="S16" s="6">
        <f>((H16*I16)/1000)*E16</f>
        <v>15.652199999999999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42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42">
        <v>20</v>
      </c>
      <c r="G17" s="42" t="s">
        <v>56</v>
      </c>
      <c r="H17" s="47">
        <f>$H$13-60-60</f>
        <v>463.25</v>
      </c>
      <c r="I17" s="42">
        <f t="shared" si="0"/>
        <v>20</v>
      </c>
      <c r="J17" s="160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64.584999999999994</v>
      </c>
      <c r="Q17" s="45">
        <f>$J$1*P17</f>
        <v>64.584999999999994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64.584999999999994</v>
      </c>
      <c r="Q18" s="45">
        <f>$J$1*P18</f>
        <v>64.584999999999994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188.73330000000001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289.58942000000002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((($H$12*$F$12*$E$12/1000)+($H$13*$F$13*$E$13/1000)+($H$16*$F$16*$E$16/1000)+($H$17*$F$17*$E$17/1000))+($O$25*$P$25*$H$3*2.5*10/1000000))/10</f>
        <v>28.958942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289.58942000000002</v>
      </c>
      <c r="O25" s="41">
        <f>$H$12-130</f>
        <v>2776</v>
      </c>
      <c r="P25" s="41">
        <f>$H$13-130</f>
        <v>453.25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C2:F2"/>
    <mergeCell ref="A4:J4"/>
    <mergeCell ref="L4:Q4"/>
    <mergeCell ref="O23:Q23"/>
    <mergeCell ref="J10:J11"/>
    <mergeCell ref="J12:J13"/>
    <mergeCell ref="J16:J17"/>
    <mergeCell ref="D10:D11"/>
    <mergeCell ref="C10:C11"/>
    <mergeCell ref="E10:E11"/>
    <mergeCell ref="E12:E13"/>
    <mergeCell ref="D12:D13"/>
    <mergeCell ref="C12:C13"/>
    <mergeCell ref="E16:E17"/>
    <mergeCell ref="D16:D17"/>
    <mergeCell ref="C16:C17"/>
  </mergeCells>
  <conditionalFormatting sqref="L17:Q18">
    <cfRule type="expression" dxfId="549" priority="3">
      <formula>$H$3=33</formula>
    </cfRule>
    <cfRule type="expression" dxfId="548" priority="4">
      <formula>$H$3=20</formula>
    </cfRule>
    <cfRule type="expression" dxfId="547" priority="5">
      <formula>$H$3=18</formula>
    </cfRule>
    <cfRule type="expression" dxfId="546" priority="6">
      <formula>$H$3=12</formula>
    </cfRule>
    <cfRule type="expression" dxfId="545" priority="7">
      <formula>$H$3=10</formula>
    </cfRule>
  </conditionalFormatting>
  <conditionalFormatting sqref="N24">
    <cfRule type="cellIs" dxfId="544" priority="1" operator="greaterThanOrEqual">
      <formula>50.5</formula>
    </cfRule>
    <cfRule type="cellIs" dxfId="543" priority="2" operator="greaterThanOrEqual">
      <formula>45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rgb="FFFFFF00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IF($J$3&lt;=2700,20,30)</f>
        <v>30</v>
      </c>
      <c r="Q7" s="25">
        <f t="shared" ref="Q7:Q13" si="3">$J$1*P7</f>
        <v>30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135" t="s">
        <v>257</v>
      </c>
      <c r="H12" s="47">
        <f>$J$3-55-7-7-25</f>
        <v>2906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85.203919999999997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59" t="s">
        <v>99</v>
      </c>
      <c r="H13" s="47">
        <f>($I$3-18-9.5-(8*8)-23-9.5-18)/10</f>
        <v>585.79999999999995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2906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20</v>
      </c>
      <c r="G15" s="42" t="s">
        <v>19</v>
      </c>
      <c r="H15" s="47">
        <f>$H$12-80-80</f>
        <v>2746</v>
      </c>
      <c r="I15" s="42">
        <f>F15*$J$1</f>
        <v>20</v>
      </c>
      <c r="J15" s="159">
        <f>ROUNDUP(((H15*I15)+(H16*I16))/6400,0)</f>
        <v>11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20</v>
      </c>
      <c r="G16" s="42" t="s">
        <v>56</v>
      </c>
      <c r="H16" s="47">
        <f>$H$13-60-60</f>
        <v>465.79999999999995</v>
      </c>
      <c r="I16" s="42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15.652199999999999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18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19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20</v>
      </c>
      <c r="M22" s="68" t="s">
        <v>111</v>
      </c>
      <c r="N22" s="60"/>
      <c r="O22" s="57"/>
      <c r="P22" s="69">
        <f>ROUNDDOWN($H$12/1000,1)</f>
        <v>2.9</v>
      </c>
      <c r="Q22" s="69">
        <f>$J$1*P22</f>
        <v>2.9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19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142.83199999999999</v>
      </c>
      <c r="Q23" s="45">
        <f>$J$1*P23</f>
        <v>142.83199999999999</v>
      </c>
      <c r="S23" s="6">
        <f>O28*P28*6*Q28*2.5/1000000</f>
        <v>189.79511999999997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20</v>
      </c>
      <c r="M24" s="43" t="s">
        <v>65</v>
      </c>
      <c r="N24" s="58"/>
      <c r="O24" s="42" t="s">
        <v>1</v>
      </c>
      <c r="P24" s="45">
        <f>(($O$28+$P$28)*2)*$Q$28/1000</f>
        <v>64.635999999999996</v>
      </c>
      <c r="Q24" s="45">
        <f t="shared" ref="Q24:Q25" si="7">$J$1*P24</f>
        <v>64.635999999999996</v>
      </c>
      <c r="S24" s="18">
        <f>SUM(S12:S23)</f>
        <v>290.65123999999997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21</v>
      </c>
      <c r="M25" s="43" t="s">
        <v>66</v>
      </c>
      <c r="N25" s="58"/>
      <c r="O25" s="42" t="s">
        <v>1</v>
      </c>
      <c r="P25" s="45">
        <f>(($O$28+$P$28)*2)*$Q$28/1000</f>
        <v>64.635999999999996</v>
      </c>
      <c r="Q25" s="45">
        <f t="shared" si="7"/>
        <v>64.635999999999996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29.065123999999997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290.65123999999997</v>
      </c>
      <c r="O28" s="41">
        <f>$H$12-130</f>
        <v>2776</v>
      </c>
      <c r="P28" s="41">
        <f>$H$13-130</f>
        <v>455.79999999999995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C2:F2"/>
    <mergeCell ref="O26:Q26"/>
    <mergeCell ref="A4:J4"/>
    <mergeCell ref="L4:Q4"/>
    <mergeCell ref="J10:J11"/>
    <mergeCell ref="J12:J13"/>
    <mergeCell ref="J15:J16"/>
    <mergeCell ref="D10:D11"/>
    <mergeCell ref="E10:E11"/>
    <mergeCell ref="C10:C11"/>
    <mergeCell ref="C12:C13"/>
    <mergeCell ref="D12:D13"/>
    <mergeCell ref="E12:E13"/>
    <mergeCell ref="D15:D16"/>
    <mergeCell ref="E15:E16"/>
    <mergeCell ref="C15:C16"/>
  </mergeCells>
  <conditionalFormatting sqref="L24:Q25">
    <cfRule type="expression" dxfId="542" priority="13">
      <formula>$H$3=33</formula>
    </cfRule>
    <cfRule type="expression" dxfId="541" priority="14">
      <formula>$H$3=20</formula>
    </cfRule>
    <cfRule type="expression" dxfId="540" priority="15">
      <formula>$H$3=18</formula>
    </cfRule>
    <cfRule type="expression" dxfId="539" priority="16">
      <formula>$H$3=12</formula>
    </cfRule>
    <cfRule type="expression" dxfId="538" priority="17">
      <formula>$H$3=10</formula>
    </cfRule>
  </conditionalFormatting>
  <conditionalFormatting sqref="P22">
    <cfRule type="expression" dxfId="537" priority="8">
      <formula>$H$3=33</formula>
    </cfRule>
    <cfRule type="expression" dxfId="536" priority="9">
      <formula>$H$3=20</formula>
    </cfRule>
    <cfRule type="expression" dxfId="535" priority="10">
      <formula>$H$3=18</formula>
    </cfRule>
    <cfRule type="expression" dxfId="534" priority="11">
      <formula>$H$3=12</formula>
    </cfRule>
    <cfRule type="expression" dxfId="533" priority="12">
      <formula>$H$3=10</formula>
    </cfRule>
  </conditionalFormatting>
  <conditionalFormatting sqref="Q22">
    <cfRule type="expression" dxfId="532" priority="3">
      <formula>$H$3=33</formula>
    </cfRule>
    <cfRule type="expression" dxfId="531" priority="4">
      <formula>$H$3=20</formula>
    </cfRule>
    <cfRule type="expression" dxfId="530" priority="5">
      <formula>$H$3=18</formula>
    </cfRule>
    <cfRule type="expression" dxfId="529" priority="6">
      <formula>$H$3=12</formula>
    </cfRule>
    <cfRule type="expression" dxfId="528" priority="7">
      <formula>$H$3=10</formula>
    </cfRule>
  </conditionalFormatting>
  <conditionalFormatting sqref="N27">
    <cfRule type="cellIs" dxfId="527" priority="1" operator="greaterThanOrEqual">
      <formula>45.5</formula>
    </cfRule>
    <cfRule type="cellIs" dxfId="526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rgb="FFFFFF00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IF($J$3&lt;=2700,26,38)</f>
        <v>38</v>
      </c>
      <c r="Q7" s="25">
        <f t="shared" ref="Q7:Q13" si="3">$J$1*P7</f>
        <v>38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135" t="s">
        <v>257</v>
      </c>
      <c r="H12" s="47">
        <f>$J$3-55-7-7-25</f>
        <v>2906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85.203919999999997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59" t="s">
        <v>120</v>
      </c>
      <c r="H13" s="47">
        <f>($I$3-18-9.5-(8*8)-71-9.5-18)/10</f>
        <v>581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20</v>
      </c>
      <c r="G15" s="42" t="s">
        <v>19</v>
      </c>
      <c r="H15" s="47">
        <f>$H$12-80-80</f>
        <v>2746</v>
      </c>
      <c r="I15" s="42">
        <f t="shared" si="0"/>
        <v>20</v>
      </c>
      <c r="J15" s="159">
        <f>ROUNDUP(((H15*I15)+(H16*I16))/6400,0)</f>
        <v>11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180.60400000000001</v>
      </c>
      <c r="Q15" s="45">
        <f>$J$1*P15</f>
        <v>180.60400000000001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20</v>
      </c>
      <c r="G16" s="42" t="s">
        <v>56</v>
      </c>
      <c r="H16" s="47">
        <f>$H$13-60-60</f>
        <v>461</v>
      </c>
      <c r="I16" s="42">
        <f t="shared" si="0"/>
        <v>20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11.624000000000001</v>
      </c>
      <c r="Q16" s="45">
        <f>$J$1*P16</f>
        <v>11.624000000000001</v>
      </c>
      <c r="S16" s="6">
        <f>((H15*I15)/1000)*E15</f>
        <v>15.652199999999999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64.540000000000006</v>
      </c>
      <c r="Q17" s="45">
        <f t="shared" ref="Q17:Q18" si="4">$J$1*P17</f>
        <v>64.540000000000006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64.540000000000006</v>
      </c>
      <c r="Q18" s="45">
        <f t="shared" si="4"/>
        <v>64.540000000000006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187.79640000000001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288.65251999999998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((($H$12*$F$12*$E$12/1000)+($H$13*$F$13*$E$13/1000)+($H$15*$F$15*$E$15/1000)+($H$16*$F$16*$E$16/1000))+($O$25*$P$25*$H$3*2.5*10/1000000))/10</f>
        <v>28.865251999999998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288.65251999999998</v>
      </c>
      <c r="O25" s="41">
        <f>$H$12-130</f>
        <v>2776</v>
      </c>
      <c r="P25" s="41">
        <f>$H$13-130</f>
        <v>451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2:F2"/>
    <mergeCell ref="A4:J4"/>
    <mergeCell ref="L4:Q4"/>
    <mergeCell ref="J10:J11"/>
    <mergeCell ref="J12:J13"/>
    <mergeCell ref="J15:J16"/>
    <mergeCell ref="D15:D16"/>
    <mergeCell ref="E15:E16"/>
    <mergeCell ref="C15:C16"/>
    <mergeCell ref="D12:D13"/>
    <mergeCell ref="E12:E13"/>
    <mergeCell ref="C12:C13"/>
    <mergeCell ref="D10:D11"/>
    <mergeCell ref="E10:E11"/>
    <mergeCell ref="C10:C11"/>
  </mergeCells>
  <conditionalFormatting sqref="L17:Q18">
    <cfRule type="expression" dxfId="525" priority="3">
      <formula>$H$3=33</formula>
    </cfRule>
    <cfRule type="expression" dxfId="524" priority="4">
      <formula>$H$3=20</formula>
    </cfRule>
    <cfRule type="expression" dxfId="523" priority="5">
      <formula>$H$3=18</formula>
    </cfRule>
    <cfRule type="expression" dxfId="522" priority="6">
      <formula>$H$3=12</formula>
    </cfRule>
    <cfRule type="expression" dxfId="521" priority="7">
      <formula>$H$3=10</formula>
    </cfRule>
  </conditionalFormatting>
  <conditionalFormatting sqref="N24">
    <cfRule type="cellIs" dxfId="520" priority="1" operator="greaterThanOrEqual">
      <formula>52.5</formula>
    </cfRule>
    <cfRule type="cellIs" dxfId="519" priority="2" operator="greaterThanOrEqual">
      <formula>47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rgb="FFFFFF00"/>
  </sheetPr>
  <dimension ref="A1:AE40"/>
  <sheetViews>
    <sheetView view="pageBreakPreview" zoomScale="70" zoomScaleNormal="55" zoomScaleSheetLayoutView="70" workbookViewId="0">
      <selection activeCell="G12" sqref="G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3200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3080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3080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3360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135" t="s">
        <v>257</v>
      </c>
      <c r="H12" s="47">
        <f>$J$3-55-7-7-25</f>
        <v>3106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91.067920000000001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59" t="s">
        <v>99</v>
      </c>
      <c r="H13" s="47">
        <f>($I$3-18-9.5-(8*8)-23-9.5-18)/10</f>
        <v>325.8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20</v>
      </c>
      <c r="G15" s="42" t="s">
        <v>19</v>
      </c>
      <c r="H15" s="47">
        <f>$H$12-80-80</f>
        <v>2946</v>
      </c>
      <c r="I15" s="42">
        <f>F15*$J$1</f>
        <v>20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20</v>
      </c>
      <c r="G16" s="42" t="s">
        <v>56</v>
      </c>
      <c r="H16" s="47">
        <f>$H$13-60-60</f>
        <v>205.8</v>
      </c>
      <c r="I16" s="42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16.792199999999998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140.63200000000001</v>
      </c>
      <c r="Q23" s="45">
        <f>$J$1*P23</f>
        <v>140.63200000000001</v>
      </c>
      <c r="S23" s="6">
        <f>O28*P28*6*Q28*2.5/1000000</f>
        <v>87.405119999999997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63.436</v>
      </c>
      <c r="Q24" s="45">
        <f t="shared" ref="Q24:Q25" si="8">$J$1*P24</f>
        <v>63.436</v>
      </c>
      <c r="S24" s="18">
        <f>SUM(S12:S23)</f>
        <v>195.26524000000001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63.436</v>
      </c>
      <c r="Q25" s="45">
        <f t="shared" si="8"/>
        <v>63.436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19.526524000000002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195.26524000000001</v>
      </c>
      <c r="O28" s="41">
        <f>$H$12-130</f>
        <v>2976</v>
      </c>
      <c r="P28" s="41">
        <f>$H$13-130</f>
        <v>195.8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5:J16"/>
    <mergeCell ref="D15:D16"/>
    <mergeCell ref="E15:E16"/>
    <mergeCell ref="C15:C16"/>
    <mergeCell ref="D12:D13"/>
    <mergeCell ref="E12:E13"/>
    <mergeCell ref="D10:D11"/>
    <mergeCell ref="E10:E11"/>
    <mergeCell ref="C10:C11"/>
    <mergeCell ref="C12:C13"/>
  </mergeCells>
  <conditionalFormatting sqref="M24:Q25">
    <cfRule type="expression" dxfId="518" priority="13">
      <formula>$H$3=33</formula>
    </cfRule>
    <cfRule type="expression" dxfId="517" priority="14">
      <formula>$H$3=20</formula>
    </cfRule>
    <cfRule type="expression" dxfId="516" priority="15">
      <formula>$H$3=18</formula>
    </cfRule>
    <cfRule type="expression" dxfId="515" priority="16">
      <formula>$H$3=12</formula>
    </cfRule>
    <cfRule type="expression" dxfId="514" priority="17">
      <formula>$H$3=10</formula>
    </cfRule>
  </conditionalFormatting>
  <conditionalFormatting sqref="P22">
    <cfRule type="expression" dxfId="513" priority="8">
      <formula>$H$3=33</formula>
    </cfRule>
    <cfRule type="expression" dxfId="512" priority="9">
      <formula>$H$3=20</formula>
    </cfRule>
    <cfRule type="expression" dxfId="511" priority="10">
      <formula>$H$3=18</formula>
    </cfRule>
    <cfRule type="expression" dxfId="510" priority="11">
      <formula>$H$3=12</formula>
    </cfRule>
    <cfRule type="expression" dxfId="509" priority="12">
      <formula>$H$3=10</formula>
    </cfRule>
  </conditionalFormatting>
  <conditionalFormatting sqref="Q22">
    <cfRule type="expression" dxfId="508" priority="3">
      <formula>$H$3=33</formula>
    </cfRule>
    <cfRule type="expression" dxfId="507" priority="4">
      <formula>$H$3=20</formula>
    </cfRule>
    <cfRule type="expression" dxfId="506" priority="5">
      <formula>$H$3=18</formula>
    </cfRule>
    <cfRule type="expression" dxfId="505" priority="6">
      <formula>$H$3=12</formula>
    </cfRule>
    <cfRule type="expression" dxfId="504" priority="7">
      <formula>$H$3=10</formula>
    </cfRule>
  </conditionalFormatting>
  <conditionalFormatting sqref="N27">
    <cfRule type="cellIs" dxfId="503" priority="1" operator="greaterThanOrEqual">
      <formula>45.5</formula>
    </cfRule>
    <cfRule type="cellIs" dxfId="502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rgb="FFFFFF00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IF($J$3&lt;=2700,26,38)</f>
        <v>38</v>
      </c>
      <c r="Q7" s="25">
        <f t="shared" ref="Q7:Q13" si="3">$J$1*P7</f>
        <v>38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3000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2880</v>
      </c>
      <c r="I9" s="42">
        <f>F9*$J$1</f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2880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5960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135" t="s">
        <v>257</v>
      </c>
      <c r="H12" s="47">
        <f>$J$3-55-7-7-25</f>
        <v>2906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85.203919999999997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59" t="s">
        <v>120</v>
      </c>
      <c r="H13" s="47">
        <f>($I$3-18-9.5-(8*8)-71-9.5-18)/10</f>
        <v>581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20</v>
      </c>
      <c r="G15" s="42" t="s">
        <v>19</v>
      </c>
      <c r="H15" s="47">
        <f>$H$12-80-80</f>
        <v>2746</v>
      </c>
      <c r="I15" s="42">
        <f t="shared" si="0"/>
        <v>20</v>
      </c>
      <c r="J15" s="159">
        <f>ROUNDUP(((H15*I15)+(H16*I16))/6400,0)</f>
        <v>11</v>
      </c>
      <c r="K15" s="28"/>
      <c r="L15" s="42">
        <v>14</v>
      </c>
      <c r="M15" s="43" t="s">
        <v>67</v>
      </c>
      <c r="N15" s="44"/>
      <c r="O15" s="42" t="s">
        <v>1</v>
      </c>
      <c r="P15" s="45">
        <f>(($H$6*$I$6)+($H$7*$I$7)+($H$8*I8)+($H$9*$I$9)+($H$12*$I$12*2)+($H$14*$I$14*3)+($H$13*$I$13*2))/1000</f>
        <v>180.60400000000001</v>
      </c>
      <c r="Q15" s="45">
        <f>$J$1*P15</f>
        <v>180.60400000000001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42">
        <v>20</v>
      </c>
      <c r="G16" s="42" t="s">
        <v>56</v>
      </c>
      <c r="H16" s="47">
        <f>$H$13-60-60</f>
        <v>461</v>
      </c>
      <c r="I16" s="42">
        <f t="shared" si="0"/>
        <v>20</v>
      </c>
      <c r="J16" s="160"/>
      <c r="K16" s="28"/>
      <c r="L16" s="42">
        <v>15</v>
      </c>
      <c r="M16" s="43" t="s">
        <v>75</v>
      </c>
      <c r="N16" s="44"/>
      <c r="O16" s="42" t="s">
        <v>1</v>
      </c>
      <c r="P16" s="45">
        <f>($H$14*$I$14*2)/1000</f>
        <v>11.624000000000001</v>
      </c>
      <c r="Q16" s="45">
        <f>$J$1*P16</f>
        <v>11.624000000000001</v>
      </c>
      <c r="S16" s="6">
        <f>((H15*I15)/1000)*E15</f>
        <v>15.652199999999999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42">
        <v>16</v>
      </c>
      <c r="M17" s="43" t="s">
        <v>65</v>
      </c>
      <c r="N17" s="58"/>
      <c r="O17" s="42" t="s">
        <v>1</v>
      </c>
      <c r="P17" s="45">
        <f>(($O$25+$P$25)*2)*$Q$25/1000</f>
        <v>64.540000000000006</v>
      </c>
      <c r="Q17" s="45">
        <f t="shared" ref="Q17:Q18" si="4">$J$1*P17</f>
        <v>64.540000000000006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42">
        <v>17</v>
      </c>
      <c r="M18" s="43" t="s">
        <v>66</v>
      </c>
      <c r="N18" s="58"/>
      <c r="O18" s="42" t="s">
        <v>1</v>
      </c>
      <c r="P18" s="45">
        <f>(($O$25+$P$25)*2)*$Q$25/1000</f>
        <v>64.540000000000006</v>
      </c>
      <c r="Q18" s="45">
        <f t="shared" si="4"/>
        <v>64.540000000000006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187.79640000000001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288.65251999999998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((($H$12*$F$12*$E$12/1000)+($H$13*$F$13*$E$13/1000)+($H$15*$F$15*$E$15/1000)+($H$16*$F$16*$E$16/1000))+($O$25*$P$25*$H$3*2.5*10/1000000))/10</f>
        <v>28.865251999999998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288.65251999999998</v>
      </c>
      <c r="O25" s="41">
        <f>$H$12-130</f>
        <v>2776</v>
      </c>
      <c r="P25" s="41">
        <f>$H$13-130</f>
        <v>451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2:F2"/>
    <mergeCell ref="A4:J4"/>
    <mergeCell ref="L4:Q4"/>
    <mergeCell ref="J10:J11"/>
    <mergeCell ref="J12:J13"/>
    <mergeCell ref="J15:J16"/>
    <mergeCell ref="D15:D16"/>
    <mergeCell ref="E15:E16"/>
    <mergeCell ref="C15:C16"/>
    <mergeCell ref="D12:D13"/>
    <mergeCell ref="E12:E13"/>
    <mergeCell ref="C12:C13"/>
    <mergeCell ref="C10:C11"/>
    <mergeCell ref="D10:D11"/>
    <mergeCell ref="E10:E11"/>
  </mergeCells>
  <conditionalFormatting sqref="L17:Q18">
    <cfRule type="expression" dxfId="501" priority="3">
      <formula>$H$3=33</formula>
    </cfRule>
    <cfRule type="expression" dxfId="500" priority="4">
      <formula>$H$3=20</formula>
    </cfRule>
    <cfRule type="expression" dxfId="499" priority="5">
      <formula>$H$3=18</formula>
    </cfRule>
    <cfRule type="expression" dxfId="498" priority="6">
      <formula>$H$3=12</formula>
    </cfRule>
    <cfRule type="expression" dxfId="497" priority="7">
      <formula>$H$3=10</formula>
    </cfRule>
  </conditionalFormatting>
  <conditionalFormatting sqref="N24">
    <cfRule type="cellIs" dxfId="496" priority="1" operator="greaterThanOrEqual">
      <formula>54.5</formula>
    </cfRule>
    <cfRule type="cellIs" dxfId="495" priority="2" operator="greaterThanOrEqual">
      <formula>49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rgb="FFFFFF00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49" t="s">
        <v>82</v>
      </c>
      <c r="H2" s="49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33</v>
      </c>
      <c r="C7" s="26"/>
      <c r="D7" s="25" t="s">
        <v>44</v>
      </c>
      <c r="E7" s="25">
        <v>1.5329999999999999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42">
        <v>3</v>
      </c>
      <c r="B8" s="46" t="s">
        <v>34</v>
      </c>
      <c r="C8" s="46"/>
      <c r="D8" s="42" t="s">
        <v>45</v>
      </c>
      <c r="E8" s="42">
        <v>0.93400000000000005</v>
      </c>
      <c r="F8" s="42">
        <v>2</v>
      </c>
      <c r="G8" s="42" t="s">
        <v>0</v>
      </c>
      <c r="H8" s="47">
        <f>$J$3</f>
        <v>3200</v>
      </c>
      <c r="I8" s="42">
        <f t="shared" si="0"/>
        <v>2</v>
      </c>
      <c r="J8" s="42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42">
        <v>4</v>
      </c>
      <c r="B9" s="46" t="s">
        <v>31</v>
      </c>
      <c r="C9" s="46"/>
      <c r="D9" s="42" t="s">
        <v>46</v>
      </c>
      <c r="E9" s="42">
        <v>0.4</v>
      </c>
      <c r="F9" s="42">
        <v>2</v>
      </c>
      <c r="G9" s="42" t="s">
        <v>18</v>
      </c>
      <c r="H9" s="47">
        <f>$J$3-75-45</f>
        <v>3080</v>
      </c>
      <c r="I9" s="42">
        <f t="shared" si="0"/>
        <v>2</v>
      </c>
      <c r="J9" s="42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18</v>
      </c>
      <c r="H10" s="27">
        <f>$J$3-75-45</f>
        <v>3080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2</v>
      </c>
      <c r="G11" s="25" t="s">
        <v>17</v>
      </c>
      <c r="H11" s="27">
        <f>$I$3-20-20</f>
        <v>3360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42">
        <v>7</v>
      </c>
      <c r="B12" s="46" t="s">
        <v>61</v>
      </c>
      <c r="C12" s="141"/>
      <c r="D12" s="141" t="s">
        <v>47</v>
      </c>
      <c r="E12" s="141">
        <v>1.466</v>
      </c>
      <c r="F12" s="42">
        <v>20</v>
      </c>
      <c r="G12" s="42" t="s">
        <v>257</v>
      </c>
      <c r="H12" s="47">
        <f>$J$3-55-7-7-25</f>
        <v>3106</v>
      </c>
      <c r="I12" s="42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91.067920000000001</v>
      </c>
    </row>
    <row r="13" spans="1:25" ht="34.950000000000003" customHeight="1" x14ac:dyDescent="0.25">
      <c r="A13" s="42">
        <v>8</v>
      </c>
      <c r="B13" s="46" t="s">
        <v>49</v>
      </c>
      <c r="C13" s="143"/>
      <c r="D13" s="143"/>
      <c r="E13" s="143"/>
      <c r="F13" s="42">
        <v>20</v>
      </c>
      <c r="G13" s="59" t="s">
        <v>99</v>
      </c>
      <c r="H13" s="47">
        <f>($I$3-18-9.5-(8*8)-23-9.5-18)/10</f>
        <v>325.8</v>
      </c>
      <c r="I13" s="42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3106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42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42">
        <v>20</v>
      </c>
      <c r="G15" s="42" t="s">
        <v>19</v>
      </c>
      <c r="H15" s="47">
        <f>$H$12-80-80</f>
        <v>2946</v>
      </c>
      <c r="I15" s="42">
        <f>F15*$J$1</f>
        <v>20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42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42">
        <v>20</v>
      </c>
      <c r="G16" s="42" t="s">
        <v>56</v>
      </c>
      <c r="H16" s="47">
        <f>$H$13-60-60</f>
        <v>205.8</v>
      </c>
      <c r="I16" s="42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16.792199999999998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42">
        <v>22</v>
      </c>
      <c r="M23" s="43" t="s">
        <v>67</v>
      </c>
      <c r="N23" s="58"/>
      <c r="O23" s="42" t="s">
        <v>1</v>
      </c>
      <c r="P23" s="45">
        <f>(($H$6*$I$6)+($H$7*$I$7)+($H$8*1)+($H$9*$I$9)+($H$12*$I$12*2)+($H$13*$I$13)+($H$14*$I$14)-($H$12*4))/1000</f>
        <v>140.63200000000001</v>
      </c>
      <c r="Q23" s="45">
        <f>$J$1*P23</f>
        <v>140.63200000000001</v>
      </c>
      <c r="S23" s="6">
        <f>O28*P28*6*Q28*2.5/1000000</f>
        <v>87.405119999999997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42">
        <v>23</v>
      </c>
      <c r="M24" s="43" t="s">
        <v>65</v>
      </c>
      <c r="N24" s="58"/>
      <c r="O24" s="42" t="s">
        <v>1</v>
      </c>
      <c r="P24" s="45">
        <f>(($O$28+$P$28)*2)*$Q$28/1000</f>
        <v>63.436</v>
      </c>
      <c r="Q24" s="45">
        <f t="shared" ref="Q24:Q25" si="8">$J$1*P24</f>
        <v>63.436</v>
      </c>
      <c r="S24" s="18">
        <f>SUM(S12:S23)</f>
        <v>195.26524000000001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42">
        <v>24</v>
      </c>
      <c r="M25" s="43" t="s">
        <v>66</v>
      </c>
      <c r="N25" s="58"/>
      <c r="O25" s="42" t="s">
        <v>1</v>
      </c>
      <c r="P25" s="45">
        <f>(($O$28+$P$28)*2)*$Q$28/1000</f>
        <v>63.436</v>
      </c>
      <c r="Q25" s="45">
        <f t="shared" si="8"/>
        <v>63.436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19.526524000000002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195.26524000000001</v>
      </c>
      <c r="O28" s="41">
        <f>$H$12-130</f>
        <v>2976</v>
      </c>
      <c r="P28" s="41">
        <f>$H$13-130</f>
        <v>195.8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2:F2"/>
    <mergeCell ref="A4:J4"/>
    <mergeCell ref="L4:Q4"/>
    <mergeCell ref="J10:J11"/>
    <mergeCell ref="J12:J13"/>
    <mergeCell ref="J15:J16"/>
    <mergeCell ref="D15:D16"/>
    <mergeCell ref="E15:E16"/>
    <mergeCell ref="C15:C16"/>
    <mergeCell ref="D12:D13"/>
    <mergeCell ref="E12:E13"/>
    <mergeCell ref="C12:C13"/>
    <mergeCell ref="D10:D11"/>
    <mergeCell ref="E10:E11"/>
    <mergeCell ref="C10:C11"/>
  </mergeCells>
  <conditionalFormatting sqref="M24:Q25">
    <cfRule type="expression" dxfId="494" priority="13">
      <formula>$H$3=33</formula>
    </cfRule>
    <cfRule type="expression" dxfId="493" priority="14">
      <formula>$H$3=20</formula>
    </cfRule>
    <cfRule type="expression" dxfId="492" priority="15">
      <formula>$H$3=18</formula>
    </cfRule>
    <cfRule type="expression" dxfId="491" priority="16">
      <formula>$H$3=12</formula>
    </cfRule>
    <cfRule type="expression" dxfId="490" priority="17">
      <formula>$H$3=10</formula>
    </cfRule>
  </conditionalFormatting>
  <conditionalFormatting sqref="P22">
    <cfRule type="expression" dxfId="489" priority="8">
      <formula>$H$3=33</formula>
    </cfRule>
    <cfRule type="expression" dxfId="488" priority="9">
      <formula>$H$3=20</formula>
    </cfRule>
    <cfRule type="expression" dxfId="487" priority="10">
      <formula>$H$3=18</formula>
    </cfRule>
    <cfRule type="expression" dxfId="486" priority="11">
      <formula>$H$3=12</formula>
    </cfRule>
    <cfRule type="expression" dxfId="485" priority="12">
      <formula>$H$3=10</formula>
    </cfRule>
  </conditionalFormatting>
  <conditionalFormatting sqref="Q22">
    <cfRule type="expression" dxfId="484" priority="3">
      <formula>$H$3=33</formula>
    </cfRule>
    <cfRule type="expression" dxfId="483" priority="4">
      <formula>$H$3=20</formula>
    </cfRule>
    <cfRule type="expression" dxfId="482" priority="5">
      <formula>$H$3=18</formula>
    </cfRule>
    <cfRule type="expression" dxfId="481" priority="6">
      <formula>$H$3=12</formula>
    </cfRule>
    <cfRule type="expression" dxfId="480" priority="7">
      <formula>$H$3=10</formula>
    </cfRule>
  </conditionalFormatting>
  <conditionalFormatting sqref="N27">
    <cfRule type="cellIs" dxfId="479" priority="1" operator="greaterThanOrEqual">
      <formula>45.5</formula>
    </cfRule>
    <cfRule type="cellIs" dxfId="478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rgb="FFFF0000"/>
  </sheetPr>
  <dimension ref="A1:AT44"/>
  <sheetViews>
    <sheetView view="pageBreakPreview" topLeftCell="A10" zoomScale="70" zoomScaleNormal="55" zoomScaleSheetLayoutView="70" workbookViewId="0">
      <selection activeCell="H21" sqref="H21"/>
    </sheetView>
  </sheetViews>
  <sheetFormatPr defaultColWidth="8.8984375" defaultRowHeight="13.8" outlineLevelCol="1" x14ac:dyDescent="0.25"/>
  <cols>
    <col min="1" max="1" width="8.69921875" style="6" customWidth="1"/>
    <col min="2" max="2" width="24.69921875" style="2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4.3984375" style="6" customWidth="1" outlineLevel="1"/>
    <col min="23" max="23" width="8.8984375" style="6" customWidth="1" outlineLevel="1"/>
    <col min="24" max="25" width="10.69921875" style="6" customWidth="1" outlineLevel="1"/>
    <col min="26" max="26" width="5.69921875" style="6" customWidth="1" outlineLevel="1"/>
    <col min="27" max="28" width="10.69921875" style="6" customWidth="1" outlineLevel="1"/>
    <col min="29" max="29" width="22" style="6" customWidth="1" outlineLevel="1"/>
    <col min="30" max="30" width="15.69921875" style="6" customWidth="1" outlineLevel="1"/>
    <col min="31" max="33" width="8.8984375" style="6" customWidth="1" outlineLevel="1"/>
    <col min="34" max="34" width="28" style="6" customWidth="1" outlineLevel="1"/>
    <col min="35" max="37" width="8.8984375" style="6" customWidth="1" outlineLevel="1"/>
    <col min="38" max="38" width="11.69921875" style="6" bestFit="1" customWidth="1" outlineLevel="1"/>
    <col min="39" max="39" width="22" style="6" customWidth="1" outlineLevel="1"/>
    <col min="40" max="40" width="15.69921875" style="6" customWidth="1" outlineLevel="1"/>
    <col min="41" max="43" width="8.8984375" style="6" customWidth="1" outlineLevel="1"/>
    <col min="44" max="44" width="23" style="6" customWidth="1" outlineLevel="1"/>
    <col min="45" max="46" width="8.8984375" style="6" customWidth="1" outlineLevel="1"/>
    <col min="47" max="16384" width="8.8984375" style="6"/>
  </cols>
  <sheetData>
    <row r="1" spans="1:46" ht="19.95" customHeight="1" x14ac:dyDescent="0.35">
      <c r="A1" s="1"/>
      <c r="H1" s="48"/>
      <c r="I1" s="11" t="s">
        <v>2</v>
      </c>
      <c r="J1" s="11">
        <v>1</v>
      </c>
    </row>
    <row r="2" spans="1:46" ht="19.95" customHeight="1" x14ac:dyDescent="0.35">
      <c r="A2" s="7"/>
      <c r="C2" s="144" t="s">
        <v>118</v>
      </c>
      <c r="D2" s="144"/>
      <c r="E2" s="144"/>
      <c r="F2" s="144"/>
      <c r="J2" s="50" t="s">
        <v>0</v>
      </c>
    </row>
    <row r="3" spans="1:46" ht="19.95" customHeight="1" x14ac:dyDescent="0.25">
      <c r="G3" s="6"/>
      <c r="H3" s="6"/>
      <c r="I3" s="6"/>
      <c r="J3" s="11">
        <v>2600</v>
      </c>
      <c r="W3" s="4" t="s">
        <v>148</v>
      </c>
      <c r="X3" s="4">
        <v>2</v>
      </c>
    </row>
    <row r="4" spans="1:46" ht="19.95" customHeight="1" x14ac:dyDescent="0.25">
      <c r="G4" s="4"/>
      <c r="H4" s="76" t="str">
        <f>IF($H$6="เปิดบาน B","ปิดบาน A","เปิดบาน A")</f>
        <v>ปิดบาน A</v>
      </c>
      <c r="I4" s="74" t="s">
        <v>125</v>
      </c>
      <c r="J4" s="50" t="s">
        <v>156</v>
      </c>
      <c r="K4" s="4"/>
      <c r="W4" s="4" t="s">
        <v>149</v>
      </c>
      <c r="X4" s="4">
        <v>4</v>
      </c>
    </row>
    <row r="5" spans="1:46" ht="19.95" customHeight="1" x14ac:dyDescent="0.25">
      <c r="D5" s="118" t="s">
        <v>82</v>
      </c>
      <c r="E5" s="149" t="s">
        <v>53</v>
      </c>
      <c r="F5" s="149"/>
      <c r="G5" s="4"/>
      <c r="H5" s="4"/>
      <c r="I5" s="11">
        <v>6</v>
      </c>
      <c r="J5" s="11">
        <v>5000</v>
      </c>
      <c r="W5" s="4" t="s">
        <v>146</v>
      </c>
      <c r="X5" s="4">
        <v>6</v>
      </c>
    </row>
    <row r="6" spans="1:46" ht="19.95" customHeight="1" x14ac:dyDescent="0.25">
      <c r="D6" s="119" t="s">
        <v>30</v>
      </c>
      <c r="E6" s="150">
        <v>6</v>
      </c>
      <c r="F6" s="150"/>
      <c r="G6" s="4"/>
      <c r="H6" s="77" t="s">
        <v>146</v>
      </c>
      <c r="I6" s="74" t="s">
        <v>125</v>
      </c>
      <c r="J6" s="50" t="s">
        <v>157</v>
      </c>
      <c r="T6" s="79"/>
      <c r="W6" s="4" t="s">
        <v>147</v>
      </c>
      <c r="X6" s="4">
        <v>8</v>
      </c>
    </row>
    <row r="7" spans="1:46" ht="19.95" customHeight="1" x14ac:dyDescent="0.25">
      <c r="G7" s="4"/>
      <c r="H7" s="4"/>
      <c r="I7" s="11">
        <v>8</v>
      </c>
      <c r="J7" s="11">
        <v>3000</v>
      </c>
      <c r="X7" s="4">
        <v>10</v>
      </c>
    </row>
    <row r="8" spans="1:46" s="9" customFormat="1" ht="19.95" customHeight="1" x14ac:dyDescent="0.25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</row>
    <row r="9" spans="1:46" ht="40.200000000000003" customHeight="1" x14ac:dyDescent="0.25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</row>
    <row r="10" spans="1:46" ht="34.950000000000003" customHeight="1" x14ac:dyDescent="0.25">
      <c r="A10" s="151">
        <v>1</v>
      </c>
      <c r="B10" s="26" t="s">
        <v>150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4982</v>
      </c>
      <c r="I10" s="25">
        <f t="shared" ref="I10:I26" si="0">F10*$J$1</f>
        <v>1</v>
      </c>
      <c r="J10" s="151">
        <f>ROUNDUP(((H10*I10)+(H11*I11))/6400,0)</f>
        <v>2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ดำ</v>
      </c>
      <c r="P10" s="25">
        <f>(($F$19+$F$20)/2)/2</f>
        <v>7</v>
      </c>
      <c r="Q10" s="25">
        <f>$J$1*P10</f>
        <v>7</v>
      </c>
      <c r="R10" s="13">
        <v>299</v>
      </c>
    </row>
    <row r="11" spans="1:46" ht="34.950000000000003" customHeight="1" x14ac:dyDescent="0.25">
      <c r="A11" s="152"/>
      <c r="B11" s="26" t="s">
        <v>151</v>
      </c>
      <c r="C11" s="152"/>
      <c r="D11" s="152"/>
      <c r="E11" s="152"/>
      <c r="F11" s="25">
        <v>1</v>
      </c>
      <c r="G11" s="25" t="s">
        <v>159</v>
      </c>
      <c r="H11" s="27">
        <f>$J$7-18</f>
        <v>2982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ดำ</v>
      </c>
      <c r="P11" s="25">
        <f>IF($J$3&lt;=2700,11,16)</f>
        <v>11</v>
      </c>
      <c r="Q11" s="25">
        <f t="shared" ref="Q11:Q17" si="2">$J$1*P11</f>
        <v>11</v>
      </c>
      <c r="R11" s="13">
        <v>72</v>
      </c>
    </row>
    <row r="12" spans="1:46" ht="34.950000000000003" customHeight="1" x14ac:dyDescent="0.25">
      <c r="A12" s="141">
        <v>2</v>
      </c>
      <c r="B12" s="46" t="s">
        <v>250</v>
      </c>
      <c r="C12" s="141"/>
      <c r="D12" s="141" t="s">
        <v>139</v>
      </c>
      <c r="E12" s="141">
        <v>0.30299999999999999</v>
      </c>
      <c r="F12" s="117">
        <v>1</v>
      </c>
      <c r="G12" s="117" t="s">
        <v>158</v>
      </c>
      <c r="H12" s="47">
        <f>$J$5-18</f>
        <v>4982</v>
      </c>
      <c r="I12" s="117">
        <f t="shared" si="0"/>
        <v>1</v>
      </c>
      <c r="J12" s="141">
        <f>ROUNDUP(((H12*I12)+(H13*I13))/6400,0)</f>
        <v>2</v>
      </c>
      <c r="K12" s="28"/>
      <c r="L12" s="25">
        <v>3</v>
      </c>
      <c r="M12" s="29" t="s">
        <v>26</v>
      </c>
      <c r="N12" s="25"/>
      <c r="O12" s="25" t="str">
        <f t="shared" si="1"/>
        <v>ดำ</v>
      </c>
      <c r="P12" s="25">
        <f>(($F$19+$F$20)/2)/2</f>
        <v>7</v>
      </c>
      <c r="Q12" s="25">
        <f t="shared" si="2"/>
        <v>7</v>
      </c>
      <c r="R12" s="13">
        <v>109</v>
      </c>
    </row>
    <row r="13" spans="1:46" ht="34.950000000000003" customHeight="1" x14ac:dyDescent="0.25">
      <c r="A13" s="143"/>
      <c r="B13" s="46" t="s">
        <v>251</v>
      </c>
      <c r="C13" s="143"/>
      <c r="D13" s="143"/>
      <c r="E13" s="143"/>
      <c r="F13" s="117">
        <v>1</v>
      </c>
      <c r="G13" s="117" t="s">
        <v>159</v>
      </c>
      <c r="H13" s="47">
        <f>$J$7-18</f>
        <v>2982</v>
      </c>
      <c r="I13" s="117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ดำ</v>
      </c>
      <c r="P13" s="25">
        <f>(($F$19+$F$20)/2)/2</f>
        <v>7</v>
      </c>
      <c r="Q13" s="25">
        <f t="shared" si="2"/>
        <v>7</v>
      </c>
      <c r="R13" s="13">
        <v>199</v>
      </c>
    </row>
    <row r="14" spans="1:46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2600</v>
      </c>
      <c r="I14" s="39">
        <f t="shared" si="0"/>
        <v>2</v>
      </c>
      <c r="J14" s="39">
        <f t="shared" ref="J14:J15" si="3">ROUNDUP((H14*I14)/6400,0)</f>
        <v>1</v>
      </c>
      <c r="K14" s="28"/>
      <c r="L14" s="25">
        <v>5</v>
      </c>
      <c r="M14" s="29" t="s">
        <v>22</v>
      </c>
      <c r="N14" s="25"/>
      <c r="O14" s="25" t="str">
        <f t="shared" si="1"/>
        <v>ดำ</v>
      </c>
      <c r="P14" s="25">
        <f>(($F$19+$F$20)/2)/2</f>
        <v>7</v>
      </c>
      <c r="Q14" s="25">
        <f t="shared" si="2"/>
        <v>7</v>
      </c>
      <c r="R14" s="13">
        <v>85</v>
      </c>
    </row>
    <row r="15" spans="1:46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18</v>
      </c>
      <c r="H15" s="40">
        <f>$J$3-75-45</f>
        <v>2480</v>
      </c>
      <c r="I15" s="39">
        <f t="shared" si="0"/>
        <v>2</v>
      </c>
      <c r="J15" s="39">
        <f t="shared" si="3"/>
        <v>1</v>
      </c>
      <c r="K15" s="28"/>
      <c r="L15" s="25">
        <v>6</v>
      </c>
      <c r="M15" s="29" t="s">
        <v>23</v>
      </c>
      <c r="N15" s="25"/>
      <c r="O15" s="25" t="str">
        <f t="shared" si="1"/>
        <v>ดำ</v>
      </c>
      <c r="P15" s="25">
        <f>(($F$19+$F$20)/2)/2</f>
        <v>7</v>
      </c>
      <c r="Q15" s="25">
        <f t="shared" si="2"/>
        <v>7</v>
      </c>
      <c r="R15" s="13">
        <v>88</v>
      </c>
      <c r="AB15" s="75" t="s">
        <v>126</v>
      </c>
      <c r="AC15" s="75" t="s">
        <v>143</v>
      </c>
      <c r="AD15" s="75"/>
      <c r="AL15" s="75" t="s">
        <v>141</v>
      </c>
      <c r="AM15" s="75" t="s">
        <v>143</v>
      </c>
      <c r="AN15" s="75"/>
    </row>
    <row r="16" spans="1:46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117">
        <v>2</v>
      </c>
      <c r="G16" s="117" t="s">
        <v>18</v>
      </c>
      <c r="H16" s="47">
        <f>$J$3-75-45</f>
        <v>2480</v>
      </c>
      <c r="I16" s="117">
        <f t="shared" si="0"/>
        <v>2</v>
      </c>
      <c r="J16" s="141">
        <f>ROUNDUP(((H16*I16)+(H17*I17)+(H18*I18))/6400,0)</f>
        <v>3</v>
      </c>
      <c r="K16" s="28"/>
      <c r="L16" s="25">
        <v>7</v>
      </c>
      <c r="M16" s="29" t="s">
        <v>29</v>
      </c>
      <c r="N16" s="25"/>
      <c r="O16" s="25" t="str">
        <f t="shared" si="1"/>
        <v>ดำ</v>
      </c>
      <c r="P16" s="25">
        <f>(($F$19+$F$20)/2)</f>
        <v>14</v>
      </c>
      <c r="Q16" s="25">
        <f t="shared" si="2"/>
        <v>14</v>
      </c>
      <c r="R16" s="13">
        <v>73</v>
      </c>
      <c r="S16" s="6">
        <f>((H19*I19)/1000)*E19</f>
        <v>44.525351999999998</v>
      </c>
      <c r="V16" s="81" t="s">
        <v>164</v>
      </c>
      <c r="AB16" s="117">
        <v>2</v>
      </c>
      <c r="AC16" s="46" t="s">
        <v>123</v>
      </c>
      <c r="AD16" s="46"/>
      <c r="AE16" s="117" t="s">
        <v>47</v>
      </c>
      <c r="AF16" s="117">
        <v>1.466</v>
      </c>
      <c r="AG16" s="117">
        <f>2*AB16</f>
        <v>4</v>
      </c>
      <c r="AH16" s="59" t="s">
        <v>127</v>
      </c>
      <c r="AI16" s="47">
        <f>($J$5-18-9.5-(8*1)-62)/AB16</f>
        <v>2451.25</v>
      </c>
      <c r="AJ16" s="117">
        <f>AG16*$J$1</f>
        <v>4</v>
      </c>
      <c r="AL16" s="117">
        <v>2</v>
      </c>
      <c r="AM16" s="46" t="s">
        <v>124</v>
      </c>
      <c r="AN16" s="46"/>
      <c r="AO16" s="117" t="s">
        <v>47</v>
      </c>
      <c r="AP16" s="117">
        <v>1.466</v>
      </c>
      <c r="AQ16" s="117">
        <f>2*AL16</f>
        <v>4</v>
      </c>
      <c r="AR16" s="59" t="s">
        <v>127</v>
      </c>
      <c r="AS16" s="47">
        <f>($J$5-18-9.5-(8*1)-62)/AL16</f>
        <v>2451.25</v>
      </c>
      <c r="AT16" s="117">
        <f>AQ16*$J$1</f>
        <v>4</v>
      </c>
    </row>
    <row r="17" spans="1:46" ht="34.950000000000003" customHeight="1" x14ac:dyDescent="0.25">
      <c r="A17" s="142"/>
      <c r="B17" s="46" t="s">
        <v>154</v>
      </c>
      <c r="C17" s="142"/>
      <c r="D17" s="142"/>
      <c r="E17" s="142"/>
      <c r="F17" s="117">
        <v>1</v>
      </c>
      <c r="G17" s="117" t="s">
        <v>160</v>
      </c>
      <c r="H17" s="47">
        <f>$J$5-18-58</f>
        <v>4924</v>
      </c>
      <c r="I17" s="117">
        <f t="shared" si="0"/>
        <v>1</v>
      </c>
      <c r="J17" s="142"/>
      <c r="K17" s="28"/>
      <c r="L17" s="25">
        <v>8</v>
      </c>
      <c r="M17" s="29" t="s">
        <v>35</v>
      </c>
      <c r="N17" s="30"/>
      <c r="O17" s="25" t="s">
        <v>1</v>
      </c>
      <c r="P17" s="25">
        <f>(($F$19+$F$20)/2)*4</f>
        <v>56</v>
      </c>
      <c r="Q17" s="25">
        <f t="shared" si="2"/>
        <v>56</v>
      </c>
      <c r="R17" s="13">
        <v>15</v>
      </c>
      <c r="S17" s="6">
        <f>((H21*I21)/1000)*E21</f>
        <v>0</v>
      </c>
      <c r="V17" s="8" t="s">
        <v>5</v>
      </c>
      <c r="W17" s="8" t="s">
        <v>12</v>
      </c>
      <c r="X17" s="8" t="s">
        <v>9</v>
      </c>
      <c r="Y17" s="8" t="s">
        <v>14</v>
      </c>
      <c r="AB17" s="117">
        <v>4</v>
      </c>
      <c r="AC17" s="46" t="s">
        <v>123</v>
      </c>
      <c r="AD17" s="46"/>
      <c r="AE17" s="117" t="s">
        <v>47</v>
      </c>
      <c r="AF17" s="117">
        <v>1.466</v>
      </c>
      <c r="AG17" s="117">
        <f t="shared" ref="AG17:AG20" si="4">2*AB17</f>
        <v>8</v>
      </c>
      <c r="AH17" s="59" t="s">
        <v>128</v>
      </c>
      <c r="AI17" s="47">
        <f>($J$5-18-9.5-(8*3)-62)/AB17</f>
        <v>1221.625</v>
      </c>
      <c r="AJ17" s="117">
        <f t="shared" ref="AJ17:AJ20" si="5">AG17*$J$1</f>
        <v>8</v>
      </c>
      <c r="AL17" s="117">
        <v>4</v>
      </c>
      <c r="AM17" s="46" t="s">
        <v>124</v>
      </c>
      <c r="AN17" s="46"/>
      <c r="AO17" s="117" t="s">
        <v>47</v>
      </c>
      <c r="AP17" s="117">
        <v>1.466</v>
      </c>
      <c r="AQ17" s="117">
        <f t="shared" ref="AQ17:AQ20" si="6">2*AL17</f>
        <v>8</v>
      </c>
      <c r="AR17" s="59" t="s">
        <v>128</v>
      </c>
      <c r="AS17" s="47">
        <f>($J$5-18-9.5-(8*3)-62)/AL17</f>
        <v>1221.625</v>
      </c>
      <c r="AT17" s="117">
        <f t="shared" ref="AT17:AT20" si="7">AQ17*$J$1</f>
        <v>8</v>
      </c>
    </row>
    <row r="18" spans="1:46" ht="34.950000000000003" customHeight="1" x14ac:dyDescent="0.25">
      <c r="A18" s="143"/>
      <c r="B18" s="46" t="s">
        <v>155</v>
      </c>
      <c r="C18" s="143"/>
      <c r="D18" s="143"/>
      <c r="E18" s="143"/>
      <c r="F18" s="117">
        <v>1</v>
      </c>
      <c r="G18" s="117" t="s">
        <v>161</v>
      </c>
      <c r="H18" s="47">
        <f>$J$7-18-58</f>
        <v>2924</v>
      </c>
      <c r="I18" s="117">
        <f t="shared" si="0"/>
        <v>1</v>
      </c>
      <c r="J18" s="143"/>
      <c r="K18" s="28"/>
      <c r="L18" s="25">
        <v>9</v>
      </c>
      <c r="M18" s="29" t="s">
        <v>36</v>
      </c>
      <c r="N18" s="30"/>
      <c r="O18" s="25" t="s">
        <v>1</v>
      </c>
      <c r="P18" s="25">
        <f>(($F$19+$F$20)/2)*12</f>
        <v>168</v>
      </c>
      <c r="Q18" s="25">
        <f>$J$1*P18</f>
        <v>168</v>
      </c>
      <c r="R18" s="13">
        <v>1.5</v>
      </c>
      <c r="V18" s="12" t="s">
        <v>166</v>
      </c>
      <c r="W18" s="12"/>
      <c r="X18" s="11" t="s">
        <v>13</v>
      </c>
      <c r="Y18" s="11">
        <v>0.28499999999999998</v>
      </c>
      <c r="AB18" s="117">
        <v>6</v>
      </c>
      <c r="AC18" s="46" t="s">
        <v>123</v>
      </c>
      <c r="AD18" s="46"/>
      <c r="AE18" s="117" t="s">
        <v>47</v>
      </c>
      <c r="AF18" s="117">
        <v>1.466</v>
      </c>
      <c r="AG18" s="117">
        <f t="shared" si="4"/>
        <v>12</v>
      </c>
      <c r="AH18" s="59" t="s">
        <v>131</v>
      </c>
      <c r="AI18" s="47">
        <f>($J$5-18-9.5-(8*5)-62)/AB18</f>
        <v>811.75</v>
      </c>
      <c r="AJ18" s="117">
        <f t="shared" si="5"/>
        <v>12</v>
      </c>
      <c r="AL18" s="117">
        <v>6</v>
      </c>
      <c r="AM18" s="46" t="s">
        <v>124</v>
      </c>
      <c r="AN18" s="46"/>
      <c r="AO18" s="117" t="s">
        <v>47</v>
      </c>
      <c r="AP18" s="117">
        <v>1.466</v>
      </c>
      <c r="AQ18" s="117">
        <f t="shared" si="6"/>
        <v>12</v>
      </c>
      <c r="AR18" s="59" t="s">
        <v>131</v>
      </c>
      <c r="AS18" s="47">
        <f>($J$5-18-9.5-(8*5)-62)/AL18</f>
        <v>811.75</v>
      </c>
      <c r="AT18" s="117">
        <f t="shared" si="7"/>
        <v>12</v>
      </c>
    </row>
    <row r="19" spans="1:46" ht="34.950000000000003" customHeight="1" x14ac:dyDescent="0.25">
      <c r="A19" s="138">
        <v>6</v>
      </c>
      <c r="B19" s="56" t="s">
        <v>121</v>
      </c>
      <c r="C19" s="138"/>
      <c r="D19" s="138" t="s">
        <v>47</v>
      </c>
      <c r="E19" s="138">
        <v>1.466</v>
      </c>
      <c r="F19" s="39">
        <f>IF($I$5=2,$AG$30,IF($I$5=4,$AG$31,IF($I$5=6,$AG$32,IF($I$5=8,$AG$33,IF($I$5=10,$AG$34,)))))</f>
        <v>12</v>
      </c>
      <c r="G19" s="39" t="s">
        <v>262</v>
      </c>
      <c r="H19" s="40">
        <f>$J$3-55-7-7</f>
        <v>2531</v>
      </c>
      <c r="I19" s="39">
        <f t="shared" si="0"/>
        <v>12</v>
      </c>
      <c r="J19" s="138">
        <f>ROUNDUP(((H19*I19)+(H20*I20)+(H21*I21+(H22*I22)))/6400,0)</f>
        <v>15</v>
      </c>
      <c r="K19" s="28"/>
      <c r="L19" s="25">
        <v>10</v>
      </c>
      <c r="M19" s="61" t="s">
        <v>96</v>
      </c>
      <c r="N19" s="60"/>
      <c r="O19" s="25" t="str">
        <f>IF($D$6="ขาว","ขาว","ดำ")</f>
        <v>ดำ</v>
      </c>
      <c r="P19" s="25">
        <v>2</v>
      </c>
      <c r="Q19" s="25">
        <f>$J$1*P19</f>
        <v>2</v>
      </c>
      <c r="V19" s="12" t="s">
        <v>177</v>
      </c>
      <c r="W19" s="12"/>
      <c r="X19" s="11" t="s">
        <v>13</v>
      </c>
      <c r="Y19" s="11">
        <v>0.28499999999999998</v>
      </c>
      <c r="AB19" s="117">
        <v>8</v>
      </c>
      <c r="AC19" s="46" t="s">
        <v>123</v>
      </c>
      <c r="AD19" s="46"/>
      <c r="AE19" s="117" t="s">
        <v>47</v>
      </c>
      <c r="AF19" s="117">
        <v>1.466</v>
      </c>
      <c r="AG19" s="117">
        <f t="shared" si="4"/>
        <v>16</v>
      </c>
      <c r="AH19" s="59" t="s">
        <v>130</v>
      </c>
      <c r="AI19" s="47">
        <f>($J$5-18-9.5-(8*7)-62)/AB19</f>
        <v>606.8125</v>
      </c>
      <c r="AJ19" s="117">
        <f t="shared" si="5"/>
        <v>16</v>
      </c>
      <c r="AL19" s="117">
        <v>8</v>
      </c>
      <c r="AM19" s="46" t="s">
        <v>124</v>
      </c>
      <c r="AN19" s="46"/>
      <c r="AO19" s="117" t="s">
        <v>47</v>
      </c>
      <c r="AP19" s="117">
        <v>1.466</v>
      </c>
      <c r="AQ19" s="117">
        <f t="shared" si="6"/>
        <v>16</v>
      </c>
      <c r="AR19" s="59" t="s">
        <v>130</v>
      </c>
      <c r="AS19" s="47">
        <f>($J$5-18-9.5-(8*7)-62)/AL19</f>
        <v>606.8125</v>
      </c>
      <c r="AT19" s="117">
        <f t="shared" si="7"/>
        <v>16</v>
      </c>
    </row>
    <row r="20" spans="1:46" ht="34.950000000000003" customHeight="1" x14ac:dyDescent="0.25">
      <c r="A20" s="139"/>
      <c r="B20" s="56" t="s">
        <v>122</v>
      </c>
      <c r="C20" s="140"/>
      <c r="D20" s="139"/>
      <c r="E20" s="139"/>
      <c r="F20" s="39">
        <f>IF($I$7=2,$AQ$30,IF($I$7=4,$AQ$31,IF($I$7=6,$AQ$32,IF($I$7=8,$AQ$33,IF($I$7=10,$AQ$34,)))))</f>
        <v>16</v>
      </c>
      <c r="G20" s="39" t="s">
        <v>262</v>
      </c>
      <c r="H20" s="40">
        <f>$J$3-55-7-7</f>
        <v>2531</v>
      </c>
      <c r="I20" s="39">
        <f t="shared" si="0"/>
        <v>16</v>
      </c>
      <c r="J20" s="139"/>
      <c r="K20" s="28"/>
      <c r="L20" s="117">
        <v>11</v>
      </c>
      <c r="M20" s="43" t="s">
        <v>67</v>
      </c>
      <c r="N20" s="58"/>
      <c r="O20" s="117" t="s">
        <v>1</v>
      </c>
      <c r="P20" s="45">
        <f>(($H$10*$I$10)+($H$14*1)+($H$15*$I$15)+($H$19*$I$19*2)+($H$21*$I$21)+($H$28*$I$28)-($H$19*4))/1000</f>
        <v>75.433999999999997</v>
      </c>
      <c r="Q20" s="45">
        <f>$J$1*P20</f>
        <v>75.433999999999997</v>
      </c>
      <c r="S20" s="6">
        <f>((H23*I23)/1000)*E23</f>
        <v>8.1088199999999997</v>
      </c>
      <c r="V20" s="12" t="s">
        <v>168</v>
      </c>
      <c r="W20" s="12"/>
      <c r="X20" s="11" t="s">
        <v>55</v>
      </c>
      <c r="Y20" s="11">
        <v>0.252</v>
      </c>
      <c r="AB20" s="117">
        <v>10</v>
      </c>
      <c r="AC20" s="46" t="s">
        <v>123</v>
      </c>
      <c r="AD20" s="46"/>
      <c r="AE20" s="117" t="s">
        <v>47</v>
      </c>
      <c r="AF20" s="117">
        <v>1.466</v>
      </c>
      <c r="AG20" s="117">
        <f t="shared" si="4"/>
        <v>20</v>
      </c>
      <c r="AH20" s="59" t="s">
        <v>129</v>
      </c>
      <c r="AI20" s="47">
        <f>($J$5-18-9.5-(8*9)-62)/AB20</f>
        <v>483.85</v>
      </c>
      <c r="AJ20" s="117">
        <f t="shared" si="5"/>
        <v>20</v>
      </c>
      <c r="AL20" s="117">
        <v>10</v>
      </c>
      <c r="AM20" s="46" t="s">
        <v>124</v>
      </c>
      <c r="AN20" s="46"/>
      <c r="AO20" s="117" t="s">
        <v>47</v>
      </c>
      <c r="AP20" s="117">
        <v>1.466</v>
      </c>
      <c r="AQ20" s="117">
        <f t="shared" si="6"/>
        <v>20</v>
      </c>
      <c r="AR20" s="59" t="s">
        <v>129</v>
      </c>
      <c r="AS20" s="47">
        <f>($J$5-18-9.5-(8*9)-62)/AL20</f>
        <v>483.85</v>
      </c>
      <c r="AT20" s="117">
        <f t="shared" si="7"/>
        <v>20</v>
      </c>
    </row>
    <row r="21" spans="1:46" ht="34.950000000000003" customHeight="1" x14ac:dyDescent="0.25">
      <c r="A21" s="139"/>
      <c r="B21" s="56" t="s">
        <v>123</v>
      </c>
      <c r="C21" s="138"/>
      <c r="D21" s="139"/>
      <c r="E21" s="139"/>
      <c r="F21" s="78" t="str">
        <f>IF(AND($H$4=$W$3,$I$5=$X$3),AG$23,"")&amp;IF(AND($H$4=$W$3,$I$5=$X$4),AG$24,"")&amp;IF(AND($H$4=$W$3,$I$5=$X$5),AG$25,"")&amp;IF(AND($H$4=$W$3,$I$5=$X$6),AG$26,"")&amp;IF(AND($H$4=$W$3,$I$5=$X$7),AG$27,"")&amp;IF(AND($H$4=$W$4,$I$5=$X$3),AG$16,"")&amp;IF(AND($H$4=$W$4,$I$5=$X$4),AG$17,"")&amp;IF(AND($H$4=$W$4,$I$5=$X$5),AG$18,"")&amp;IF(AND($H$4=$W$4,$I$5=$X$6),AG$19,"")&amp;IF(AND($H$4=$W$4,$I$5=$X$7),AG$20,"")</f>
        <v>12</v>
      </c>
      <c r="G21" s="78" t="str">
        <f>IF(AND($H$4=$W$3,$I$5=$X$3),AH$23,"")&amp;IF(AND($H$4=$W$3,$I$5=$X$4),AH$24,"")&amp;IF(AND($H$4=$W$3,$I$5=$X$5),AH$25,"")&amp;IF(AND($H$4=$W$3,$I$5=$X$6),AH$26,"")&amp;IF(AND($H$4=$W$3,$I$5=$X$7),AH$27,"")&amp;IF(AND($H$4=$W$4,$I$5=$X$3),AH$16,"")&amp;IF(AND($H$4=$W$4,$I$5=$X$4),AH$17,"")&amp;IF(AND($H$4=$W$4,$I$5=$X$5),AH$18,"")&amp;IF(AND($H$4=$W$4,$I$5=$X$6),AH$19,"")&amp;IF(AND($H$4=$W$4,$I$5=$X$7),AH$20,"")</f>
        <v>(W-18-9.5-(8x5)-62)/6</v>
      </c>
      <c r="H21" s="80">
        <f>VALUE(IF(AND($H$4=$W$3,$I$5=$X$3),AI$23,"")&amp;IF(AND($H$4=$W$3,$I$5=$X$4),AI$24,"")&amp;IF(AND($H$4=$W$3,$I$5=$X$5),AI$25,"")&amp;IF(AND($H$4=$W$3,$I$5=$X$6),AI$26,"")&amp;IF(AND($H$4=$W$3,$I$5=$X$7),AI$27,"")&amp;IF(AND($H$4=$W$4,$I$5=$X$3),AI$16,"")&amp;IF(AND($H$4=$W$4,$I$5=$X$4),AI$17,"")&amp;IF(AND($H$4=$W$4,$I$5=$X$5),AI$18,"")&amp;IF(AND($H$4=$W$4,$I$5=$X$6),AI$19,"")&amp;IF(AND($H$4=$W$4,$I$5=$X$7),AI$20,""))</f>
        <v>811.75</v>
      </c>
      <c r="I21" s="39">
        <f>F21*$J$1</f>
        <v>12</v>
      </c>
      <c r="J21" s="139"/>
      <c r="K21" s="28"/>
      <c r="L21" s="117">
        <v>12</v>
      </c>
      <c r="M21" s="43" t="s">
        <v>65</v>
      </c>
      <c r="N21" s="58"/>
      <c r="O21" s="117" t="s">
        <v>1</v>
      </c>
      <c r="P21" s="45">
        <f>(($O$32+$P$32)*2)*$Q$32/1000</f>
        <v>45.965000000000003</v>
      </c>
      <c r="Q21" s="45">
        <f t="shared" ref="Q21:Q22" si="8">$J$1*P21</f>
        <v>45.965000000000003</v>
      </c>
      <c r="S21" s="6">
        <f>((H25*I25)/1000)*E25</f>
        <v>0</v>
      </c>
      <c r="V21" s="12" t="s">
        <v>170</v>
      </c>
      <c r="W21" s="12" t="s">
        <v>169</v>
      </c>
      <c r="X21" s="11" t="s">
        <v>55</v>
      </c>
      <c r="Y21" s="11">
        <v>0.252</v>
      </c>
    </row>
    <row r="22" spans="1:46" ht="34.950000000000003" customHeight="1" x14ac:dyDescent="0.25">
      <c r="A22" s="140"/>
      <c r="B22" s="56" t="s">
        <v>124</v>
      </c>
      <c r="C22" s="140"/>
      <c r="D22" s="140"/>
      <c r="E22" s="140"/>
      <c r="F22" s="78" t="str">
        <f>IF(AND($H$6=$W$5,$I$7=$X$3),AQ$23,"")&amp;IF(AND($H$6=$W$5,$I$7=$X$4),AQ$24,"")&amp;IF(AND($H$6=$W$5,$I$7=$X$5),AQ$25,"")&amp;IF(AND($H$6=$W$5,$I$7=$X$6),AQ$26,"")&amp;IF(AND($H$6=$W$5,$I$7=$X$7),AQ$27,"")&amp;IF(AND($H$6=$W$6,$I$7=$X$3),AQ$16,"")&amp;IF(AND($H$6=$W$6,$I$7=$X$4),AQ$17,"")&amp;IF(AND($H$6=$W$6,$I$7=$X$5),AQ$18,"")&amp;IF(AND($H$6=$W$6,$I$7=$X$6),AQ$19,"")&amp;IF(AND($H$6=$W$6,$I$7=$X$7),AQ$20,"")</f>
        <v>16</v>
      </c>
      <c r="G22" s="78" t="str">
        <f>IF(AND($H$6=$W$5,$I$7=$X$3),AR$23,"")&amp;IF(AND($H$6=$W$5,$I$7=$X$4),AR$24,"")&amp;IF(AND($H$6=$W$5,$I$7=$X$5),AR$25,"")&amp;IF(AND($H$6=$W$5,$I$7=$X$6),AR$26,"")&amp;IF(AND($H$6=$W$5,$I$7=$X$7),AR$27,"")&amp;IF(AND($H$6=$W$6,$I$7=$X$3),AR$16,"")&amp;IF(AND($H$6=$W$6,$I$7=$X$4),AR$17,"")&amp;IF(AND($H$6=$W$6,$I$7=$X$5),AR$18,"")&amp;IF(AND($H$6=$W$6,$I$7=$X$6),AR$19,"")&amp;IF(AND($H$6=$W$6,$I$7=$X$7),AR$20,"")</f>
        <v>(W-18-9.5-(8x7)-102)/8</v>
      </c>
      <c r="H22" s="80">
        <f>VALUE(IF(AND($H$6=$W$5,$I$7=$X$3),AS$23,"")&amp;IF(AND($H$6=$W$5,$I$7=$X$4),AS$24,"")&amp;IF(AND($H$6=$W$5,$I$7=$X$5),AS$25,"")&amp;IF(AND($H$6=$W$5,$I$7=$X$6),AS$26,"")&amp;IF(AND($H$6=$W$5,$I$7=$X$7),AS$27,"")&amp;IF(AND($H$6=$W$6,$I$7=$X$3),AS$16,"")&amp;IF(AND($H$6=$W$6,$I$7=$X$4),AS$17,"")&amp;IF(AND($H$6=$W$6,$I$7=$X$5),AS$18,"")&amp;IF(AND($H$6=$W$6,$I$7=$X$6),AS$19,"")&amp;IF(AND($H$6=$W$6,$I$7=$X$7),AS$20,""))</f>
        <v>601.8125</v>
      </c>
      <c r="I22" s="39">
        <f t="shared" si="0"/>
        <v>16</v>
      </c>
      <c r="J22" s="140"/>
      <c r="K22" s="28"/>
      <c r="L22" s="117">
        <v>13</v>
      </c>
      <c r="M22" s="43" t="s">
        <v>66</v>
      </c>
      <c r="N22" s="58"/>
      <c r="O22" s="117" t="s">
        <v>1</v>
      </c>
      <c r="P22" s="45">
        <f>(($O$32+$P$32)*2)*$Q$32/1000</f>
        <v>45.965000000000003</v>
      </c>
      <c r="Q22" s="45">
        <f t="shared" si="8"/>
        <v>45.965000000000003</v>
      </c>
      <c r="V22" s="12" t="s">
        <v>171</v>
      </c>
      <c r="W22" s="14"/>
      <c r="X22" s="11" t="s">
        <v>62</v>
      </c>
      <c r="Y22" s="11">
        <v>0.22</v>
      </c>
      <c r="AB22" s="75" t="s">
        <v>132</v>
      </c>
      <c r="AC22" s="75" t="s">
        <v>143</v>
      </c>
      <c r="AD22" s="75"/>
      <c r="AL22" s="75" t="s">
        <v>142</v>
      </c>
      <c r="AM22" s="75" t="s">
        <v>143</v>
      </c>
      <c r="AN22" s="75"/>
    </row>
    <row r="23" spans="1:46" ht="34.950000000000003" customHeight="1" x14ac:dyDescent="0.25">
      <c r="A23" s="141">
        <v>7</v>
      </c>
      <c r="B23" s="46" t="str">
        <f>IF($E$6&lt;=12,V18,IF($E$6&lt;=20,V20,V22))</f>
        <v>คิ้วกระจก5-12มิล (ตั้ง) A</v>
      </c>
      <c r="C23" s="153"/>
      <c r="D23" s="141" t="str">
        <f>IF($E$6&lt;=12,X18,IF($E$6&lt;=20,X20,X22))</f>
        <v>F7935</v>
      </c>
      <c r="E23" s="141">
        <f>IF($E$6&lt;=12,Y18,IF($E$6&lt;=20,Y20,Y22))</f>
        <v>0.28499999999999998</v>
      </c>
      <c r="F23" s="117">
        <f>$F$19</f>
        <v>12</v>
      </c>
      <c r="G23" s="117" t="s">
        <v>19</v>
      </c>
      <c r="H23" s="47">
        <f>$H$19-80-80</f>
        <v>2371</v>
      </c>
      <c r="I23" s="117">
        <f t="shared" si="0"/>
        <v>12</v>
      </c>
      <c r="J23" s="141">
        <f>ROUNDUP(((H23*I23)+(H24*I24)+(H25*I25+(H26*I26)))/6400,0)</f>
        <v>13</v>
      </c>
      <c r="K23" s="28"/>
      <c r="L23" s="53"/>
      <c r="M23" s="86"/>
      <c r="N23" s="87"/>
      <c r="O23" s="53"/>
      <c r="P23" s="53"/>
      <c r="Q23" s="53"/>
      <c r="V23" s="12" t="s">
        <v>172</v>
      </c>
      <c r="W23" s="14"/>
      <c r="X23" s="11" t="s">
        <v>62</v>
      </c>
      <c r="Y23" s="11">
        <v>0.22</v>
      </c>
      <c r="AB23" s="117">
        <v>2</v>
      </c>
      <c r="AC23" s="46" t="s">
        <v>123</v>
      </c>
      <c r="AD23" s="46"/>
      <c r="AE23" s="117" t="s">
        <v>47</v>
      </c>
      <c r="AF23" s="117">
        <v>1.466</v>
      </c>
      <c r="AG23" s="117">
        <f>2*AB23</f>
        <v>4</v>
      </c>
      <c r="AH23" s="59" t="s">
        <v>133</v>
      </c>
      <c r="AI23" s="47">
        <f>($J$5-18-9.5-(8*1)-102)/AB23</f>
        <v>2431.25</v>
      </c>
      <c r="AJ23" s="117">
        <f>AG23*$J$1</f>
        <v>4</v>
      </c>
      <c r="AL23" s="117">
        <v>2</v>
      </c>
      <c r="AM23" s="46" t="s">
        <v>124</v>
      </c>
      <c r="AN23" s="46"/>
      <c r="AO23" s="117" t="s">
        <v>47</v>
      </c>
      <c r="AP23" s="117">
        <v>1.466</v>
      </c>
      <c r="AQ23" s="117">
        <f>2*AL23</f>
        <v>4</v>
      </c>
      <c r="AR23" s="59" t="s">
        <v>133</v>
      </c>
      <c r="AS23" s="47">
        <f>($J$5-18-9.5-(8*1)-102)/AL23</f>
        <v>2431.25</v>
      </c>
      <c r="AT23" s="117">
        <f>AQ23*$J$1</f>
        <v>4</v>
      </c>
    </row>
    <row r="24" spans="1:46" ht="34.950000000000003" customHeight="1" x14ac:dyDescent="0.25">
      <c r="A24" s="142"/>
      <c r="B24" s="46" t="str">
        <f>IF($E$6&lt;=12,V25,IF($E$6&lt;=20,V27,V29))</f>
        <v>คิ้วกระจก5-12มิล (ตั้ง) B</v>
      </c>
      <c r="C24" s="153"/>
      <c r="D24" s="142"/>
      <c r="E24" s="142"/>
      <c r="F24" s="117">
        <f>$F$20</f>
        <v>16</v>
      </c>
      <c r="G24" s="117" t="s">
        <v>19</v>
      </c>
      <c r="H24" s="47">
        <f>$H$20-80-80</f>
        <v>2371</v>
      </c>
      <c r="I24" s="117">
        <f t="shared" si="0"/>
        <v>16</v>
      </c>
      <c r="J24" s="142"/>
      <c r="K24" s="28"/>
      <c r="L24" s="88"/>
      <c r="M24" s="89"/>
      <c r="N24" s="136" t="s">
        <v>183</v>
      </c>
      <c r="O24" s="136"/>
      <c r="P24" s="136"/>
      <c r="Q24" s="136"/>
      <c r="V24" s="81" t="s">
        <v>165</v>
      </c>
      <c r="AB24" s="117">
        <v>4</v>
      </c>
      <c r="AC24" s="46" t="s">
        <v>123</v>
      </c>
      <c r="AD24" s="46"/>
      <c r="AE24" s="117" t="s">
        <v>47</v>
      </c>
      <c r="AF24" s="117">
        <v>1.466</v>
      </c>
      <c r="AG24" s="117">
        <f t="shared" ref="AG24:AG27" si="9">VALUE(2*AB24)</f>
        <v>8</v>
      </c>
      <c r="AH24" s="59" t="s">
        <v>134</v>
      </c>
      <c r="AI24" s="47">
        <f>($J$5-18-9.5-(8*3)-102)/AB24</f>
        <v>1211.625</v>
      </c>
      <c r="AJ24" s="117">
        <f t="shared" ref="AJ24:AJ27" si="10">AG24*$J$1</f>
        <v>8</v>
      </c>
      <c r="AL24" s="117">
        <v>4</v>
      </c>
      <c r="AM24" s="46" t="s">
        <v>124</v>
      </c>
      <c r="AN24" s="46"/>
      <c r="AO24" s="117" t="s">
        <v>47</v>
      </c>
      <c r="AP24" s="117">
        <v>1.466</v>
      </c>
      <c r="AQ24" s="117">
        <f t="shared" ref="AQ24:AQ27" si="11">2*AL24</f>
        <v>8</v>
      </c>
      <c r="AR24" s="59" t="s">
        <v>134</v>
      </c>
      <c r="AS24" s="47">
        <f>($J$5-18-9.5-(8*3)-102)/AL24</f>
        <v>1211.625</v>
      </c>
      <c r="AT24" s="117">
        <f t="shared" ref="AT24:AT27" si="12">AQ24*$J$1</f>
        <v>8</v>
      </c>
    </row>
    <row r="25" spans="1:46" ht="34.950000000000003" customHeight="1" x14ac:dyDescent="0.25">
      <c r="A25" s="142"/>
      <c r="B25" s="46" t="str">
        <f>IF($E$6&lt;=12,V19,IF($E$6&lt;=20,V21,V23))</f>
        <v>คิ้วกระจก5-12มิล (นอน) A</v>
      </c>
      <c r="C25" s="153"/>
      <c r="D25" s="142"/>
      <c r="E25" s="142"/>
      <c r="F25" s="117" t="str">
        <f>$F$21</f>
        <v>12</v>
      </c>
      <c r="G25" s="117" t="s">
        <v>56</v>
      </c>
      <c r="H25" s="47">
        <f>$H$21-60-60</f>
        <v>691.75</v>
      </c>
      <c r="I25" s="117">
        <f t="shared" si="0"/>
        <v>12</v>
      </c>
      <c r="J25" s="142"/>
      <c r="K25" s="28"/>
      <c r="L25" s="88"/>
      <c r="M25" s="89"/>
      <c r="N25" s="85" t="s">
        <v>181</v>
      </c>
      <c r="O25" s="137" t="s">
        <v>184</v>
      </c>
      <c r="P25" s="137"/>
      <c r="Q25" s="137"/>
      <c r="V25" s="12" t="s">
        <v>178</v>
      </c>
      <c r="W25" s="12"/>
      <c r="X25" s="11" t="s">
        <v>13</v>
      </c>
      <c r="Y25" s="11">
        <v>0.28499999999999998</v>
      </c>
      <c r="AB25" s="117">
        <v>6</v>
      </c>
      <c r="AC25" s="46" t="s">
        <v>123</v>
      </c>
      <c r="AD25" s="46"/>
      <c r="AE25" s="117" t="s">
        <v>47</v>
      </c>
      <c r="AF25" s="117">
        <v>1.466</v>
      </c>
      <c r="AG25" s="117">
        <f t="shared" si="9"/>
        <v>12</v>
      </c>
      <c r="AH25" s="59" t="s">
        <v>135</v>
      </c>
      <c r="AI25" s="47">
        <f>($J$5-18-9.5-(8*5)-102)/AB25</f>
        <v>805.08333333333337</v>
      </c>
      <c r="AJ25" s="117">
        <f t="shared" si="10"/>
        <v>12</v>
      </c>
      <c r="AL25" s="117">
        <v>6</v>
      </c>
      <c r="AM25" s="46" t="s">
        <v>124</v>
      </c>
      <c r="AN25" s="46"/>
      <c r="AO25" s="117" t="s">
        <v>47</v>
      </c>
      <c r="AP25" s="117">
        <v>1.466</v>
      </c>
      <c r="AQ25" s="117">
        <f t="shared" si="11"/>
        <v>12</v>
      </c>
      <c r="AR25" s="59" t="s">
        <v>135</v>
      </c>
      <c r="AS25" s="47">
        <f>($J$5-18-9.5-(8*5)-102)/AL25</f>
        <v>805.08333333333337</v>
      </c>
      <c r="AT25" s="117">
        <f t="shared" si="12"/>
        <v>12</v>
      </c>
    </row>
    <row r="26" spans="1:46" ht="34.950000000000003" customHeight="1" x14ac:dyDescent="0.25">
      <c r="A26" s="143"/>
      <c r="B26" s="46" t="str">
        <f>IF($E$6&lt;=12,V26,IF($E$6&lt;=20,V28,V30))</f>
        <v>คิ้วกระจก5-12มิล (นอน) B</v>
      </c>
      <c r="C26" s="153"/>
      <c r="D26" s="143"/>
      <c r="E26" s="143"/>
      <c r="F26" s="117" t="str">
        <f>$F$22</f>
        <v>16</v>
      </c>
      <c r="G26" s="117" t="s">
        <v>56</v>
      </c>
      <c r="H26" s="47">
        <f>$H$22-60-60</f>
        <v>481.8125</v>
      </c>
      <c r="I26" s="117">
        <f t="shared" si="0"/>
        <v>16</v>
      </c>
      <c r="J26" s="143"/>
      <c r="K26" s="28"/>
      <c r="L26" s="88"/>
      <c r="M26" s="91"/>
      <c r="N26" s="71">
        <f>((($H$19*$F$19*$E$19/1000)+($H$21*$F$21*$E$19/1000)+($H$23*$F$23*$E$23/1000)+($H$25*$F$25*$E$23/1000))+($O$32*$P$32*$E$6*2.5*$I$7/1000000))/$I$7</f>
        <v>25.652360062500001</v>
      </c>
      <c r="O26" s="39" t="s">
        <v>40</v>
      </c>
      <c r="P26" s="39" t="s">
        <v>41</v>
      </c>
      <c r="Q26" s="40" t="s">
        <v>20</v>
      </c>
      <c r="V26" s="12" t="s">
        <v>167</v>
      </c>
      <c r="W26" s="12"/>
      <c r="X26" s="11" t="s">
        <v>13</v>
      </c>
      <c r="Y26" s="11">
        <v>0.28499999999999998</v>
      </c>
      <c r="AB26" s="117">
        <v>8</v>
      </c>
      <c r="AC26" s="46" t="s">
        <v>123</v>
      </c>
      <c r="AD26" s="46"/>
      <c r="AE26" s="117" t="s">
        <v>47</v>
      </c>
      <c r="AF26" s="117">
        <v>1.466</v>
      </c>
      <c r="AG26" s="117">
        <f t="shared" si="9"/>
        <v>16</v>
      </c>
      <c r="AH26" s="59" t="s">
        <v>136</v>
      </c>
      <c r="AI26" s="47">
        <f>($J$5-18-9.5-(8*7)-102)/AB26</f>
        <v>601.8125</v>
      </c>
      <c r="AJ26" s="117">
        <f t="shared" si="10"/>
        <v>16</v>
      </c>
      <c r="AL26" s="117">
        <v>8</v>
      </c>
      <c r="AM26" s="46" t="s">
        <v>124</v>
      </c>
      <c r="AN26" s="46"/>
      <c r="AO26" s="117" t="s">
        <v>47</v>
      </c>
      <c r="AP26" s="117">
        <v>1.466</v>
      </c>
      <c r="AQ26" s="117">
        <f t="shared" si="11"/>
        <v>16</v>
      </c>
      <c r="AR26" s="59" t="s">
        <v>136</v>
      </c>
      <c r="AS26" s="47">
        <f>($J$5-18-9.5-(8*7)-102)/AL26</f>
        <v>601.8125</v>
      </c>
      <c r="AT26" s="117">
        <f t="shared" si="12"/>
        <v>16</v>
      </c>
    </row>
    <row r="27" spans="1:46" ht="34.950000000000003" customHeight="1" x14ac:dyDescent="0.25">
      <c r="A27" s="25">
        <v>8</v>
      </c>
      <c r="B27" s="26" t="s">
        <v>69</v>
      </c>
      <c r="C27" s="26"/>
      <c r="D27" s="25" t="s">
        <v>68</v>
      </c>
      <c r="E27" s="25">
        <v>0.79900000000000004</v>
      </c>
      <c r="F27" s="25">
        <v>1</v>
      </c>
      <c r="G27" s="25" t="s">
        <v>261</v>
      </c>
      <c r="H27" s="27">
        <f>$H$19</f>
        <v>2531</v>
      </c>
      <c r="I27" s="25">
        <f>F27*$J$1</f>
        <v>1</v>
      </c>
      <c r="J27" s="25">
        <f>ROUNDUP((H27*I27)/6400,0)</f>
        <v>1</v>
      </c>
      <c r="K27" s="28"/>
      <c r="L27" s="88"/>
      <c r="M27" s="89"/>
      <c r="N27" s="72">
        <f>$N$31*$I$5</f>
        <v>166.82301937499997</v>
      </c>
      <c r="O27" s="41">
        <f>$H$19-130</f>
        <v>2401</v>
      </c>
      <c r="P27" s="41">
        <f>$H$21-130</f>
        <v>681.75</v>
      </c>
      <c r="Q27" s="41">
        <f>$I$5*$J$1</f>
        <v>6</v>
      </c>
      <c r="S27" s="6">
        <f>O32*P32*6*Q32*2.5/1000000</f>
        <v>135.93861749999999</v>
      </c>
      <c r="V27" s="12" t="s">
        <v>173</v>
      </c>
      <c r="W27" s="12"/>
      <c r="X27" s="11" t="s">
        <v>55</v>
      </c>
      <c r="Y27" s="11">
        <v>0.252</v>
      </c>
      <c r="AB27" s="117">
        <v>10</v>
      </c>
      <c r="AC27" s="46" t="s">
        <v>123</v>
      </c>
      <c r="AD27" s="46"/>
      <c r="AE27" s="117" t="s">
        <v>47</v>
      </c>
      <c r="AF27" s="117">
        <v>1.466</v>
      </c>
      <c r="AG27" s="117">
        <f t="shared" si="9"/>
        <v>20</v>
      </c>
      <c r="AH27" s="59" t="s">
        <v>137</v>
      </c>
      <c r="AI27" s="47">
        <f>($J$5-18-9.5-(8*9)-102)/AB27</f>
        <v>479.85</v>
      </c>
      <c r="AJ27" s="117">
        <f t="shared" si="10"/>
        <v>20</v>
      </c>
      <c r="AL27" s="117">
        <v>10</v>
      </c>
      <c r="AM27" s="46" t="s">
        <v>124</v>
      </c>
      <c r="AN27" s="46"/>
      <c r="AO27" s="117" t="s">
        <v>47</v>
      </c>
      <c r="AP27" s="117">
        <v>1.466</v>
      </c>
      <c r="AQ27" s="117">
        <f t="shared" si="11"/>
        <v>20</v>
      </c>
      <c r="AR27" s="59" t="s">
        <v>137</v>
      </c>
      <c r="AS27" s="47">
        <f>($J$5-18-9.5-(8*9)-102)/AL27</f>
        <v>479.85</v>
      </c>
      <c r="AT27" s="117">
        <f t="shared" si="12"/>
        <v>20</v>
      </c>
    </row>
    <row r="28" spans="1:46" ht="34.950000000000003" customHeight="1" x14ac:dyDescent="0.25">
      <c r="A28" s="117">
        <v>9</v>
      </c>
      <c r="B28" s="46" t="s">
        <v>162</v>
      </c>
      <c r="C28" s="46"/>
      <c r="D28" s="117" t="s">
        <v>163</v>
      </c>
      <c r="E28" s="117">
        <v>0.438</v>
      </c>
      <c r="F28" s="117">
        <v>1</v>
      </c>
      <c r="G28" s="117" t="s">
        <v>261</v>
      </c>
      <c r="H28" s="47">
        <f>$H$19</f>
        <v>2531</v>
      </c>
      <c r="I28" s="117">
        <f>F28*$J$1</f>
        <v>1</v>
      </c>
      <c r="J28" s="117">
        <f>ROUNDUP((H28*I28)/6400,0)</f>
        <v>1</v>
      </c>
      <c r="K28" s="28"/>
      <c r="L28" s="88"/>
      <c r="M28" s="89"/>
      <c r="N28" s="92"/>
      <c r="O28" s="90"/>
      <c r="P28" s="88"/>
      <c r="Q28" s="88"/>
      <c r="S28" s="18">
        <f>SUM(S16:S27)</f>
        <v>188.5727895</v>
      </c>
      <c r="V28" s="12" t="s">
        <v>174</v>
      </c>
      <c r="W28" s="12"/>
      <c r="X28" s="11" t="s">
        <v>55</v>
      </c>
      <c r="Y28" s="11">
        <v>0.252</v>
      </c>
    </row>
    <row r="29" spans="1:46" ht="34.950000000000003" customHeight="1" x14ac:dyDescent="0.25">
      <c r="A29" s="25">
        <v>10</v>
      </c>
      <c r="B29" s="26" t="s">
        <v>179</v>
      </c>
      <c r="C29" s="84"/>
      <c r="D29" s="25" t="s">
        <v>180</v>
      </c>
      <c r="E29" s="25">
        <v>1.03</v>
      </c>
      <c r="F29" s="25">
        <v>1</v>
      </c>
      <c r="G29" s="132" t="s">
        <v>261</v>
      </c>
      <c r="H29" s="27">
        <f>$H$19</f>
        <v>2531</v>
      </c>
      <c r="I29" s="25">
        <f>F29*$J$1</f>
        <v>1</v>
      </c>
      <c r="J29" s="25">
        <f>ROUNDUP((H29*I29)/6400,0)</f>
        <v>1</v>
      </c>
      <c r="K29" s="28"/>
      <c r="L29" s="88"/>
      <c r="M29" s="93"/>
      <c r="N29" s="136" t="s">
        <v>182</v>
      </c>
      <c r="O29" s="136"/>
      <c r="P29" s="136"/>
      <c r="Q29" s="136"/>
      <c r="V29" s="12" t="s">
        <v>175</v>
      </c>
      <c r="W29" s="14"/>
      <c r="X29" s="11" t="s">
        <v>62</v>
      </c>
      <c r="Y29" s="11">
        <v>0.22</v>
      </c>
      <c r="AB29" s="75" t="s">
        <v>144</v>
      </c>
      <c r="AC29" s="75"/>
      <c r="AD29" s="75"/>
      <c r="AL29" s="75" t="s">
        <v>145</v>
      </c>
      <c r="AM29" s="75"/>
      <c r="AN29" s="75"/>
    </row>
    <row r="30" spans="1:46" ht="34.950000000000003" customHeight="1" x14ac:dyDescent="0.25">
      <c r="A30" s="31"/>
      <c r="B30" s="32"/>
      <c r="C30" s="32"/>
      <c r="D30" s="31"/>
      <c r="E30" s="31"/>
      <c r="F30" s="33"/>
      <c r="G30" s="31"/>
      <c r="H30" s="34"/>
      <c r="I30" s="33"/>
      <c r="J30" s="33"/>
      <c r="K30" s="28"/>
      <c r="L30" s="28"/>
      <c r="M30" s="94"/>
      <c r="N30" s="85" t="s">
        <v>181</v>
      </c>
      <c r="O30" s="137" t="s">
        <v>185</v>
      </c>
      <c r="P30" s="137"/>
      <c r="Q30" s="137"/>
      <c r="V30" s="12" t="s">
        <v>176</v>
      </c>
      <c r="W30" s="14"/>
      <c r="X30" s="11" t="s">
        <v>62</v>
      </c>
      <c r="Y30" s="11">
        <v>0.22</v>
      </c>
      <c r="AB30" s="117">
        <v>2</v>
      </c>
      <c r="AC30" s="46" t="s">
        <v>121</v>
      </c>
      <c r="AD30" s="46"/>
      <c r="AE30" s="117" t="s">
        <v>47</v>
      </c>
      <c r="AF30" s="117">
        <v>1.466</v>
      </c>
      <c r="AG30" s="117">
        <f>2*AB30</f>
        <v>4</v>
      </c>
      <c r="AH30" s="117" t="s">
        <v>11</v>
      </c>
      <c r="AI30" s="47">
        <f>$J$3-55-6-6-25</f>
        <v>2508</v>
      </c>
      <c r="AJ30" s="117">
        <f>AG30*$J$1</f>
        <v>4</v>
      </c>
      <c r="AL30" s="117">
        <v>2</v>
      </c>
      <c r="AM30" s="46" t="s">
        <v>122</v>
      </c>
      <c r="AN30" s="46"/>
      <c r="AO30" s="117" t="s">
        <v>47</v>
      </c>
      <c r="AP30" s="117">
        <v>1.466</v>
      </c>
      <c r="AQ30" s="117">
        <f>2*AL30</f>
        <v>4</v>
      </c>
      <c r="AR30" s="117" t="s">
        <v>11</v>
      </c>
      <c r="AS30" s="47">
        <f>$J$3-55-6-6-25</f>
        <v>2508</v>
      </c>
      <c r="AT30" s="117">
        <f>AQ30*$J$1</f>
        <v>4</v>
      </c>
    </row>
    <row r="31" spans="1:46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71">
        <f>((($H$20*$F$20*$E$19/1000)+($H$22*$F$22*$E$19/1000)+($H$24*$F$24*$E$23/1000)+($H$26*$F$26*$E$23/1000))+($O$32*$P$32*$E$6*2.5*$I$7/1000000))/$I$7</f>
        <v>27.803836562499995</v>
      </c>
      <c r="O31" s="39" t="s">
        <v>40</v>
      </c>
      <c r="P31" s="39" t="s">
        <v>41</v>
      </c>
      <c r="Q31" s="40" t="s">
        <v>20</v>
      </c>
      <c r="AB31" s="117">
        <v>4</v>
      </c>
      <c r="AC31" s="46" t="s">
        <v>121</v>
      </c>
      <c r="AD31" s="46"/>
      <c r="AE31" s="117" t="s">
        <v>47</v>
      </c>
      <c r="AF31" s="117">
        <v>1.466</v>
      </c>
      <c r="AG31" s="117">
        <f t="shared" ref="AG31:AG34" si="13">2*AB31</f>
        <v>8</v>
      </c>
      <c r="AH31" s="117" t="s">
        <v>11</v>
      </c>
      <c r="AI31" s="47">
        <f t="shared" ref="AI31:AI34" si="14">$J$3-55-6-6-25</f>
        <v>2508</v>
      </c>
      <c r="AJ31" s="117">
        <f t="shared" ref="AJ31:AJ34" si="15">AG31*$J$1</f>
        <v>8</v>
      </c>
      <c r="AL31" s="117">
        <v>4</v>
      </c>
      <c r="AM31" s="46" t="s">
        <v>122</v>
      </c>
      <c r="AN31" s="46"/>
      <c r="AO31" s="117" t="s">
        <v>47</v>
      </c>
      <c r="AP31" s="117">
        <v>1.466</v>
      </c>
      <c r="AQ31" s="117">
        <f t="shared" ref="AQ31:AQ34" si="16">2*AL31</f>
        <v>8</v>
      </c>
      <c r="AR31" s="117" t="s">
        <v>11</v>
      </c>
      <c r="AS31" s="47">
        <f t="shared" ref="AS31:AS34" si="17">$J$3-55-6-6-25</f>
        <v>2508</v>
      </c>
      <c r="AT31" s="117">
        <f t="shared" ref="AT31:AT34" si="18">AQ31*$J$1</f>
        <v>8</v>
      </c>
    </row>
    <row r="32" spans="1:46" ht="34.950000000000003" customHeight="1" x14ac:dyDescent="0.25">
      <c r="A32" s="28"/>
      <c r="B32" s="35"/>
      <c r="C32" s="35"/>
      <c r="D32" s="36"/>
      <c r="E32" s="36"/>
      <c r="F32" s="37"/>
      <c r="G32" s="36"/>
      <c r="H32" s="38"/>
      <c r="I32" s="33"/>
      <c r="J32" s="33"/>
      <c r="K32" s="28"/>
      <c r="L32" s="28"/>
      <c r="M32" s="28"/>
      <c r="N32" s="72">
        <f>$N$31*$I$7</f>
        <v>222.43069249999996</v>
      </c>
      <c r="O32" s="41">
        <f>$H$20-130</f>
        <v>2401</v>
      </c>
      <c r="P32" s="41">
        <f>$H$22-130</f>
        <v>471.8125</v>
      </c>
      <c r="Q32" s="41">
        <f>$I$7*$J$1</f>
        <v>8</v>
      </c>
      <c r="AB32" s="117">
        <v>6</v>
      </c>
      <c r="AC32" s="46" t="s">
        <v>121</v>
      </c>
      <c r="AD32" s="46"/>
      <c r="AE32" s="117" t="s">
        <v>47</v>
      </c>
      <c r="AF32" s="117">
        <v>1.466</v>
      </c>
      <c r="AG32" s="117">
        <f t="shared" si="13"/>
        <v>12</v>
      </c>
      <c r="AH32" s="117" t="s">
        <v>11</v>
      </c>
      <c r="AI32" s="47">
        <f t="shared" si="14"/>
        <v>2508</v>
      </c>
      <c r="AJ32" s="117">
        <f t="shared" si="15"/>
        <v>12</v>
      </c>
      <c r="AL32" s="117">
        <v>6</v>
      </c>
      <c r="AM32" s="46" t="s">
        <v>122</v>
      </c>
      <c r="AN32" s="46"/>
      <c r="AO32" s="117" t="s">
        <v>47</v>
      </c>
      <c r="AP32" s="117">
        <v>1.466</v>
      </c>
      <c r="AQ32" s="117">
        <f t="shared" si="16"/>
        <v>12</v>
      </c>
      <c r="AR32" s="117" t="s">
        <v>11</v>
      </c>
      <c r="AS32" s="47">
        <f t="shared" si="17"/>
        <v>2508</v>
      </c>
      <c r="AT32" s="117">
        <f t="shared" si="18"/>
        <v>12</v>
      </c>
    </row>
    <row r="33" spans="1:46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AB33" s="117">
        <v>8</v>
      </c>
      <c r="AC33" s="46" t="s">
        <v>121</v>
      </c>
      <c r="AD33" s="46"/>
      <c r="AE33" s="117" t="s">
        <v>47</v>
      </c>
      <c r="AF33" s="117">
        <v>1.466</v>
      </c>
      <c r="AG33" s="117">
        <f t="shared" si="13"/>
        <v>16</v>
      </c>
      <c r="AH33" s="117" t="s">
        <v>11</v>
      </c>
      <c r="AI33" s="47">
        <f t="shared" si="14"/>
        <v>2508</v>
      </c>
      <c r="AJ33" s="117">
        <f t="shared" si="15"/>
        <v>16</v>
      </c>
      <c r="AL33" s="117">
        <v>8</v>
      </c>
      <c r="AM33" s="46" t="s">
        <v>122</v>
      </c>
      <c r="AN33" s="46"/>
      <c r="AO33" s="117" t="s">
        <v>47</v>
      </c>
      <c r="AP33" s="117">
        <v>1.466</v>
      </c>
      <c r="AQ33" s="117">
        <f t="shared" si="16"/>
        <v>16</v>
      </c>
      <c r="AR33" s="117" t="s">
        <v>11</v>
      </c>
      <c r="AS33" s="47">
        <f t="shared" si="17"/>
        <v>2508</v>
      </c>
      <c r="AT33" s="117">
        <f t="shared" si="18"/>
        <v>16</v>
      </c>
    </row>
    <row r="34" spans="1:46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AB34" s="117">
        <v>10</v>
      </c>
      <c r="AC34" s="46" t="s">
        <v>121</v>
      </c>
      <c r="AD34" s="46"/>
      <c r="AE34" s="117" t="s">
        <v>47</v>
      </c>
      <c r="AF34" s="117">
        <v>1.466</v>
      </c>
      <c r="AG34" s="117">
        <f t="shared" si="13"/>
        <v>20</v>
      </c>
      <c r="AH34" s="117" t="s">
        <v>11</v>
      </c>
      <c r="AI34" s="47">
        <f t="shared" si="14"/>
        <v>2508</v>
      </c>
      <c r="AJ34" s="117">
        <f t="shared" si="15"/>
        <v>20</v>
      </c>
      <c r="AL34" s="117">
        <v>10</v>
      </c>
      <c r="AM34" s="46" t="s">
        <v>122</v>
      </c>
      <c r="AN34" s="46"/>
      <c r="AO34" s="117" t="s">
        <v>47</v>
      </c>
      <c r="AP34" s="117">
        <v>1.466</v>
      </c>
      <c r="AQ34" s="117">
        <f t="shared" si="16"/>
        <v>20</v>
      </c>
      <c r="AR34" s="117" t="s">
        <v>11</v>
      </c>
      <c r="AS34" s="47">
        <f t="shared" si="17"/>
        <v>2508</v>
      </c>
      <c r="AT34" s="117">
        <f t="shared" si="18"/>
        <v>20</v>
      </c>
    </row>
    <row r="35" spans="1:46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</row>
    <row r="36" spans="1:46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</row>
    <row r="37" spans="1:46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</row>
    <row r="38" spans="1:46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</row>
    <row r="39" spans="1:46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46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46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46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46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46" ht="34.950000000000003" customHeight="1" x14ac:dyDescent="0.25">
      <c r="G44" s="6"/>
    </row>
  </sheetData>
  <sheetProtection sheet="1" objects="1" scenarios="1" formatCells="0" formatColumns="0"/>
  <dataConsolidate/>
  <mergeCells count="36">
    <mergeCell ref="N29:Q29"/>
    <mergeCell ref="O30:Q30"/>
    <mergeCell ref="A23:A26"/>
    <mergeCell ref="C23:C24"/>
    <mergeCell ref="D23:D26"/>
    <mergeCell ref="E23:E26"/>
    <mergeCell ref="J23:J26"/>
    <mergeCell ref="N24:Q24"/>
    <mergeCell ref="C25:C26"/>
    <mergeCell ref="O25:Q25"/>
    <mergeCell ref="A19:A22"/>
    <mergeCell ref="C19:C20"/>
    <mergeCell ref="D19:D22"/>
    <mergeCell ref="E19:E22"/>
    <mergeCell ref="J19:J22"/>
    <mergeCell ref="C21:C22"/>
    <mergeCell ref="A12:A13"/>
    <mergeCell ref="C12:C13"/>
    <mergeCell ref="D12:D13"/>
    <mergeCell ref="E12:E13"/>
    <mergeCell ref="J12:J13"/>
    <mergeCell ref="A16:A18"/>
    <mergeCell ref="C16:C18"/>
    <mergeCell ref="D16:D18"/>
    <mergeCell ref="E16:E18"/>
    <mergeCell ref="J16:J18"/>
    <mergeCell ref="C2:F2"/>
    <mergeCell ref="E5:F5"/>
    <mergeCell ref="E6:F6"/>
    <mergeCell ref="A8:J8"/>
    <mergeCell ref="L8:Q8"/>
    <mergeCell ref="A10:A11"/>
    <mergeCell ref="C10:C11"/>
    <mergeCell ref="D10:D11"/>
    <mergeCell ref="E10:E11"/>
    <mergeCell ref="J10:J11"/>
  </mergeCells>
  <conditionalFormatting sqref="N31">
    <cfRule type="cellIs" dxfId="477" priority="3" operator="greaterThanOrEqual">
      <formula>45.5</formula>
    </cfRule>
    <cfRule type="cellIs" dxfId="476" priority="4" operator="greaterThanOrEqual">
      <formula>40</formula>
    </cfRule>
  </conditionalFormatting>
  <conditionalFormatting sqref="M21:Q22">
    <cfRule type="expression" dxfId="475" priority="5">
      <formula>$E$6=33</formula>
    </cfRule>
    <cfRule type="expression" dxfId="474" priority="6">
      <formula>$E$6=20</formula>
    </cfRule>
    <cfRule type="expression" dxfId="473" priority="7">
      <formula>$E$6=18</formula>
    </cfRule>
    <cfRule type="expression" dxfId="472" priority="8">
      <formula>$E$6=12</formula>
    </cfRule>
    <cfRule type="expression" dxfId="471" priority="9">
      <formula>$E$6=10</formula>
    </cfRule>
  </conditionalFormatting>
  <conditionalFormatting sqref="N26">
    <cfRule type="cellIs" dxfId="470" priority="1" operator="greaterThanOrEqual">
      <formula>45.5</formula>
    </cfRule>
    <cfRule type="cellIs" dxfId="469" priority="2" operator="greaterThanOrEqual">
      <formula>40</formula>
    </cfRule>
  </conditionalFormatting>
  <dataValidations disablePrompts="1" count="4">
    <dataValidation type="list" allowBlank="1" showInputMessage="1" showErrorMessage="1" sqref="I7 I5">
      <formula1>"2,4,6,8,10"</formula1>
    </dataValidation>
    <dataValidation type="list" allowBlank="1" showInputMessage="1" showErrorMessage="1" sqref="H6">
      <formula1>"เปิดบาน B,ปิดบาน B"</formula1>
    </dataValidation>
    <dataValidation type="list" allowBlank="1" showInputMessage="1" showErrorMessage="1" sqref="E6">
      <formula1>"5,6,8,10,12,14,16,18,20,29,30,33"</formula1>
    </dataValidation>
    <dataValidation type="list" allowBlank="1" showInputMessage="1" showErrorMessage="1" sqref="D6">
      <formula1>"ขาว,ดำ"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rgb="FFFF0000"/>
  </sheetPr>
  <dimension ref="A1:AU44"/>
  <sheetViews>
    <sheetView view="pageBreakPreview" topLeftCell="A10" zoomScale="70" zoomScaleNormal="55" zoomScaleSheetLayoutView="70" workbookViewId="0">
      <selection activeCell="H21" sqref="H21"/>
    </sheetView>
  </sheetViews>
  <sheetFormatPr defaultColWidth="8.8984375" defaultRowHeight="13.8" outlineLevelCol="1" x14ac:dyDescent="0.25"/>
  <cols>
    <col min="1" max="1" width="8.69921875" style="6" customWidth="1"/>
    <col min="2" max="2" width="30.3984375" style="2" bestFit="1" customWidth="1"/>
    <col min="3" max="3" width="16" style="2" customWidth="1"/>
    <col min="4" max="4" width="13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8.69921875" style="6" customWidth="1" outlineLevel="1"/>
    <col min="23" max="23" width="35.69921875" style="6" customWidth="1" outlineLevel="1"/>
    <col min="24" max="28" width="10.69921875" style="6" customWidth="1" outlineLevel="1"/>
    <col min="29" max="29" width="22" style="6" customWidth="1" outlineLevel="1"/>
    <col min="30" max="32" width="10.69921875" style="6" customWidth="1" outlineLevel="1"/>
    <col min="33" max="33" width="23.69921875" style="6" customWidth="1" outlineLevel="1"/>
    <col min="34" max="35" width="10.69921875" style="6" customWidth="1" outlineLevel="1"/>
    <col min="36" max="37" width="8.8984375" style="6" customWidth="1" outlineLevel="1"/>
    <col min="38" max="38" width="10.69921875" style="6" customWidth="1" outlineLevel="1"/>
    <col min="39" max="39" width="22" style="6" customWidth="1" outlineLevel="1"/>
    <col min="40" max="42" width="10.69921875" style="6" customWidth="1" outlineLevel="1"/>
    <col min="43" max="43" width="23.69921875" style="6" customWidth="1" outlineLevel="1"/>
    <col min="44" max="45" width="10.69921875" style="6" customWidth="1" outlineLevel="1"/>
    <col min="46" max="46" width="8.8984375" style="6" customWidth="1" outlineLevel="1"/>
    <col min="47" max="47" width="9.09765625" customWidth="1"/>
    <col min="48" max="16384" width="8.8984375" style="6"/>
  </cols>
  <sheetData>
    <row r="1" spans="1:34" ht="19.95" customHeight="1" x14ac:dyDescent="0.35">
      <c r="A1" s="1"/>
      <c r="H1" s="48"/>
      <c r="I1" s="101" t="s">
        <v>2</v>
      </c>
      <c r="J1" s="101">
        <v>1</v>
      </c>
    </row>
    <row r="2" spans="1:34" ht="19.95" customHeight="1" x14ac:dyDescent="0.35">
      <c r="A2" s="7"/>
      <c r="C2" s="144" t="s">
        <v>118</v>
      </c>
      <c r="D2" s="144"/>
      <c r="E2" s="144"/>
      <c r="F2" s="144"/>
      <c r="J2" s="112" t="s">
        <v>0</v>
      </c>
    </row>
    <row r="3" spans="1:34" ht="19.95" customHeight="1" x14ac:dyDescent="0.25">
      <c r="G3" s="6"/>
      <c r="H3" s="6"/>
      <c r="I3" s="6"/>
      <c r="J3" s="101">
        <v>4000</v>
      </c>
      <c r="AA3" s="4"/>
    </row>
    <row r="4" spans="1:34" ht="19.95" customHeight="1" x14ac:dyDescent="0.25">
      <c r="G4" s="4"/>
      <c r="H4" s="110" t="s">
        <v>191</v>
      </c>
      <c r="I4" s="111" t="s">
        <v>125</v>
      </c>
      <c r="J4" s="112" t="s">
        <v>3</v>
      </c>
      <c r="K4" s="4"/>
    </row>
    <row r="5" spans="1:34" ht="19.95" customHeight="1" x14ac:dyDescent="0.25">
      <c r="D5" s="120" t="s">
        <v>82</v>
      </c>
      <c r="E5" s="155" t="s">
        <v>53</v>
      </c>
      <c r="F5" s="155"/>
      <c r="G5" s="4"/>
      <c r="H5" s="4"/>
      <c r="I5" s="101">
        <v>3</v>
      </c>
      <c r="J5" s="101">
        <v>1900</v>
      </c>
    </row>
    <row r="6" spans="1:34" ht="19.95" customHeight="1" x14ac:dyDescent="0.25">
      <c r="D6" s="121" t="s">
        <v>30</v>
      </c>
      <c r="E6" s="156">
        <v>6</v>
      </c>
      <c r="F6" s="156"/>
      <c r="G6" s="4"/>
      <c r="H6" s="110" t="s">
        <v>192</v>
      </c>
      <c r="I6" s="111" t="s">
        <v>125</v>
      </c>
      <c r="J6" s="112" t="s">
        <v>3</v>
      </c>
      <c r="T6" s="79"/>
    </row>
    <row r="7" spans="1:34" ht="19.95" customHeight="1" x14ac:dyDescent="0.25">
      <c r="G7" s="4"/>
      <c r="H7" s="4"/>
      <c r="I7" s="101">
        <v>2</v>
      </c>
      <c r="J7" s="101">
        <v>2000</v>
      </c>
    </row>
    <row r="8" spans="1:34" s="9" customFormat="1" ht="19.95" customHeight="1" thickBot="1" x14ac:dyDescent="0.3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  <c r="W8" s="6"/>
      <c r="X8" s="6"/>
      <c r="Y8" s="6"/>
      <c r="Z8" s="6"/>
    </row>
    <row r="9" spans="1:34" ht="40.200000000000003" customHeight="1" thickTop="1" thickBot="1" x14ac:dyDescent="0.3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  <c r="V9" s="81" t="s">
        <v>191</v>
      </c>
      <c r="X9" s="104">
        <v>1</v>
      </c>
      <c r="Y9" s="105">
        <v>3</v>
      </c>
      <c r="Z9" s="105">
        <v>5</v>
      </c>
      <c r="AA9" s="105">
        <v>7</v>
      </c>
      <c r="AB9" s="106">
        <v>9</v>
      </c>
      <c r="AC9" s="75" t="s">
        <v>192</v>
      </c>
      <c r="AD9" s="104">
        <v>2</v>
      </c>
      <c r="AE9" s="105">
        <v>4</v>
      </c>
      <c r="AF9" s="105">
        <v>6</v>
      </c>
      <c r="AG9" s="105">
        <v>8</v>
      </c>
      <c r="AH9" s="106">
        <v>10</v>
      </c>
    </row>
    <row r="10" spans="1:34" ht="34.950000000000003" customHeight="1" thickTop="1" x14ac:dyDescent="0.25">
      <c r="A10" s="151">
        <v>1</v>
      </c>
      <c r="B10" s="26" t="s">
        <v>194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1882</v>
      </c>
      <c r="I10" s="25">
        <f t="shared" ref="I10:I26" si="0">F10*$J$1</f>
        <v>1</v>
      </c>
      <c r="J10" s="151">
        <f>ROUNDUP(((H10*I10)+(H11*I11))/6400,0)</f>
        <v>1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ดำ</v>
      </c>
      <c r="P10" s="109" t="str">
        <f>IF(AND($I$5=1,$I$7=2),X10+AD10,"")&amp;IF(AND($I$5=1,$I$7=4),X10+AE10,"")&amp;IF(AND($I$5=1,$I$7=6),X10+AF10,"")&amp;IF(AND($I$5=1,$I$7=8),X10+AG10,"")&amp;IF(AND($I$5=1,$I$7=10),X10+AH10,"")&amp;IF(AND($I$5=3,$I$7=2),Y10+AD10,"")&amp;IF(AND($I$5=3,$I$7=4),Y10+AE10,"")&amp;IF(AND($I$5=3,$I$7=6),Y10+AF10,"")&amp;IF(AND($I$5=3,$I$7=8),Y10+AG10,"")&amp;IF(AND($I$5=3,$I$7=10),Y10+AH10,"")&amp;IF(AND($I$5=5,$I$7=2),Z10+AD10,"")&amp;IF(AND($I$5=5,$I$7=4),Z10+AE10,"")&amp;IF(AND($I$5=5,$I$7=6),Z10+AF10,"")&amp;IF(AND($I$5=5,$I$7=8),Z10+AG10,"")&amp;IF(AND($I$5=5,$I$7=10),Z10+AH10,"")&amp;IF(AND($I$5=7,$I$7=2),AA10+AD10,"")&amp;IF(AND($I$5=7,$I$7=4),AA10+AE10,"")&amp;IF(AND($I$5=7,$I$7=6),AA10+AF10,"")&amp;IF(AND($I$5=7,$I$7=8),AA10+AG10,"")&amp;IF(AND($I$5=7,$I$7=10),AA10+AH10,"")&amp;IF(AND($I$5=9,$I$7=2),AB10+AD10,"")&amp;IF(AND($I$5=9,$I$7=4),AB10+AE10,"")&amp;IF(AND($I$5=9,$I$7=6),AB10+AF10,"")&amp;IF(AND($I$5=9,$I$7=8),AB10+AG10,"")&amp;IF(AND($I$5=9,$I$7=10),AB10+AH10,"")</f>
        <v>2</v>
      </c>
      <c r="Q10" s="25">
        <f>$J$1*P10</f>
        <v>2</v>
      </c>
      <c r="R10" s="13">
        <v>299</v>
      </c>
      <c r="V10" s="98">
        <v>1</v>
      </c>
      <c r="W10" s="99" t="s">
        <v>24</v>
      </c>
      <c r="X10" s="100">
        <v>0</v>
      </c>
      <c r="Y10" s="103">
        <v>1</v>
      </c>
      <c r="Z10" s="103">
        <v>2</v>
      </c>
      <c r="AA10" s="103">
        <v>3</v>
      </c>
      <c r="AB10" s="103">
        <v>4</v>
      </c>
      <c r="AC10" s="102"/>
      <c r="AD10" s="103">
        <v>1</v>
      </c>
      <c r="AE10" s="103">
        <v>2</v>
      </c>
      <c r="AF10" s="103">
        <v>3</v>
      </c>
      <c r="AG10" s="103">
        <v>4</v>
      </c>
      <c r="AH10" s="103">
        <v>5</v>
      </c>
    </row>
    <row r="11" spans="1:34" ht="34.950000000000003" customHeight="1" x14ac:dyDescent="0.25">
      <c r="A11" s="152"/>
      <c r="B11" s="26" t="s">
        <v>193</v>
      </c>
      <c r="C11" s="152"/>
      <c r="D11" s="152"/>
      <c r="E11" s="152"/>
      <c r="F11" s="25">
        <v>1</v>
      </c>
      <c r="G11" s="25" t="s">
        <v>159</v>
      </c>
      <c r="H11" s="27">
        <f>$J$7-18</f>
        <v>1982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ดำ</v>
      </c>
      <c r="P11" s="109" t="str">
        <f t="shared" ref="P11:P18" si="2">IF(AND($I$5=1,$I$7=2),X11+AD11,"")&amp;IF(AND($I$5=1,$I$7=4),X11+AE11,"")&amp;IF(AND($I$5=1,$I$7=6),X11+AF11,"")&amp;IF(AND($I$5=1,$I$7=8),X11+AG11,"")&amp;IF(AND($I$5=1,$I$7=10),X11+AH11,"")&amp;IF(AND($I$5=3,$I$7=2),Y11+AD11,"")&amp;IF(AND($I$5=3,$I$7=4),Y11+AE11,"")&amp;IF(AND($I$5=3,$I$7=6),Y11+AF11,"")&amp;IF(AND($I$5=3,$I$7=8),Y11+AG11,"")&amp;IF(AND($I$5=3,$I$7=10),Y11+AH11,"")&amp;IF(AND($I$5=5,$I$7=2),Z11+AD11,"")&amp;IF(AND($I$5=5,$I$7=4),Z11+AE11,"")&amp;IF(AND($I$5=5,$I$7=6),Z11+AF11,"")&amp;IF(AND($I$5=5,$I$7=8),Z11+AG11,"")&amp;IF(AND($I$5=5,$I$7=10),Z11+AH11,"")&amp;IF(AND($I$5=7,$I$7=2),AA11+AD11,"")&amp;IF(AND($I$5=7,$I$7=4),AA11+AE11,"")&amp;IF(AND($I$5=7,$I$7=6),AA11+AF11,"")&amp;IF(AND($I$5=7,$I$7=8),AA11+AG11,"")&amp;IF(AND($I$5=7,$I$7=10),AA11+AH11,"")&amp;IF(AND($I$5=9,$I$7=2),AB11+AD11,"")&amp;IF(AND($I$5=9,$I$7=4),AB11+AE11,"")&amp;IF(AND($I$5=9,$I$7=6),AB11+AF11,"")&amp;IF(AND($I$5=9,$I$7=8),AB11+AG11,"")&amp;IF(AND($I$5=9,$I$7=10),AB11+AH11,"")</f>
        <v>20</v>
      </c>
      <c r="Q11" s="25">
        <f t="shared" ref="Q11:Q17" si="3">$J$1*P11</f>
        <v>20</v>
      </c>
      <c r="R11" s="13">
        <v>72</v>
      </c>
      <c r="V11" s="98">
        <v>2</v>
      </c>
      <c r="W11" s="99" t="s">
        <v>25</v>
      </c>
      <c r="X11" s="101">
        <f>IF($J$3&lt;=2700,3,4)</f>
        <v>4</v>
      </c>
      <c r="Y11" s="101">
        <f>IF($J$3&lt;=2700,7,10)</f>
        <v>10</v>
      </c>
      <c r="Z11" s="101">
        <f>IF($J$3&lt;=2700,11,16)</f>
        <v>16</v>
      </c>
      <c r="AA11" s="101">
        <f>IF($J$3&lt;=2700,15,22)</f>
        <v>22</v>
      </c>
      <c r="AB11" s="101">
        <f>IF($J$3&lt;=2700,19,28)</f>
        <v>28</v>
      </c>
      <c r="AC11" s="102"/>
      <c r="AD11" s="101">
        <f>IF($J$3&lt;=2700,7,10)</f>
        <v>10</v>
      </c>
      <c r="AE11" s="101">
        <f>IF($J$3&lt;=2700,11,16)</f>
        <v>16</v>
      </c>
      <c r="AF11" s="101">
        <f>IF($J$3&lt;=2700,15,22)</f>
        <v>22</v>
      </c>
      <c r="AG11" s="101">
        <f>IF($J$3&lt;=2700,19,28)</f>
        <v>28</v>
      </c>
      <c r="AH11" s="101">
        <f>IF($J$3&lt;=2700,23,34)</f>
        <v>34</v>
      </c>
    </row>
    <row r="12" spans="1:34" ht="34.950000000000003" customHeight="1" x14ac:dyDescent="0.25">
      <c r="A12" s="141">
        <v>2</v>
      </c>
      <c r="B12" s="46" t="s">
        <v>252</v>
      </c>
      <c r="C12" s="141"/>
      <c r="D12" s="141" t="s">
        <v>139</v>
      </c>
      <c r="E12" s="141">
        <v>0.30299999999999999</v>
      </c>
      <c r="F12" s="117">
        <v>1</v>
      </c>
      <c r="G12" s="117" t="s">
        <v>158</v>
      </c>
      <c r="H12" s="47">
        <f>$J$5-18</f>
        <v>1882</v>
      </c>
      <c r="I12" s="117">
        <f t="shared" si="0"/>
        <v>1</v>
      </c>
      <c r="J12" s="141">
        <f>ROUNDUP(((H12*I12)+(H13*I13))/6400,0)</f>
        <v>1</v>
      </c>
      <c r="K12" s="28"/>
      <c r="L12" s="25">
        <v>3</v>
      </c>
      <c r="M12" s="29" t="s">
        <v>26</v>
      </c>
      <c r="N12" s="25"/>
      <c r="O12" s="25" t="str">
        <f t="shared" si="1"/>
        <v>ดำ</v>
      </c>
      <c r="P12" s="109" t="str">
        <f t="shared" si="2"/>
        <v>2</v>
      </c>
      <c r="Q12" s="25">
        <f t="shared" si="3"/>
        <v>2</v>
      </c>
      <c r="R12" s="13">
        <v>109</v>
      </c>
      <c r="V12" s="98">
        <v>3</v>
      </c>
      <c r="W12" s="99" t="s">
        <v>26</v>
      </c>
      <c r="X12" s="98">
        <v>0</v>
      </c>
      <c r="Y12" s="101">
        <v>1</v>
      </c>
      <c r="Z12" s="101">
        <v>2</v>
      </c>
      <c r="AA12" s="101">
        <v>3</v>
      </c>
      <c r="AB12" s="101">
        <v>4</v>
      </c>
      <c r="AC12" s="102"/>
      <c r="AD12" s="101">
        <v>1</v>
      </c>
      <c r="AE12" s="101">
        <v>2</v>
      </c>
      <c r="AF12" s="101">
        <v>3</v>
      </c>
      <c r="AG12" s="101">
        <v>4</v>
      </c>
      <c r="AH12" s="101">
        <v>5</v>
      </c>
    </row>
    <row r="13" spans="1:34" ht="34.950000000000003" customHeight="1" x14ac:dyDescent="0.25">
      <c r="A13" s="143"/>
      <c r="B13" s="46" t="s">
        <v>253</v>
      </c>
      <c r="C13" s="143"/>
      <c r="D13" s="143"/>
      <c r="E13" s="143"/>
      <c r="F13" s="117">
        <v>1</v>
      </c>
      <c r="G13" s="117" t="s">
        <v>159</v>
      </c>
      <c r="H13" s="47">
        <f>$J$7-18</f>
        <v>1982</v>
      </c>
      <c r="I13" s="117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ดำ</v>
      </c>
      <c r="P13" s="109" t="str">
        <f t="shared" si="2"/>
        <v>2</v>
      </c>
      <c r="Q13" s="25">
        <f t="shared" si="3"/>
        <v>2</v>
      </c>
      <c r="R13" s="13">
        <v>199</v>
      </c>
      <c r="V13" s="98">
        <v>4</v>
      </c>
      <c r="W13" s="99" t="s">
        <v>27</v>
      </c>
      <c r="X13" s="98">
        <v>0</v>
      </c>
      <c r="Y13" s="101">
        <v>1</v>
      </c>
      <c r="Z13" s="101">
        <v>2</v>
      </c>
      <c r="AA13" s="101">
        <v>3</v>
      </c>
      <c r="AB13" s="101">
        <v>4</v>
      </c>
      <c r="AC13" s="102"/>
      <c r="AD13" s="101">
        <v>1</v>
      </c>
      <c r="AE13" s="101">
        <v>2</v>
      </c>
      <c r="AF13" s="101">
        <v>3</v>
      </c>
      <c r="AG13" s="101">
        <v>4</v>
      </c>
      <c r="AH13" s="101">
        <v>5</v>
      </c>
    </row>
    <row r="14" spans="1:34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4000</v>
      </c>
      <c r="I14" s="39">
        <f t="shared" si="0"/>
        <v>2</v>
      </c>
      <c r="J14" s="39">
        <f t="shared" ref="J14:J15" si="4">ROUNDUP((H14*I14)/6400,0)</f>
        <v>2</v>
      </c>
      <c r="K14" s="28"/>
      <c r="L14" s="25">
        <v>5</v>
      </c>
      <c r="M14" s="29" t="s">
        <v>22</v>
      </c>
      <c r="N14" s="25"/>
      <c r="O14" s="25" t="str">
        <f t="shared" si="1"/>
        <v>ดำ</v>
      </c>
      <c r="P14" s="109" t="str">
        <f t="shared" si="2"/>
        <v>2</v>
      </c>
      <c r="Q14" s="25">
        <f t="shared" si="3"/>
        <v>2</v>
      </c>
      <c r="R14" s="13">
        <v>85</v>
      </c>
      <c r="V14" s="98">
        <v>5</v>
      </c>
      <c r="W14" s="99" t="s">
        <v>22</v>
      </c>
      <c r="X14" s="98">
        <v>0</v>
      </c>
      <c r="Y14" s="101">
        <v>1</v>
      </c>
      <c r="Z14" s="101">
        <v>2</v>
      </c>
      <c r="AA14" s="101">
        <v>3</v>
      </c>
      <c r="AB14" s="101">
        <v>4</v>
      </c>
      <c r="AC14" s="102"/>
      <c r="AD14" s="101">
        <v>1</v>
      </c>
      <c r="AE14" s="101">
        <v>2</v>
      </c>
      <c r="AF14" s="101">
        <v>3</v>
      </c>
      <c r="AG14" s="101">
        <v>4</v>
      </c>
      <c r="AH14" s="101">
        <v>5</v>
      </c>
    </row>
    <row r="15" spans="1:34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18</v>
      </c>
      <c r="H15" s="40">
        <f>$J$3-75-45</f>
        <v>3880</v>
      </c>
      <c r="I15" s="39">
        <f t="shared" si="0"/>
        <v>2</v>
      </c>
      <c r="J15" s="39">
        <f t="shared" si="4"/>
        <v>2</v>
      </c>
      <c r="K15" s="28"/>
      <c r="L15" s="25">
        <v>6</v>
      </c>
      <c r="M15" s="29" t="s">
        <v>23</v>
      </c>
      <c r="N15" s="25"/>
      <c r="O15" s="25" t="str">
        <f t="shared" si="1"/>
        <v>ดำ</v>
      </c>
      <c r="P15" s="109" t="str">
        <f t="shared" si="2"/>
        <v>2</v>
      </c>
      <c r="Q15" s="25">
        <f t="shared" si="3"/>
        <v>2</v>
      </c>
      <c r="R15" s="13">
        <v>88</v>
      </c>
      <c r="V15" s="98">
        <v>6</v>
      </c>
      <c r="W15" s="99" t="s">
        <v>23</v>
      </c>
      <c r="X15" s="98">
        <v>0</v>
      </c>
      <c r="Y15" s="101">
        <v>1</v>
      </c>
      <c r="Z15" s="101">
        <v>2</v>
      </c>
      <c r="AA15" s="101">
        <v>3</v>
      </c>
      <c r="AB15" s="101">
        <v>4</v>
      </c>
      <c r="AC15" s="102"/>
      <c r="AD15" s="101">
        <v>1</v>
      </c>
      <c r="AE15" s="101">
        <v>2</v>
      </c>
      <c r="AF15" s="101">
        <v>3</v>
      </c>
      <c r="AG15" s="101">
        <v>4</v>
      </c>
      <c r="AH15" s="101">
        <v>5</v>
      </c>
    </row>
    <row r="16" spans="1:34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117">
        <v>2</v>
      </c>
      <c r="G16" s="117" t="s">
        <v>18</v>
      </c>
      <c r="H16" s="47">
        <f>$J$3-75-45</f>
        <v>3880</v>
      </c>
      <c r="I16" s="117">
        <f t="shared" si="0"/>
        <v>2</v>
      </c>
      <c r="J16" s="141">
        <f>ROUNDUP(((H16*I16)+(H17*I17)+(H18*I18))/6400,0)</f>
        <v>2</v>
      </c>
      <c r="K16" s="28"/>
      <c r="L16" s="25">
        <v>7</v>
      </c>
      <c r="M16" s="29" t="s">
        <v>29</v>
      </c>
      <c r="N16" s="25"/>
      <c r="O16" s="25" t="str">
        <f t="shared" si="1"/>
        <v>ดำ</v>
      </c>
      <c r="P16" s="109" t="str">
        <f t="shared" si="2"/>
        <v>4</v>
      </c>
      <c r="Q16" s="25">
        <f t="shared" si="3"/>
        <v>4</v>
      </c>
      <c r="R16" s="13">
        <v>73</v>
      </c>
      <c r="S16" s="6">
        <f>((H19*I19)/1000)*E19</f>
        <v>34.577075999999998</v>
      </c>
      <c r="V16" s="98">
        <v>7</v>
      </c>
      <c r="W16" s="99" t="s">
        <v>29</v>
      </c>
      <c r="X16" s="98">
        <v>0</v>
      </c>
      <c r="Y16" s="101">
        <f>Y15*2</f>
        <v>2</v>
      </c>
      <c r="Z16" s="101">
        <f t="shared" ref="Z16:AH16" si="5">Z15*2</f>
        <v>4</v>
      </c>
      <c r="AA16" s="101">
        <f t="shared" si="5"/>
        <v>6</v>
      </c>
      <c r="AB16" s="101">
        <f t="shared" si="5"/>
        <v>8</v>
      </c>
      <c r="AC16" s="102"/>
      <c r="AD16" s="101">
        <f t="shared" si="5"/>
        <v>2</v>
      </c>
      <c r="AE16" s="101">
        <f t="shared" si="5"/>
        <v>4</v>
      </c>
      <c r="AF16" s="101">
        <f t="shared" si="5"/>
        <v>6</v>
      </c>
      <c r="AG16" s="101">
        <f t="shared" si="5"/>
        <v>8</v>
      </c>
      <c r="AH16" s="101">
        <f t="shared" si="5"/>
        <v>10</v>
      </c>
    </row>
    <row r="17" spans="1:45" ht="34.950000000000003" customHeight="1" x14ac:dyDescent="0.25">
      <c r="A17" s="142"/>
      <c r="B17" s="46" t="s">
        <v>196</v>
      </c>
      <c r="C17" s="142"/>
      <c r="D17" s="142"/>
      <c r="E17" s="142"/>
      <c r="F17" s="117">
        <v>1</v>
      </c>
      <c r="G17" s="117" t="s">
        <v>160</v>
      </c>
      <c r="H17" s="47">
        <f>$J$5-18-58</f>
        <v>1824</v>
      </c>
      <c r="I17" s="117">
        <f t="shared" si="0"/>
        <v>1</v>
      </c>
      <c r="J17" s="142"/>
      <c r="K17" s="28"/>
      <c r="L17" s="25">
        <v>12</v>
      </c>
      <c r="M17" s="29" t="s">
        <v>35</v>
      </c>
      <c r="N17" s="30"/>
      <c r="O17" s="25" t="s">
        <v>1</v>
      </c>
      <c r="P17" s="109" t="str">
        <f t="shared" si="2"/>
        <v>20</v>
      </c>
      <c r="Q17" s="25">
        <f t="shared" si="3"/>
        <v>20</v>
      </c>
      <c r="R17" s="13">
        <v>15</v>
      </c>
      <c r="S17" s="6">
        <f>((H21*I21)/1000)*E21</f>
        <v>0</v>
      </c>
      <c r="V17" s="98">
        <v>12</v>
      </c>
      <c r="W17" s="99" t="s">
        <v>35</v>
      </c>
      <c r="X17" s="98">
        <f>X$9*4</f>
        <v>4</v>
      </c>
      <c r="Y17" s="98">
        <f t="shared" ref="Y17:AH17" si="6">Y$9*4</f>
        <v>12</v>
      </c>
      <c r="Z17" s="98">
        <f t="shared" si="6"/>
        <v>20</v>
      </c>
      <c r="AA17" s="98">
        <f t="shared" si="6"/>
        <v>28</v>
      </c>
      <c r="AB17" s="98">
        <f t="shared" si="6"/>
        <v>36</v>
      </c>
      <c r="AC17" s="102"/>
      <c r="AD17" s="98">
        <f t="shared" si="6"/>
        <v>8</v>
      </c>
      <c r="AE17" s="98">
        <f t="shared" si="6"/>
        <v>16</v>
      </c>
      <c r="AF17" s="98">
        <f t="shared" si="6"/>
        <v>24</v>
      </c>
      <c r="AG17" s="98">
        <f t="shared" si="6"/>
        <v>32</v>
      </c>
      <c r="AH17" s="98">
        <f t="shared" si="6"/>
        <v>40</v>
      </c>
    </row>
    <row r="18" spans="1:45" ht="34.950000000000003" customHeight="1" x14ac:dyDescent="0.25">
      <c r="A18" s="143"/>
      <c r="B18" s="46" t="s">
        <v>206</v>
      </c>
      <c r="C18" s="143"/>
      <c r="D18" s="143"/>
      <c r="E18" s="143"/>
      <c r="F18" s="117">
        <v>1</v>
      </c>
      <c r="G18" s="117" t="s">
        <v>161</v>
      </c>
      <c r="H18" s="47">
        <f>$J$7-18-58</f>
        <v>1924</v>
      </c>
      <c r="I18" s="117">
        <f t="shared" si="0"/>
        <v>1</v>
      </c>
      <c r="J18" s="143"/>
      <c r="K18" s="28"/>
      <c r="L18" s="25">
        <v>13</v>
      </c>
      <c r="M18" s="29" t="s">
        <v>36</v>
      </c>
      <c r="N18" s="30"/>
      <c r="O18" s="25" t="s">
        <v>1</v>
      </c>
      <c r="P18" s="109" t="str">
        <f t="shared" si="2"/>
        <v>60</v>
      </c>
      <c r="Q18" s="25">
        <f>$J$1*P18</f>
        <v>60</v>
      </c>
      <c r="R18" s="13">
        <v>1.5</v>
      </c>
      <c r="V18" s="98">
        <v>13</v>
      </c>
      <c r="W18" s="99" t="s">
        <v>36</v>
      </c>
      <c r="X18" s="98">
        <f>X$9*12</f>
        <v>12</v>
      </c>
      <c r="Y18" s="98">
        <f t="shared" ref="Y18:AH18" si="7">Y$9*12</f>
        <v>36</v>
      </c>
      <c r="Z18" s="98">
        <f t="shared" si="7"/>
        <v>60</v>
      </c>
      <c r="AA18" s="98">
        <f t="shared" si="7"/>
        <v>84</v>
      </c>
      <c r="AB18" s="98">
        <f t="shared" si="7"/>
        <v>108</v>
      </c>
      <c r="AC18" s="102"/>
      <c r="AD18" s="98">
        <f t="shared" si="7"/>
        <v>24</v>
      </c>
      <c r="AE18" s="98">
        <f t="shared" si="7"/>
        <v>48</v>
      </c>
      <c r="AF18" s="98">
        <f t="shared" si="7"/>
        <v>72</v>
      </c>
      <c r="AG18" s="98">
        <f t="shared" si="7"/>
        <v>96</v>
      </c>
      <c r="AH18" s="98">
        <f t="shared" si="7"/>
        <v>120</v>
      </c>
    </row>
    <row r="19" spans="1:45" ht="34.950000000000003" customHeight="1" x14ac:dyDescent="0.25">
      <c r="A19" s="138">
        <v>6</v>
      </c>
      <c r="B19" s="56" t="s">
        <v>197</v>
      </c>
      <c r="C19" s="138"/>
      <c r="D19" s="138" t="s">
        <v>47</v>
      </c>
      <c r="E19" s="138">
        <v>1.466</v>
      </c>
      <c r="F19" s="39">
        <f>IF($I$5=1,$AP$25,IF($I$5=3,$AP$26,IF($I$5=5,$AP$27,IF($I$5=7,$AP$28,IF($I$5=9,$AP$29,)))))</f>
        <v>6</v>
      </c>
      <c r="G19" s="39" t="s">
        <v>262</v>
      </c>
      <c r="H19" s="40">
        <f>$J$3-55-7-7</f>
        <v>3931</v>
      </c>
      <c r="I19" s="39">
        <f>F19*$J$1</f>
        <v>6</v>
      </c>
      <c r="J19" s="138">
        <f>ROUNDUP(((H19*I19)+(H20*I20)+(H21*I21+(H22*I22)))/6400,0)</f>
        <v>8</v>
      </c>
      <c r="K19" s="28"/>
      <c r="L19" s="25">
        <v>14</v>
      </c>
      <c r="M19" s="12" t="s">
        <v>28</v>
      </c>
      <c r="N19" s="57"/>
      <c r="O19" s="25" t="str">
        <f>IF($D$6="ขาว","ขาว","ดำ")</f>
        <v>ดำ</v>
      </c>
      <c r="P19" s="25">
        <v>1</v>
      </c>
      <c r="Q19" s="25">
        <f t="shared" ref="Q19:Q22" si="8">$J$1*P19</f>
        <v>1</v>
      </c>
    </row>
    <row r="20" spans="1:45" ht="34.950000000000003" customHeight="1" x14ac:dyDescent="0.25">
      <c r="A20" s="139"/>
      <c r="B20" s="56" t="s">
        <v>207</v>
      </c>
      <c r="C20" s="140"/>
      <c r="D20" s="139"/>
      <c r="E20" s="139"/>
      <c r="F20" s="39">
        <f>IF($I$7=2,$AF$25,IF($I$7=4,$AF$26,IF($I$7=6,$AF$27,IF($I$7=8,$AF$28,IF($I$7=10,$AF$29,)))))</f>
        <v>4</v>
      </c>
      <c r="G20" s="39" t="s">
        <v>262</v>
      </c>
      <c r="H20" s="40">
        <f>$J$3-55-7-7</f>
        <v>3931</v>
      </c>
      <c r="I20" s="39">
        <f t="shared" si="0"/>
        <v>4</v>
      </c>
      <c r="J20" s="139"/>
      <c r="K20" s="28"/>
      <c r="L20" s="25">
        <v>15</v>
      </c>
      <c r="M20" s="12" t="s">
        <v>100</v>
      </c>
      <c r="N20" s="57"/>
      <c r="O20" s="57" t="s">
        <v>1</v>
      </c>
      <c r="P20" s="25">
        <v>1</v>
      </c>
      <c r="Q20" s="25">
        <f t="shared" si="8"/>
        <v>1</v>
      </c>
      <c r="S20" s="6">
        <f>((H23*I23)/1000)*E23</f>
        <v>6.44841</v>
      </c>
    </row>
    <row r="21" spans="1:45" ht="34.950000000000003" customHeight="1" x14ac:dyDescent="0.25">
      <c r="A21" s="139"/>
      <c r="B21" s="56" t="s">
        <v>198</v>
      </c>
      <c r="C21" s="138"/>
      <c r="D21" s="139"/>
      <c r="E21" s="139"/>
      <c r="F21" s="39">
        <f>IF($I$5=1,$AP$25,IF($I$5=3,$AP$26,IF($I$5=5,$AP$27,IF($I$5=7,$AP$28,IF($I$5=9,$AP$29,)))))</f>
        <v>6</v>
      </c>
      <c r="G21" s="39" t="str">
        <f>IF($I$5=1,$AQ$25,IF($I$5=3,$AQ$26,IF($I$5=5,$AQ$27,IF($I$5=7,$AQ$28,IF($I$5=9,$AQ$29,)))))</f>
        <v>(W-18-9.5-(8x2)-77)/3</v>
      </c>
      <c r="H21" s="40">
        <f>IF($I$5=1,$AR$25,IF($I$5=3,$AR$26,IF($I$5=5,$AR$27,IF($I$5=7,$AR$28,IF($I$5=9,$AR$29,)))))</f>
        <v>593.16666666666663</v>
      </c>
      <c r="I21" s="39">
        <f t="shared" si="0"/>
        <v>6</v>
      </c>
      <c r="J21" s="139"/>
      <c r="K21" s="28"/>
      <c r="L21" s="25">
        <v>16</v>
      </c>
      <c r="M21" s="12" t="s">
        <v>37</v>
      </c>
      <c r="N21" s="57"/>
      <c r="O21" s="57" t="s">
        <v>1</v>
      </c>
      <c r="P21" s="25">
        <v>1</v>
      </c>
      <c r="Q21" s="25">
        <f t="shared" si="8"/>
        <v>1</v>
      </c>
      <c r="S21" s="6">
        <f>((H25*I25)/1000)*E25</f>
        <v>0</v>
      </c>
    </row>
    <row r="22" spans="1:45" ht="34.950000000000003" customHeight="1" x14ac:dyDescent="0.25">
      <c r="A22" s="140"/>
      <c r="B22" s="56" t="s">
        <v>208</v>
      </c>
      <c r="C22" s="140"/>
      <c r="D22" s="140"/>
      <c r="E22" s="140"/>
      <c r="F22" s="39">
        <f>IF($I$7=2,$AF$25,IF($I$7=4,$AF$26,IF($I$7=6,$AF$27,IF($I$7=8,$AF$28,IF($I$7=10,$AF$29,)))))</f>
        <v>4</v>
      </c>
      <c r="G22" s="39" t="str">
        <f>IF($I$7=2,$AG$25,IF($I$7=4,$AG$26,IF($I$7=6,$AG$27,IF($I$7=8,$AG$28,IF($I$7=10,$AG$29,)))))</f>
        <v>(W-18-9.5-(8x1)-62)/2</v>
      </c>
      <c r="H22" s="40">
        <f>IF($I$7=2,$AH$25,IF($I$7=4,$AH$26,IF($I$7=6,$AH$27,IF($I$7=8,$AH$28,IF($I$7=10,$AH$29,)))))</f>
        <v>951.25</v>
      </c>
      <c r="I22" s="39">
        <f t="shared" si="0"/>
        <v>4</v>
      </c>
      <c r="J22" s="140"/>
      <c r="K22" s="28"/>
      <c r="L22" s="25">
        <v>17</v>
      </c>
      <c r="M22" s="56" t="s">
        <v>38</v>
      </c>
      <c r="N22" s="57"/>
      <c r="O22" s="57" t="s">
        <v>1</v>
      </c>
      <c r="P22" s="25">
        <v>1</v>
      </c>
      <c r="Q22" s="25">
        <f t="shared" si="8"/>
        <v>1</v>
      </c>
    </row>
    <row r="23" spans="1:45" ht="34.950000000000003" customHeight="1" x14ac:dyDescent="0.25">
      <c r="A23" s="141">
        <v>7</v>
      </c>
      <c r="B23" s="46" t="str">
        <f>IF($E$6&lt;=12,W33,IF($E$6&lt;=20,W35,W37))</f>
        <v>คิ้วกระจก5-12มิล (ตั้ง) (บานคี่)</v>
      </c>
      <c r="C23" s="153"/>
      <c r="D23" s="141" t="str">
        <f>IF($E$6&lt;=12,X26,IF($E$6&lt;=20,X28,X30))</f>
        <v>F7935</v>
      </c>
      <c r="E23" s="141">
        <f>IF($E$6&lt;=12,Y26,IF($E$6&lt;=20,Y28,Y30))</f>
        <v>0.28499999999999998</v>
      </c>
      <c r="F23" s="39">
        <f>IF($I$5=1,$AP$25,IF($I$5=3,$AP$26,IF($I$5=5,$AP$27,IF($I$5=7,$AP$28,IF($I$5=9,$AP$29,)))))</f>
        <v>6</v>
      </c>
      <c r="G23" s="117" t="s">
        <v>19</v>
      </c>
      <c r="H23" s="47">
        <f>$H$19-80-80</f>
        <v>3771</v>
      </c>
      <c r="I23" s="117">
        <f t="shared" si="0"/>
        <v>6</v>
      </c>
      <c r="J23" s="141">
        <f>ROUNDUP(((H23*I23)+(H24*I24)+(H25*I25+(H26*I26)))/6400,0)</f>
        <v>7</v>
      </c>
      <c r="K23" s="28"/>
      <c r="L23" s="25">
        <v>18</v>
      </c>
      <c r="M23" s="61" t="s">
        <v>96</v>
      </c>
      <c r="N23" s="60"/>
      <c r="O23" s="25" t="str">
        <f>IF($D$6="ขาว","ขาว","ดำ")</f>
        <v>ดำ</v>
      </c>
      <c r="P23" s="25">
        <v>2</v>
      </c>
      <c r="Q23" s="25">
        <f>$J$1*P23</f>
        <v>2</v>
      </c>
      <c r="W23" s="81" t="s">
        <v>209</v>
      </c>
      <c r="AB23" s="75" t="s">
        <v>210</v>
      </c>
    </row>
    <row r="24" spans="1:45" ht="34.950000000000003" customHeight="1" x14ac:dyDescent="0.25">
      <c r="A24" s="142"/>
      <c r="B24" s="46" t="str">
        <f>IF($E$6&lt;=12,W26,IF($E$6&lt;=20,W28,W30))</f>
        <v>คิ้วกระจก5-12มิล (ตั้ง) (บานคู่)</v>
      </c>
      <c r="C24" s="153"/>
      <c r="D24" s="142"/>
      <c r="E24" s="142"/>
      <c r="F24" s="39">
        <f>IF($I$7=2,$AF$25,IF($I$7=4,$AF$26,IF($I$7=6,$AF$27,IF($I$7=8,$AF$28,IF($I$7=10,$AF$29,)))))</f>
        <v>4</v>
      </c>
      <c r="G24" s="117" t="s">
        <v>19</v>
      </c>
      <c r="H24" s="47">
        <f>$H$20-80-80</f>
        <v>3771</v>
      </c>
      <c r="I24" s="117">
        <f t="shared" si="0"/>
        <v>4</v>
      </c>
      <c r="J24" s="142"/>
      <c r="K24" s="28"/>
      <c r="L24" s="25">
        <v>19</v>
      </c>
      <c r="M24" s="12" t="s">
        <v>113</v>
      </c>
      <c r="N24" s="60"/>
      <c r="O24" s="57" t="s">
        <v>1</v>
      </c>
      <c r="P24" s="25">
        <f>IF($J$3&lt;=2700,3,4)</f>
        <v>4</v>
      </c>
      <c r="Q24" s="25">
        <f>$J$1*P24</f>
        <v>4</v>
      </c>
      <c r="W24" s="81" t="s">
        <v>192</v>
      </c>
      <c r="AB24" s="75" t="s">
        <v>192</v>
      </c>
      <c r="AC24" s="75"/>
      <c r="AD24" s="75"/>
      <c r="AL24" s="75" t="s">
        <v>191</v>
      </c>
      <c r="AM24" s="75"/>
      <c r="AN24" s="75"/>
    </row>
    <row r="25" spans="1:45" ht="34.950000000000003" customHeight="1" x14ac:dyDescent="0.25">
      <c r="A25" s="142"/>
      <c r="B25" s="46" t="str">
        <f>IF($E$6&lt;=12,W34,IF($E$6&lt;=20,W36,W38))</f>
        <v>คิ้วกระจก5-12มิล (ขวาง) (บานคี่)</v>
      </c>
      <c r="C25" s="153"/>
      <c r="D25" s="142"/>
      <c r="E25" s="142"/>
      <c r="F25" s="39">
        <f>IF($I$5=1,$AP$25,IF($I$5=3,$AP$26,IF($I$5=5,$AP$27,IF($I$5=7,$AP$28,IF($I$5=9,$AP$29,)))))</f>
        <v>6</v>
      </c>
      <c r="G25" s="117" t="s">
        <v>56</v>
      </c>
      <c r="H25" s="47">
        <f>$H$21-60-60</f>
        <v>473.16666666666663</v>
      </c>
      <c r="I25" s="117">
        <f t="shared" si="0"/>
        <v>6</v>
      </c>
      <c r="J25" s="142"/>
      <c r="K25" s="28"/>
      <c r="L25" s="25">
        <v>20</v>
      </c>
      <c r="M25" s="12" t="s">
        <v>110</v>
      </c>
      <c r="N25" s="60"/>
      <c r="O25" s="57"/>
      <c r="P25" s="25">
        <f>IF($J$3&lt;=2700,3,4)</f>
        <v>4</v>
      </c>
      <c r="Q25" s="25">
        <f>$J$1*P25</f>
        <v>4</v>
      </c>
      <c r="W25" s="8" t="s">
        <v>5</v>
      </c>
      <c r="X25" s="8" t="s">
        <v>9</v>
      </c>
      <c r="Y25" s="8" t="s">
        <v>14</v>
      </c>
      <c r="AB25" s="117">
        <v>2</v>
      </c>
      <c r="AC25" s="46" t="s">
        <v>211</v>
      </c>
      <c r="AD25" s="117" t="s">
        <v>47</v>
      </c>
      <c r="AE25" s="117">
        <v>1.466</v>
      </c>
      <c r="AF25" s="117">
        <f>2*AB25</f>
        <v>4</v>
      </c>
      <c r="AG25" s="59" t="s">
        <v>127</v>
      </c>
      <c r="AH25" s="47">
        <f>($J$7-18-9.5-(8*1)-62)/AB25</f>
        <v>951.25</v>
      </c>
      <c r="AI25" s="117">
        <f>AF25*$J$1</f>
        <v>4</v>
      </c>
      <c r="AL25" s="117">
        <v>1</v>
      </c>
      <c r="AM25" s="46" t="s">
        <v>212</v>
      </c>
      <c r="AN25" s="117" t="s">
        <v>47</v>
      </c>
      <c r="AO25" s="117">
        <v>1.466</v>
      </c>
      <c r="AP25" s="117">
        <f>2*AL25</f>
        <v>2</v>
      </c>
      <c r="AQ25" s="59" t="s">
        <v>186</v>
      </c>
      <c r="AR25" s="47">
        <f>($J$5-18-9.5-77)</f>
        <v>1795.5</v>
      </c>
      <c r="AS25" s="117">
        <f>AP25*$J$1</f>
        <v>2</v>
      </c>
    </row>
    <row r="26" spans="1:45" ht="34.950000000000003" customHeight="1" x14ac:dyDescent="0.25">
      <c r="A26" s="143"/>
      <c r="B26" s="46" t="str">
        <f>IF($E$6&lt;=12,W27,IF($E$6&lt;=20,W29,W31))</f>
        <v>คิ้วกระจก5-12มิล (ขวาง) (บานคู่)</v>
      </c>
      <c r="C26" s="153"/>
      <c r="D26" s="143"/>
      <c r="E26" s="143"/>
      <c r="F26" s="39">
        <f>IF($I$7=2,$AF$25,IF($I$7=4,$AF$26,IF($I$7=6,$AF$27,IF($I$7=8,$AF$28,IF($I$7=10,$AF$29,)))))</f>
        <v>4</v>
      </c>
      <c r="G26" s="117" t="s">
        <v>56</v>
      </c>
      <c r="H26" s="47">
        <f>$H$22-60-60</f>
        <v>831.25</v>
      </c>
      <c r="I26" s="117">
        <f t="shared" si="0"/>
        <v>4</v>
      </c>
      <c r="J26" s="143"/>
      <c r="K26" s="28"/>
      <c r="L26" s="25">
        <v>21</v>
      </c>
      <c r="M26" s="68" t="s">
        <v>111</v>
      </c>
      <c r="N26" s="60"/>
      <c r="O26" s="57"/>
      <c r="P26" s="69">
        <f>ROUNDDOWN($H$19/1000,1)</f>
        <v>3.9</v>
      </c>
      <c r="Q26" s="69">
        <f>$J$1*P26</f>
        <v>3.9</v>
      </c>
      <c r="W26" s="12" t="s">
        <v>202</v>
      </c>
      <c r="X26" s="11" t="s">
        <v>13</v>
      </c>
      <c r="Y26" s="11">
        <v>0.28499999999999998</v>
      </c>
      <c r="AB26" s="117">
        <v>4</v>
      </c>
      <c r="AC26" s="46" t="s">
        <v>211</v>
      </c>
      <c r="AD26" s="117" t="s">
        <v>47</v>
      </c>
      <c r="AE26" s="117">
        <v>1.466</v>
      </c>
      <c r="AF26" s="117">
        <f>2*AB26</f>
        <v>8</v>
      </c>
      <c r="AG26" s="59" t="s">
        <v>128</v>
      </c>
      <c r="AH26" s="47">
        <f>($J$7-18-9.5-(8*3)-62)/AB26</f>
        <v>471.625</v>
      </c>
      <c r="AI26" s="117">
        <f t="shared" ref="AI26:AI29" si="9">AF26*$J$1</f>
        <v>8</v>
      </c>
      <c r="AL26" s="117">
        <v>3</v>
      </c>
      <c r="AM26" s="46" t="s">
        <v>212</v>
      </c>
      <c r="AN26" s="117" t="s">
        <v>47</v>
      </c>
      <c r="AO26" s="117">
        <v>1.466</v>
      </c>
      <c r="AP26" s="117">
        <f>2*AL26</f>
        <v>6</v>
      </c>
      <c r="AQ26" s="59" t="s">
        <v>187</v>
      </c>
      <c r="AR26" s="47">
        <f>($J$5-18-9.5-(8*2)-77)/AL26</f>
        <v>593.16666666666663</v>
      </c>
      <c r="AS26" s="117">
        <f t="shared" ref="AS26:AS29" si="10">AP26*$J$1</f>
        <v>6</v>
      </c>
    </row>
    <row r="27" spans="1:45" ht="34.950000000000003" customHeight="1" x14ac:dyDescent="0.25">
      <c r="A27" s="25">
        <v>8</v>
      </c>
      <c r="B27" s="56" t="s">
        <v>80</v>
      </c>
      <c r="C27" s="26"/>
      <c r="D27" s="25" t="s">
        <v>79</v>
      </c>
      <c r="E27" s="25">
        <v>0.45200000000000001</v>
      </c>
      <c r="F27" s="25">
        <v>2</v>
      </c>
      <c r="G27" s="25" t="s">
        <v>261</v>
      </c>
      <c r="H27" s="27">
        <f>$H$19</f>
        <v>3931</v>
      </c>
      <c r="I27" s="25">
        <f>F27*$J$1</f>
        <v>2</v>
      </c>
      <c r="J27" s="25">
        <f>ROUNDUP((H27*I27)/6400,0)</f>
        <v>2</v>
      </c>
      <c r="K27" s="28"/>
      <c r="L27" s="117">
        <v>22</v>
      </c>
      <c r="M27" s="43" t="s">
        <v>67</v>
      </c>
      <c r="N27" s="58"/>
      <c r="O27" s="117" t="s">
        <v>1</v>
      </c>
      <c r="P27" s="45">
        <f>(($H$10*$I$10)+($H$11*$I$11)+($H$14*$I$14)+($H$15*$I$15)+($H$19*$I$19*2)+($H$20*$I$20*2)+($H$21*$I$21*2)+($H$22*$I$22*2)+($H$27*$I$27)+($H$28*$I$28*2)-($H$19*2))/1000</f>
        <v>120.834</v>
      </c>
      <c r="Q27" s="45">
        <f>$J$1*P27</f>
        <v>120.834</v>
      </c>
      <c r="S27" s="6">
        <f>O32*P32*6*Q32*2.5/1000000</f>
        <v>79.222342499999982</v>
      </c>
      <c r="W27" s="12" t="s">
        <v>215</v>
      </c>
      <c r="X27" s="11" t="s">
        <v>13</v>
      </c>
      <c r="Y27" s="11">
        <v>0.28499999999999998</v>
      </c>
      <c r="AB27" s="117">
        <v>6</v>
      </c>
      <c r="AC27" s="46" t="s">
        <v>211</v>
      </c>
      <c r="AD27" s="117" t="s">
        <v>47</v>
      </c>
      <c r="AE27" s="117">
        <v>1.466</v>
      </c>
      <c r="AF27" s="117">
        <f>2*AB27</f>
        <v>12</v>
      </c>
      <c r="AG27" s="59" t="s">
        <v>131</v>
      </c>
      <c r="AH27" s="47">
        <f>($J$7-18-9.5-(8*5)-62)/AB27</f>
        <v>311.75</v>
      </c>
      <c r="AI27" s="117">
        <f t="shared" si="9"/>
        <v>12</v>
      </c>
      <c r="AL27" s="117">
        <v>5</v>
      </c>
      <c r="AM27" s="46" t="s">
        <v>212</v>
      </c>
      <c r="AN27" s="117" t="s">
        <v>47</v>
      </c>
      <c r="AO27" s="117">
        <v>1.466</v>
      </c>
      <c r="AP27" s="117">
        <f>2*AL27</f>
        <v>10</v>
      </c>
      <c r="AQ27" s="59" t="s">
        <v>188</v>
      </c>
      <c r="AR27" s="47">
        <f>($J$5-18-9.5-(8*4)-77)/AL27</f>
        <v>352.7</v>
      </c>
      <c r="AS27" s="117">
        <f t="shared" si="10"/>
        <v>10</v>
      </c>
    </row>
    <row r="28" spans="1:45" ht="34.950000000000003" customHeight="1" x14ac:dyDescent="0.25">
      <c r="A28" s="25">
        <v>9</v>
      </c>
      <c r="B28" s="26" t="s">
        <v>179</v>
      </c>
      <c r="C28" s="84"/>
      <c r="D28" s="25" t="s">
        <v>180</v>
      </c>
      <c r="E28" s="25">
        <v>1.03</v>
      </c>
      <c r="F28" s="25">
        <v>1</v>
      </c>
      <c r="G28" s="132" t="s">
        <v>261</v>
      </c>
      <c r="H28" s="27">
        <f>$H$19</f>
        <v>3931</v>
      </c>
      <c r="I28" s="25">
        <f>F28*$J$1</f>
        <v>1</v>
      </c>
      <c r="J28" s="25">
        <f>ROUNDUP((H28*I28)/6400,0)</f>
        <v>1</v>
      </c>
      <c r="K28" s="28"/>
      <c r="L28" s="117">
        <v>23</v>
      </c>
      <c r="M28" s="43" t="s">
        <v>65</v>
      </c>
      <c r="N28" s="58"/>
      <c r="O28" s="117" t="s">
        <v>1</v>
      </c>
      <c r="P28" s="45">
        <f>((($D$32+$E$32)*2)*$F$32/1000)+(($O$32+$P$32)*2)*$Q$32/1000</f>
        <v>44.073999999999998</v>
      </c>
      <c r="Q28" s="45">
        <f t="shared" ref="Q28:Q29" si="11">$J$1*P28</f>
        <v>44.073999999999998</v>
      </c>
      <c r="S28" s="18">
        <f>SUM(S16:S27)</f>
        <v>120.24782849999998</v>
      </c>
      <c r="W28" s="12" t="s">
        <v>203</v>
      </c>
      <c r="X28" s="11" t="s">
        <v>55</v>
      </c>
      <c r="Y28" s="11">
        <v>0.252</v>
      </c>
      <c r="AB28" s="117">
        <v>8</v>
      </c>
      <c r="AC28" s="46" t="s">
        <v>211</v>
      </c>
      <c r="AD28" s="117" t="s">
        <v>47</v>
      </c>
      <c r="AE28" s="117">
        <v>1.466</v>
      </c>
      <c r="AF28" s="117">
        <f>2*AB28</f>
        <v>16</v>
      </c>
      <c r="AG28" s="59" t="s">
        <v>130</v>
      </c>
      <c r="AH28" s="47">
        <f>($J$7-18-9.5-(8*7)-62)/AB28</f>
        <v>231.8125</v>
      </c>
      <c r="AI28" s="117">
        <f t="shared" si="9"/>
        <v>16</v>
      </c>
      <c r="AL28" s="117">
        <v>7</v>
      </c>
      <c r="AM28" s="46" t="s">
        <v>212</v>
      </c>
      <c r="AN28" s="117" t="s">
        <v>47</v>
      </c>
      <c r="AO28" s="117">
        <v>1.466</v>
      </c>
      <c r="AP28" s="117">
        <f>2*AL28</f>
        <v>14</v>
      </c>
      <c r="AQ28" s="59" t="s">
        <v>189</v>
      </c>
      <c r="AR28" s="47">
        <f>($J$5-18-9.5-(8*6)-77)/AL28</f>
        <v>249.64285714285714</v>
      </c>
      <c r="AS28" s="117">
        <f t="shared" si="10"/>
        <v>14</v>
      </c>
    </row>
    <row r="29" spans="1:45" ht="34.950000000000003" customHeight="1" x14ac:dyDescent="0.25">
      <c r="A29" s="95"/>
      <c r="B29" s="96"/>
      <c r="C29" s="96"/>
      <c r="D29" s="95"/>
      <c r="E29" s="95"/>
      <c r="F29" s="95"/>
      <c r="G29" s="95"/>
      <c r="H29" s="97"/>
      <c r="I29" s="95"/>
      <c r="J29" s="95"/>
      <c r="K29" s="28"/>
      <c r="L29" s="117">
        <v>24</v>
      </c>
      <c r="M29" s="43" t="s">
        <v>66</v>
      </c>
      <c r="N29" s="58"/>
      <c r="O29" s="117" t="s">
        <v>1</v>
      </c>
      <c r="P29" s="45">
        <f>(($O$32+$P$32)*2)*$Q$32/1000</f>
        <v>25.585000000000001</v>
      </c>
      <c r="Q29" s="45">
        <f t="shared" si="11"/>
        <v>25.585000000000001</v>
      </c>
      <c r="W29" s="12" t="s">
        <v>213</v>
      </c>
      <c r="X29" s="11" t="s">
        <v>55</v>
      </c>
      <c r="Y29" s="11">
        <v>0.252</v>
      </c>
      <c r="AB29" s="117">
        <v>10</v>
      </c>
      <c r="AC29" s="46" t="s">
        <v>211</v>
      </c>
      <c r="AD29" s="117" t="s">
        <v>47</v>
      </c>
      <c r="AE29" s="117">
        <v>1.466</v>
      </c>
      <c r="AF29" s="117">
        <f>2*AB29</f>
        <v>20</v>
      </c>
      <c r="AG29" s="59" t="s">
        <v>129</v>
      </c>
      <c r="AH29" s="47">
        <f>($J$7-18-9.5-(8*9)-62)/AB29</f>
        <v>183.85</v>
      </c>
      <c r="AI29" s="117">
        <f t="shared" si="9"/>
        <v>20</v>
      </c>
      <c r="AL29" s="117">
        <v>9</v>
      </c>
      <c r="AM29" s="46" t="s">
        <v>212</v>
      </c>
      <c r="AN29" s="117" t="s">
        <v>47</v>
      </c>
      <c r="AO29" s="117">
        <v>1.466</v>
      </c>
      <c r="AP29" s="117">
        <f>2*AL29</f>
        <v>18</v>
      </c>
      <c r="AQ29" s="59" t="s">
        <v>190</v>
      </c>
      <c r="AR29" s="47">
        <f>($J$5-18-9.5-(8*8)-77)/AL29</f>
        <v>192.38888888888889</v>
      </c>
      <c r="AS29" s="117">
        <f t="shared" si="10"/>
        <v>18</v>
      </c>
    </row>
    <row r="30" spans="1:45" ht="34.950000000000003" customHeight="1" x14ac:dyDescent="0.25">
      <c r="A30" s="31"/>
      <c r="B30" s="107" t="s">
        <v>192</v>
      </c>
      <c r="C30" s="70" t="s">
        <v>114</v>
      </c>
      <c r="D30" s="154" t="s">
        <v>39</v>
      </c>
      <c r="E30" s="154"/>
      <c r="F30" s="154"/>
      <c r="G30" s="31"/>
      <c r="H30" s="34"/>
      <c r="I30" s="33"/>
      <c r="J30" s="33"/>
      <c r="K30" s="28"/>
      <c r="L30" s="28"/>
      <c r="M30" s="107" t="s">
        <v>191</v>
      </c>
      <c r="N30" s="70" t="s">
        <v>114</v>
      </c>
      <c r="O30" s="154" t="s">
        <v>39</v>
      </c>
      <c r="P30" s="154"/>
      <c r="Q30" s="154"/>
      <c r="W30" s="12" t="s">
        <v>204</v>
      </c>
      <c r="X30" s="11" t="s">
        <v>62</v>
      </c>
      <c r="Y30" s="11">
        <v>0.22</v>
      </c>
    </row>
    <row r="31" spans="1:45" ht="34.950000000000003" customHeight="1" x14ac:dyDescent="0.25">
      <c r="A31" s="28"/>
      <c r="B31" s="35"/>
      <c r="C31" s="71">
        <f>((($E$19*$F$20*$H$20/1000)+($E$19*$F$22*$H$22/1000)+($E$23*$F$24*$H$24/1000)+($E$23*$F$26*$H$26/1000))+($D$32*$E$32*$E$6*2.5*$F$32/1000000))/$F$32</f>
        <v>63.761608250000002</v>
      </c>
      <c r="D31" s="39" t="s">
        <v>40</v>
      </c>
      <c r="E31" s="39" t="s">
        <v>41</v>
      </c>
      <c r="F31" s="40" t="s">
        <v>20</v>
      </c>
      <c r="G31" s="36"/>
      <c r="H31" s="38"/>
      <c r="I31" s="33"/>
      <c r="J31" s="33"/>
      <c r="K31" s="28"/>
      <c r="L31" s="28"/>
      <c r="M31" s="28"/>
      <c r="N31" s="71">
        <f>((($H$19*$F$19*$E$19/1000)+($H$21*$F$21*$E$19/1000)+($H$23*$F$23*$E$23/1000)+($H$25*$F$25*$E$23/1000))+($O$32*$P$32*$E$6*2.5*$Q$32/1000000))/$Q$32</f>
        <v>42.091479166666659</v>
      </c>
      <c r="O31" s="39" t="s">
        <v>40</v>
      </c>
      <c r="P31" s="39" t="s">
        <v>41</v>
      </c>
      <c r="Q31" s="40" t="s">
        <v>20</v>
      </c>
      <c r="W31" s="12" t="s">
        <v>214</v>
      </c>
      <c r="X31" s="11" t="s">
        <v>62</v>
      </c>
      <c r="Y31" s="11">
        <v>0.22</v>
      </c>
    </row>
    <row r="32" spans="1:45" ht="34.950000000000003" customHeight="1" x14ac:dyDescent="0.25">
      <c r="A32" s="28"/>
      <c r="B32" s="35"/>
      <c r="C32" s="72">
        <f>$N$31*$F$32</f>
        <v>84.182958333333318</v>
      </c>
      <c r="D32" s="41">
        <f>$H$20-130</f>
        <v>3801</v>
      </c>
      <c r="E32" s="41">
        <f>$H$22-130</f>
        <v>821.25</v>
      </c>
      <c r="F32" s="41">
        <f>$I$7*$J$1</f>
        <v>2</v>
      </c>
      <c r="G32" s="36"/>
      <c r="H32" s="38"/>
      <c r="I32" s="33"/>
      <c r="J32" s="33"/>
      <c r="K32" s="28"/>
      <c r="L32" s="28"/>
      <c r="M32" s="28"/>
      <c r="N32" s="72">
        <f>$N$31*$Q$32</f>
        <v>126.27443749999998</v>
      </c>
      <c r="O32" s="41">
        <f>$H$19-130</f>
        <v>3801</v>
      </c>
      <c r="P32" s="41">
        <f>$H$21-130</f>
        <v>463.16666666666663</v>
      </c>
      <c r="Q32" s="41">
        <f>$I$5*$J$1</f>
        <v>3</v>
      </c>
      <c r="W32" s="81" t="s">
        <v>191</v>
      </c>
    </row>
    <row r="33" spans="1:25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W33" s="12" t="s">
        <v>199</v>
      </c>
      <c r="X33" s="11" t="s">
        <v>13</v>
      </c>
      <c r="Y33" s="11">
        <v>0.28499999999999998</v>
      </c>
    </row>
    <row r="34" spans="1:25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W34" s="12" t="s">
        <v>216</v>
      </c>
      <c r="X34" s="11" t="s">
        <v>13</v>
      </c>
      <c r="Y34" s="11">
        <v>0.28499999999999998</v>
      </c>
    </row>
    <row r="35" spans="1:25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  <c r="W35" s="12" t="s">
        <v>200</v>
      </c>
      <c r="X35" s="11" t="s">
        <v>55</v>
      </c>
      <c r="Y35" s="11">
        <v>0.252</v>
      </c>
    </row>
    <row r="36" spans="1:25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  <c r="W36" s="12" t="s">
        <v>217</v>
      </c>
      <c r="X36" s="11" t="s">
        <v>55</v>
      </c>
      <c r="Y36" s="11">
        <v>0.252</v>
      </c>
    </row>
    <row r="37" spans="1:25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  <c r="W37" s="12" t="s">
        <v>201</v>
      </c>
      <c r="X37" s="11" t="s">
        <v>62</v>
      </c>
      <c r="Y37" s="11">
        <v>0.22</v>
      </c>
    </row>
    <row r="38" spans="1:25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  <c r="W38" s="12" t="s">
        <v>218</v>
      </c>
      <c r="X38" s="11" t="s">
        <v>62</v>
      </c>
      <c r="Y38" s="11">
        <v>0.22</v>
      </c>
    </row>
    <row r="39" spans="1:25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25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25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25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25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25" ht="34.950000000000003" customHeight="1" x14ac:dyDescent="0.25">
      <c r="G44" s="6"/>
    </row>
  </sheetData>
  <sheetProtection sheet="1" objects="1" scenarios="1" formatCells="0" formatColumns="0"/>
  <dataConsolidate/>
  <mergeCells count="34">
    <mergeCell ref="D30:F30"/>
    <mergeCell ref="O30:Q30"/>
    <mergeCell ref="A23:A26"/>
    <mergeCell ref="C23:C24"/>
    <mergeCell ref="D23:D26"/>
    <mergeCell ref="E23:E26"/>
    <mergeCell ref="J23:J26"/>
    <mergeCell ref="C25:C26"/>
    <mergeCell ref="A19:A22"/>
    <mergeCell ref="C19:C20"/>
    <mergeCell ref="D19:D22"/>
    <mergeCell ref="E19:E22"/>
    <mergeCell ref="J19:J22"/>
    <mergeCell ref="C21:C22"/>
    <mergeCell ref="A12:A13"/>
    <mergeCell ref="C12:C13"/>
    <mergeCell ref="D12:D13"/>
    <mergeCell ref="E12:E13"/>
    <mergeCell ref="J12:J13"/>
    <mergeCell ref="A16:A18"/>
    <mergeCell ref="C16:C18"/>
    <mergeCell ref="D16:D18"/>
    <mergeCell ref="E16:E18"/>
    <mergeCell ref="J16:J18"/>
    <mergeCell ref="C2:F2"/>
    <mergeCell ref="E5:F5"/>
    <mergeCell ref="E6:F6"/>
    <mergeCell ref="A8:J8"/>
    <mergeCell ref="L8:Q8"/>
    <mergeCell ref="A10:A11"/>
    <mergeCell ref="C10:C11"/>
    <mergeCell ref="D10:D11"/>
    <mergeCell ref="E10:E11"/>
    <mergeCell ref="J10:J11"/>
  </mergeCells>
  <conditionalFormatting sqref="N31">
    <cfRule type="cellIs" dxfId="468" priority="3" operator="greaterThanOrEqual">
      <formula>45.5</formula>
    </cfRule>
    <cfRule type="cellIs" dxfId="467" priority="4" operator="greaterThanOrEqual">
      <formula>40</formula>
    </cfRule>
  </conditionalFormatting>
  <conditionalFormatting sqref="M28:Q29 P26:Q26">
    <cfRule type="expression" dxfId="466" priority="5">
      <formula>$E$6=33</formula>
    </cfRule>
    <cfRule type="expression" dxfId="465" priority="6">
      <formula>$E$6=20</formula>
    </cfRule>
    <cfRule type="expression" dxfId="464" priority="7">
      <formula>$E$6=18</formula>
    </cfRule>
    <cfRule type="expression" dxfId="463" priority="8">
      <formula>$E$6=12</formula>
    </cfRule>
    <cfRule type="expression" dxfId="462" priority="9">
      <formula>$E$6=10</formula>
    </cfRule>
  </conditionalFormatting>
  <conditionalFormatting sqref="C31">
    <cfRule type="cellIs" dxfId="461" priority="1" operator="greaterThanOrEqual">
      <formula>50.5</formula>
    </cfRule>
    <cfRule type="cellIs" dxfId="460" priority="2" operator="greaterThanOrEqual">
      <formula>45</formula>
    </cfRule>
  </conditionalFormatting>
  <dataValidations disablePrompts="1" count="4">
    <dataValidation type="list" allowBlank="1" showInputMessage="1" showErrorMessage="1" sqref="I5">
      <formula1>"1,3,5,7,9"</formula1>
    </dataValidation>
    <dataValidation type="list" allowBlank="1" showInputMessage="1" showErrorMessage="1" sqref="D6">
      <formula1>"ขาว,ดำ"</formula1>
    </dataValidation>
    <dataValidation type="list" allowBlank="1" showInputMessage="1" showErrorMessage="1" sqref="E6">
      <formula1>"5,6,8,10,12,14,16,18,20,29,30,33"</formula1>
    </dataValidation>
    <dataValidation type="list" allowBlank="1" showInputMessage="1" showErrorMessage="1" sqref="I7">
      <formula1>"2,4,6,8,10"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rgb="FFFF0000"/>
  </sheetPr>
  <dimension ref="A1:AU44"/>
  <sheetViews>
    <sheetView view="pageBreakPreview" topLeftCell="B10" zoomScale="70" zoomScaleNormal="55" zoomScaleSheetLayoutView="70" workbookViewId="0">
      <selection activeCell="J19" sqref="J19:J22"/>
    </sheetView>
  </sheetViews>
  <sheetFormatPr defaultColWidth="8.8984375" defaultRowHeight="13.8" outlineLevelCol="1" x14ac:dyDescent="0.25"/>
  <cols>
    <col min="1" max="1" width="8.69921875" style="6" customWidth="1"/>
    <col min="2" max="2" width="30.3984375" style="2" bestFit="1" customWidth="1"/>
    <col min="3" max="3" width="16" style="2" customWidth="1"/>
    <col min="4" max="4" width="13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9" width="10.09765625" style="4" bestFit="1" customWidth="1"/>
    <col min="10" max="10" width="8.69921875" style="4" customWidth="1"/>
    <col min="11" max="11" width="5.69921875" style="6" customWidth="1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8.69921875" style="6" customWidth="1" outlineLevel="1"/>
    <col min="23" max="23" width="35.69921875" style="6" customWidth="1" outlineLevel="1"/>
    <col min="24" max="28" width="10.69921875" style="6" customWidth="1" outlineLevel="1"/>
    <col min="29" max="29" width="22" style="6" customWidth="1" outlineLevel="1"/>
    <col min="30" max="32" width="10.69921875" style="6" customWidth="1" outlineLevel="1"/>
    <col min="33" max="33" width="23.69921875" style="6" customWidth="1" outlineLevel="1"/>
    <col min="34" max="35" width="10.69921875" style="6" customWidth="1" outlineLevel="1"/>
    <col min="36" max="37" width="8.8984375" style="6" customWidth="1" outlineLevel="1"/>
    <col min="38" max="38" width="10.69921875" style="6" customWidth="1" outlineLevel="1"/>
    <col min="39" max="39" width="22" style="6" customWidth="1" outlineLevel="1"/>
    <col min="40" max="42" width="10.69921875" style="6" customWidth="1" outlineLevel="1"/>
    <col min="43" max="43" width="23.69921875" style="6" customWidth="1" outlineLevel="1"/>
    <col min="44" max="45" width="10.69921875" style="6" customWidth="1" outlineLevel="1"/>
    <col min="46" max="46" width="8.8984375" style="6" customWidth="1" outlineLevel="1"/>
    <col min="47" max="47" width="9.09765625" customWidth="1"/>
    <col min="48" max="16384" width="8.8984375" style="6"/>
  </cols>
  <sheetData>
    <row r="1" spans="1:34" ht="19.95" customHeight="1" x14ac:dyDescent="0.35">
      <c r="A1" s="1"/>
      <c r="H1" s="48"/>
      <c r="I1" s="101" t="s">
        <v>2</v>
      </c>
      <c r="J1" s="101">
        <v>1</v>
      </c>
    </row>
    <row r="2" spans="1:34" ht="19.95" customHeight="1" x14ac:dyDescent="0.35">
      <c r="A2" s="7"/>
      <c r="C2" s="144" t="s">
        <v>118</v>
      </c>
      <c r="D2" s="144"/>
      <c r="E2" s="144"/>
      <c r="F2" s="144"/>
      <c r="J2" s="112" t="s">
        <v>0</v>
      </c>
    </row>
    <row r="3" spans="1:34" ht="19.95" customHeight="1" x14ac:dyDescent="0.25">
      <c r="G3" s="6"/>
      <c r="H3" s="6"/>
      <c r="I3" s="6"/>
      <c r="J3" s="101">
        <v>2700</v>
      </c>
      <c r="AA3" s="4"/>
    </row>
    <row r="4" spans="1:34" ht="19.95" customHeight="1" x14ac:dyDescent="0.25">
      <c r="G4" s="4"/>
      <c r="H4" s="110" t="s">
        <v>220</v>
      </c>
      <c r="I4" s="111" t="s">
        <v>125</v>
      </c>
      <c r="J4" s="112" t="s">
        <v>3</v>
      </c>
      <c r="K4" s="4"/>
    </row>
    <row r="5" spans="1:34" ht="19.95" customHeight="1" x14ac:dyDescent="0.25">
      <c r="D5" s="120" t="s">
        <v>82</v>
      </c>
      <c r="E5" s="155" t="s">
        <v>53</v>
      </c>
      <c r="F5" s="155"/>
      <c r="G5" s="4"/>
      <c r="H5" s="4"/>
      <c r="I5" s="101">
        <v>5</v>
      </c>
      <c r="J5" s="101">
        <v>3000</v>
      </c>
    </row>
    <row r="6" spans="1:34" ht="19.95" customHeight="1" x14ac:dyDescent="0.25">
      <c r="D6" s="121" t="s">
        <v>83</v>
      </c>
      <c r="E6" s="156">
        <v>6</v>
      </c>
      <c r="F6" s="156"/>
      <c r="G6" s="4"/>
      <c r="H6" s="110" t="s">
        <v>219</v>
      </c>
      <c r="I6" s="111" t="s">
        <v>125</v>
      </c>
      <c r="J6" s="112" t="s">
        <v>3</v>
      </c>
      <c r="T6" s="79"/>
    </row>
    <row r="7" spans="1:34" ht="19.95" customHeight="1" x14ac:dyDescent="0.25">
      <c r="G7" s="4"/>
      <c r="H7" s="4"/>
      <c r="I7" s="101">
        <v>9</v>
      </c>
      <c r="J7" s="101">
        <v>3000</v>
      </c>
    </row>
    <row r="8" spans="1:34" s="9" customFormat="1" ht="19.95" customHeight="1" thickBot="1" x14ac:dyDescent="0.3">
      <c r="A8" s="145" t="s">
        <v>54</v>
      </c>
      <c r="B8" s="146"/>
      <c r="C8" s="146"/>
      <c r="D8" s="146"/>
      <c r="E8" s="146"/>
      <c r="F8" s="146"/>
      <c r="G8" s="146"/>
      <c r="H8" s="146"/>
      <c r="I8" s="146"/>
      <c r="J8" s="147"/>
      <c r="K8" s="19"/>
      <c r="L8" s="148" t="s">
        <v>84</v>
      </c>
      <c r="M8" s="148"/>
      <c r="N8" s="148"/>
      <c r="O8" s="148"/>
      <c r="P8" s="148"/>
      <c r="Q8" s="148"/>
      <c r="W8" s="6"/>
      <c r="X8" s="6"/>
      <c r="Y8" s="6"/>
      <c r="Z8" s="6"/>
    </row>
    <row r="9" spans="1:34" ht="40.200000000000003" customHeight="1" thickTop="1" thickBot="1" x14ac:dyDescent="0.3">
      <c r="A9" s="20" t="s">
        <v>8</v>
      </c>
      <c r="B9" s="20" t="s">
        <v>5</v>
      </c>
      <c r="C9" s="20" t="s">
        <v>12</v>
      </c>
      <c r="D9" s="20" t="s">
        <v>9</v>
      </c>
      <c r="E9" s="20" t="s">
        <v>14</v>
      </c>
      <c r="F9" s="22" t="s">
        <v>50</v>
      </c>
      <c r="G9" s="20" t="s">
        <v>6</v>
      </c>
      <c r="H9" s="21" t="s">
        <v>4</v>
      </c>
      <c r="I9" s="22" t="s">
        <v>87</v>
      </c>
      <c r="J9" s="22" t="s">
        <v>51</v>
      </c>
      <c r="K9" s="23"/>
      <c r="L9" s="20" t="s">
        <v>8</v>
      </c>
      <c r="M9" s="20" t="s">
        <v>5</v>
      </c>
      <c r="N9" s="20" t="s">
        <v>52</v>
      </c>
      <c r="O9" s="20" t="s">
        <v>21</v>
      </c>
      <c r="P9" s="22" t="s">
        <v>50</v>
      </c>
      <c r="Q9" s="20" t="s">
        <v>7</v>
      </c>
      <c r="R9" s="10" t="s">
        <v>42</v>
      </c>
      <c r="V9" s="81" t="s">
        <v>220</v>
      </c>
      <c r="X9" s="104">
        <v>1</v>
      </c>
      <c r="Y9" s="105">
        <v>3</v>
      </c>
      <c r="Z9" s="105">
        <v>5</v>
      </c>
      <c r="AA9" s="105">
        <v>7</v>
      </c>
      <c r="AB9" s="106">
        <v>9</v>
      </c>
      <c r="AC9" s="75" t="s">
        <v>226</v>
      </c>
      <c r="AD9" s="104">
        <v>1</v>
      </c>
      <c r="AE9" s="105">
        <v>3</v>
      </c>
      <c r="AF9" s="105">
        <v>5</v>
      </c>
      <c r="AG9" s="105">
        <v>7</v>
      </c>
      <c r="AH9" s="106">
        <v>9</v>
      </c>
    </row>
    <row r="10" spans="1:34" ht="34.950000000000003" customHeight="1" thickTop="1" x14ac:dyDescent="0.25">
      <c r="A10" s="151">
        <v>1</v>
      </c>
      <c r="B10" s="26" t="s">
        <v>231</v>
      </c>
      <c r="C10" s="151"/>
      <c r="D10" s="151" t="s">
        <v>43</v>
      </c>
      <c r="E10" s="151">
        <v>2.7669999999999999</v>
      </c>
      <c r="F10" s="25">
        <v>1</v>
      </c>
      <c r="G10" s="25" t="s">
        <v>158</v>
      </c>
      <c r="H10" s="27">
        <f>$J$5-18</f>
        <v>2982</v>
      </c>
      <c r="I10" s="25">
        <f t="shared" ref="I10:I26" si="0">F10*$J$1</f>
        <v>1</v>
      </c>
      <c r="J10" s="151">
        <f>ROUNDUP(((H10*I10)+(H11*I11))/6400,0)</f>
        <v>1</v>
      </c>
      <c r="K10" s="28"/>
      <c r="L10" s="25">
        <v>1</v>
      </c>
      <c r="M10" s="29" t="s">
        <v>24</v>
      </c>
      <c r="N10" s="25"/>
      <c r="O10" s="25" t="str">
        <f t="shared" ref="O10:O16" si="1">IF($D$6="ขาว","ขาว","ดำ")</f>
        <v>ขาว</v>
      </c>
      <c r="P10" s="109" t="str">
        <f>IF(AND($I$5=1,$I$7=1),X10+AD10,"")&amp;IF(AND($I$5=1,$I$7=3),X10+AE10,"")&amp;IF(AND($I$5=1,$I$7=5),X10+AF10,"")&amp;IF(AND($I$5=1,$I$7=7),X10+AG10,"")&amp;IF(AND($I$5=1,$I$7=9),X10+AH10,"")&amp;IF(AND($I$5=3,$I$7=1),Y10+AD10,"")&amp;IF(AND($I$5=3,$I$7=3),Y10+AE10,"")&amp;IF(AND($I$5=3,$I$7=5),Y10+AF10,"")&amp;IF(AND($I$5=3,$I$7=7),Y10+AG10,"")&amp;IF(AND($I$5=3,$I$7=9),Y10+AH10,"")&amp;IF(AND($I$5=5,$I$7=1),Z10+AD10,"")&amp;IF(AND($I$5=5,$I$7=3),Z10+AE10,"")&amp;IF(AND($I$5=5,$I$7=5),Z10+AF10,"")&amp;IF(AND($I$5=5,$I$7=7),Z10+AG10,"")&amp;IF(AND($I$5=5,$I$7=9),Z10+AH10,"")&amp;IF(AND($I$5=7,$I$7=1),AA10+AD10,"")&amp;IF(AND($I$5=7,$I$7=3),AA10+AE10,"")&amp;IF(AND($I$5=7,$I$7=5),AA10+AF10,"")&amp;IF(AND($I$5=7,$I$7=7),AA10+AG10,"")&amp;IF(AND($I$5=7,$I$7=9),AA10+AH10,"")&amp;IF(AND($I$5=9,$I$7=1),AB10+AD10,"")&amp;IF(AND($I$5=9,$I$7=3),AB10+AE10,"")&amp;IF(AND($I$5=9,$I$7=5),AB10+AF10,"")&amp;IF(AND($I$5=9,$I$7=7),AB10+AG10,"")&amp;IF(AND($I$5=9,$I$7=9),AB10+AH10,"")</f>
        <v>6</v>
      </c>
      <c r="Q10" s="25">
        <f>$J$1*P10</f>
        <v>6</v>
      </c>
      <c r="R10" s="13">
        <v>299</v>
      </c>
      <c r="V10" s="98">
        <v>1</v>
      </c>
      <c r="W10" s="99" t="s">
        <v>24</v>
      </c>
      <c r="X10" s="100">
        <v>0</v>
      </c>
      <c r="Y10" s="103">
        <v>1</v>
      </c>
      <c r="Z10" s="103">
        <v>2</v>
      </c>
      <c r="AA10" s="103">
        <v>3</v>
      </c>
      <c r="AB10" s="103">
        <v>4</v>
      </c>
      <c r="AC10" s="102"/>
      <c r="AD10" s="100">
        <v>0</v>
      </c>
      <c r="AE10" s="103">
        <v>1</v>
      </c>
      <c r="AF10" s="103">
        <v>2</v>
      </c>
      <c r="AG10" s="103">
        <v>3</v>
      </c>
      <c r="AH10" s="103">
        <v>4</v>
      </c>
    </row>
    <row r="11" spans="1:34" ht="34.950000000000003" customHeight="1" x14ac:dyDescent="0.25">
      <c r="A11" s="152"/>
      <c r="B11" s="26" t="s">
        <v>232</v>
      </c>
      <c r="C11" s="152"/>
      <c r="D11" s="152"/>
      <c r="E11" s="152"/>
      <c r="F11" s="25">
        <v>1</v>
      </c>
      <c r="G11" s="25" t="s">
        <v>159</v>
      </c>
      <c r="H11" s="27">
        <f>$J$7-18</f>
        <v>2982</v>
      </c>
      <c r="I11" s="25">
        <f t="shared" si="0"/>
        <v>1</v>
      </c>
      <c r="J11" s="152"/>
      <c r="K11" s="28"/>
      <c r="L11" s="25">
        <v>2</v>
      </c>
      <c r="M11" s="29" t="s">
        <v>25</v>
      </c>
      <c r="N11" s="25"/>
      <c r="O11" s="25" t="str">
        <f t="shared" si="1"/>
        <v>ขาว</v>
      </c>
      <c r="P11" s="109" t="str">
        <f>IF(AND($I$5=1,$I$7=1),X11+AD11,"")&amp;IF(AND($I$5=1,$I$7=3),X11+AE11,"")&amp;IF(AND($I$5=1,$I$7=5),X11+AF11,"")&amp;IF(AND($I$5=1,$I$7=7),X11+AG11,"")&amp;IF(AND($I$5=1,$I$7=9),X11+AH11,"")&amp;IF(AND($I$5=3,$I$7=1),Y11+AD11,"")&amp;IF(AND($I$5=3,$I$7=3),Y11+AE11,"")&amp;IF(AND($I$5=3,$I$7=5),Y11+AF11,"")&amp;IF(AND($I$5=3,$I$7=7),Y11+AG11,"")&amp;IF(AND($I$5=3,$I$7=9),Y11+AH11,"")&amp;IF(AND($I$5=5,$I$7=1),Z11+AD11,"")&amp;IF(AND($I$5=5,$I$7=3),Z11+AE11,"")&amp;IF(AND($I$5=5,$I$7=5),Z11+AF11,"")&amp;IF(AND($I$5=5,$I$7=7),Z11+AG11,"")&amp;IF(AND($I$5=5,$I$7=9),Z11+AH11,"")&amp;IF(AND($I$5=7,$I$7=1),AA11+AD11,"")&amp;IF(AND($I$5=7,$I$7=3),AA11+AE11,"")&amp;IF(AND($I$5=7,$I$7=5),AA11+AF11,"")&amp;IF(AND($I$5=7,$I$7=7),AA11+AG11,"")&amp;IF(AND($I$5=7,$I$7=9),AA11+AH11,"")&amp;IF(AND($I$5=9,$I$7=1),AB11+AD11,"")&amp;IF(AND($I$5=9,$I$7=3),AB11+AE11,"")&amp;IF(AND($I$5=9,$I$7=5),AB11+AF11,"")&amp;IF(AND($I$5=9,$I$7=7),AB11+AG11,"")&amp;IF(AND($I$5=9,$I$7=9),AB11+AH11,"")</f>
        <v>30</v>
      </c>
      <c r="Q11" s="25">
        <f t="shared" ref="Q11:Q17" si="2">$J$1*P11</f>
        <v>30</v>
      </c>
      <c r="R11" s="13">
        <v>72</v>
      </c>
      <c r="V11" s="98">
        <v>2</v>
      </c>
      <c r="W11" s="99" t="s">
        <v>25</v>
      </c>
      <c r="X11" s="101">
        <f>IF($J$3&lt;=2700,3,4)</f>
        <v>3</v>
      </c>
      <c r="Y11" s="101">
        <f>IF($J$3&lt;=2700,7,10)</f>
        <v>7</v>
      </c>
      <c r="Z11" s="101">
        <f>IF($J$3&lt;=2700,11,16)</f>
        <v>11</v>
      </c>
      <c r="AA11" s="101">
        <f>IF($J$3&lt;=2700,15,22)</f>
        <v>15</v>
      </c>
      <c r="AB11" s="101">
        <f>IF($J$3&lt;=2700,19,28)</f>
        <v>19</v>
      </c>
      <c r="AC11" s="102"/>
      <c r="AD11" s="101">
        <f>IF($J$3&lt;=2700,3,4)</f>
        <v>3</v>
      </c>
      <c r="AE11" s="101">
        <f>IF($J$3&lt;=2700,7,10)</f>
        <v>7</v>
      </c>
      <c r="AF11" s="101">
        <f>IF($J$3&lt;=2700,11,16)</f>
        <v>11</v>
      </c>
      <c r="AG11" s="101">
        <f>IF($J$3&lt;=2700,15,22)</f>
        <v>15</v>
      </c>
      <c r="AH11" s="101">
        <f>IF($J$3&lt;=2700,19,28)</f>
        <v>19</v>
      </c>
    </row>
    <row r="12" spans="1:34" ht="34.950000000000003" customHeight="1" x14ac:dyDescent="0.25">
      <c r="A12" s="141">
        <v>2</v>
      </c>
      <c r="B12" s="46" t="s">
        <v>254</v>
      </c>
      <c r="C12" s="141"/>
      <c r="D12" s="141" t="s">
        <v>139</v>
      </c>
      <c r="E12" s="141">
        <v>0.30299999999999999</v>
      </c>
      <c r="F12" s="117">
        <v>1</v>
      </c>
      <c r="G12" s="117" t="s">
        <v>158</v>
      </c>
      <c r="H12" s="47">
        <f>$J$5-18</f>
        <v>2982</v>
      </c>
      <c r="I12" s="117">
        <f t="shared" si="0"/>
        <v>1</v>
      </c>
      <c r="J12" s="141">
        <f>ROUNDUP(((H12*I12)+(H13*I13))/6400,0)</f>
        <v>1</v>
      </c>
      <c r="K12" s="28"/>
      <c r="L12" s="25">
        <v>3</v>
      </c>
      <c r="M12" s="29" t="s">
        <v>26</v>
      </c>
      <c r="N12" s="25"/>
      <c r="O12" s="25" t="str">
        <f t="shared" si="1"/>
        <v>ขาว</v>
      </c>
      <c r="P12" s="109" t="str">
        <f t="shared" ref="P12:P18" si="3">IF(AND($I$5=1,$I$7=1),X12+AD12,"")&amp;IF(AND($I$5=1,$I$7=3),X12+AE12,"")&amp;IF(AND($I$5=1,$I$7=5),X12+AF12,"")&amp;IF(AND($I$5=1,$I$7=7),X12+AG12,"")&amp;IF(AND($I$5=1,$I$7=9),X12+AH12,"")&amp;IF(AND($I$5=3,$I$7=1),Y12+AD12,"")&amp;IF(AND($I$5=3,$I$7=3),Y12+AE12,"")&amp;IF(AND($I$5=3,$I$7=5),Y12+AF12,"")&amp;IF(AND($I$5=3,$I$7=7),Y12+AG12,"")&amp;IF(AND($I$5=3,$I$7=9),Y12+AH12,"")&amp;IF(AND($I$5=5,$I$7=1),Z12+AD12,"")&amp;IF(AND($I$5=5,$I$7=3),Z12+AE12,"")&amp;IF(AND($I$5=5,$I$7=5),Z12+AF12,"")&amp;IF(AND($I$5=5,$I$7=7),Z12+AG12,"")&amp;IF(AND($I$5=5,$I$7=9),Z12+AH12,"")&amp;IF(AND($I$5=7,$I$7=1),AA12+AD12,"")&amp;IF(AND($I$5=7,$I$7=3),AA12+AE12,"")&amp;IF(AND($I$5=7,$I$7=5),AA12+AF12,"")&amp;IF(AND($I$5=7,$I$7=7),AA12+AG12,"")&amp;IF(AND($I$5=7,$I$7=9),AA12+AH12,"")&amp;IF(AND($I$5=9,$I$7=1),AB12+AD12,"")&amp;IF(AND($I$5=9,$I$7=3),AB12+AE12,"")&amp;IF(AND($I$5=9,$I$7=5),AB12+AF12,"")&amp;IF(AND($I$5=9,$I$7=7),AB12+AG12,"")&amp;IF(AND($I$5=9,$I$7=9),AB12+AH12,"")</f>
        <v>6</v>
      </c>
      <c r="Q12" s="25">
        <f t="shared" si="2"/>
        <v>6</v>
      </c>
      <c r="R12" s="13">
        <v>109</v>
      </c>
      <c r="V12" s="98">
        <v>3</v>
      </c>
      <c r="W12" s="99" t="s">
        <v>26</v>
      </c>
      <c r="X12" s="98">
        <v>0</v>
      </c>
      <c r="Y12" s="101">
        <v>1</v>
      </c>
      <c r="Z12" s="101">
        <v>2</v>
      </c>
      <c r="AA12" s="101">
        <v>3</v>
      </c>
      <c r="AB12" s="101">
        <v>4</v>
      </c>
      <c r="AC12" s="102"/>
      <c r="AD12" s="98">
        <v>0</v>
      </c>
      <c r="AE12" s="101">
        <v>1</v>
      </c>
      <c r="AF12" s="101">
        <v>2</v>
      </c>
      <c r="AG12" s="101">
        <v>3</v>
      </c>
      <c r="AH12" s="101">
        <v>4</v>
      </c>
    </row>
    <row r="13" spans="1:34" ht="34.950000000000003" customHeight="1" x14ac:dyDescent="0.25">
      <c r="A13" s="143"/>
      <c r="B13" s="46" t="s">
        <v>255</v>
      </c>
      <c r="C13" s="143"/>
      <c r="D13" s="143"/>
      <c r="E13" s="143"/>
      <c r="F13" s="117">
        <v>1</v>
      </c>
      <c r="G13" s="117" t="s">
        <v>159</v>
      </c>
      <c r="H13" s="47">
        <f>$J$7-18</f>
        <v>2982</v>
      </c>
      <c r="I13" s="117">
        <f t="shared" si="0"/>
        <v>1</v>
      </c>
      <c r="J13" s="143"/>
      <c r="K13" s="28"/>
      <c r="L13" s="25">
        <v>4</v>
      </c>
      <c r="M13" s="29" t="s">
        <v>27</v>
      </c>
      <c r="N13" s="25"/>
      <c r="O13" s="25" t="str">
        <f t="shared" si="1"/>
        <v>ขาว</v>
      </c>
      <c r="P13" s="109" t="str">
        <f t="shared" si="3"/>
        <v>6</v>
      </c>
      <c r="Q13" s="25">
        <f t="shared" si="2"/>
        <v>6</v>
      </c>
      <c r="R13" s="13">
        <v>199</v>
      </c>
      <c r="V13" s="98">
        <v>4</v>
      </c>
      <c r="W13" s="99" t="s">
        <v>27</v>
      </c>
      <c r="X13" s="98">
        <v>0</v>
      </c>
      <c r="Y13" s="101">
        <v>1</v>
      </c>
      <c r="Z13" s="101">
        <v>2</v>
      </c>
      <c r="AA13" s="101">
        <v>3</v>
      </c>
      <c r="AB13" s="101">
        <v>4</v>
      </c>
      <c r="AC13" s="102"/>
      <c r="AD13" s="98">
        <v>0</v>
      </c>
      <c r="AE13" s="101">
        <v>1</v>
      </c>
      <c r="AF13" s="101">
        <v>2</v>
      </c>
      <c r="AG13" s="101">
        <v>3</v>
      </c>
      <c r="AH13" s="101">
        <v>4</v>
      </c>
    </row>
    <row r="14" spans="1:34" ht="34.950000000000003" customHeight="1" x14ac:dyDescent="0.25">
      <c r="A14" s="39">
        <v>3</v>
      </c>
      <c r="B14" s="56" t="s">
        <v>34</v>
      </c>
      <c r="C14" s="56"/>
      <c r="D14" s="39" t="s">
        <v>45</v>
      </c>
      <c r="E14" s="39">
        <v>0.93400000000000005</v>
      </c>
      <c r="F14" s="39">
        <v>2</v>
      </c>
      <c r="G14" s="39" t="s">
        <v>0</v>
      </c>
      <c r="H14" s="40">
        <f>$J$3</f>
        <v>2700</v>
      </c>
      <c r="I14" s="39">
        <f t="shared" si="0"/>
        <v>2</v>
      </c>
      <c r="J14" s="39">
        <f t="shared" ref="J14:J15" si="4">ROUNDUP((H14*I14)/6400,0)</f>
        <v>1</v>
      </c>
      <c r="K14" s="28"/>
      <c r="L14" s="25">
        <v>5</v>
      </c>
      <c r="M14" s="29" t="s">
        <v>22</v>
      </c>
      <c r="N14" s="25"/>
      <c r="O14" s="25" t="str">
        <f t="shared" si="1"/>
        <v>ขาว</v>
      </c>
      <c r="P14" s="109" t="str">
        <f t="shared" si="3"/>
        <v>6</v>
      </c>
      <c r="Q14" s="25">
        <f t="shared" si="2"/>
        <v>6</v>
      </c>
      <c r="R14" s="13">
        <v>85</v>
      </c>
      <c r="V14" s="98">
        <v>5</v>
      </c>
      <c r="W14" s="99" t="s">
        <v>22</v>
      </c>
      <c r="X14" s="98">
        <v>0</v>
      </c>
      <c r="Y14" s="101">
        <v>1</v>
      </c>
      <c r="Z14" s="101">
        <v>2</v>
      </c>
      <c r="AA14" s="101">
        <v>3</v>
      </c>
      <c r="AB14" s="101">
        <v>4</v>
      </c>
      <c r="AC14" s="102"/>
      <c r="AD14" s="98">
        <v>0</v>
      </c>
      <c r="AE14" s="101">
        <v>1</v>
      </c>
      <c r="AF14" s="101">
        <v>2</v>
      </c>
      <c r="AG14" s="101">
        <v>3</v>
      </c>
      <c r="AH14" s="101">
        <v>4</v>
      </c>
    </row>
    <row r="15" spans="1:34" ht="34.950000000000003" customHeight="1" x14ac:dyDescent="0.25">
      <c r="A15" s="39">
        <v>4</v>
      </c>
      <c r="B15" s="56" t="s">
        <v>31</v>
      </c>
      <c r="C15" s="56"/>
      <c r="D15" s="39" t="s">
        <v>46</v>
      </c>
      <c r="E15" s="39">
        <v>0.4</v>
      </c>
      <c r="F15" s="39">
        <v>2</v>
      </c>
      <c r="G15" s="39" t="s">
        <v>140</v>
      </c>
      <c r="H15" s="40">
        <f>$J$3-75</f>
        <v>2625</v>
      </c>
      <c r="I15" s="39">
        <f t="shared" si="0"/>
        <v>2</v>
      </c>
      <c r="J15" s="39">
        <f t="shared" si="4"/>
        <v>1</v>
      </c>
      <c r="K15" s="28"/>
      <c r="L15" s="25">
        <v>6</v>
      </c>
      <c r="M15" s="29" t="s">
        <v>23</v>
      </c>
      <c r="N15" s="25"/>
      <c r="O15" s="25" t="str">
        <f t="shared" si="1"/>
        <v>ขาว</v>
      </c>
      <c r="P15" s="109" t="str">
        <f t="shared" si="3"/>
        <v>6</v>
      </c>
      <c r="Q15" s="25">
        <f t="shared" si="2"/>
        <v>6</v>
      </c>
      <c r="R15" s="13">
        <v>88</v>
      </c>
      <c r="V15" s="98">
        <v>6</v>
      </c>
      <c r="W15" s="99" t="s">
        <v>23</v>
      </c>
      <c r="X15" s="98">
        <v>0</v>
      </c>
      <c r="Y15" s="101">
        <v>1</v>
      </c>
      <c r="Z15" s="101">
        <v>2</v>
      </c>
      <c r="AA15" s="101">
        <v>3</v>
      </c>
      <c r="AB15" s="101">
        <v>4</v>
      </c>
      <c r="AC15" s="102"/>
      <c r="AD15" s="98">
        <v>0</v>
      </c>
      <c r="AE15" s="101">
        <v>1</v>
      </c>
      <c r="AF15" s="101">
        <v>2</v>
      </c>
      <c r="AG15" s="101">
        <v>3</v>
      </c>
      <c r="AH15" s="101">
        <v>4</v>
      </c>
    </row>
    <row r="16" spans="1:34" ht="34.950000000000003" customHeight="1" x14ac:dyDescent="0.25">
      <c r="A16" s="141">
        <v>5</v>
      </c>
      <c r="B16" s="46" t="s">
        <v>15</v>
      </c>
      <c r="C16" s="141"/>
      <c r="D16" s="141" t="s">
        <v>48</v>
      </c>
      <c r="E16" s="141">
        <v>0.19</v>
      </c>
      <c r="F16" s="117">
        <v>2</v>
      </c>
      <c r="G16" s="117" t="s">
        <v>140</v>
      </c>
      <c r="H16" s="47">
        <f>$J$3-75</f>
        <v>2625</v>
      </c>
      <c r="I16" s="117">
        <f t="shared" si="0"/>
        <v>2</v>
      </c>
      <c r="J16" s="141">
        <f>ROUNDUP(((H16*I16)+(H17*I17)+(H18*I18))/6400,0)</f>
        <v>2</v>
      </c>
      <c r="K16" s="28"/>
      <c r="L16" s="25">
        <v>7</v>
      </c>
      <c r="M16" s="29" t="s">
        <v>29</v>
      </c>
      <c r="N16" s="25"/>
      <c r="O16" s="25" t="str">
        <f t="shared" si="1"/>
        <v>ขาว</v>
      </c>
      <c r="P16" s="109" t="str">
        <f t="shared" si="3"/>
        <v>12</v>
      </c>
      <c r="Q16" s="25">
        <f t="shared" si="2"/>
        <v>12</v>
      </c>
      <c r="R16" s="13">
        <v>73</v>
      </c>
      <c r="S16" s="6">
        <f>((H19*I19)/1000)*E19</f>
        <v>38.570459999999997</v>
      </c>
      <c r="V16" s="98">
        <v>7</v>
      </c>
      <c r="W16" s="99" t="s">
        <v>29</v>
      </c>
      <c r="X16" s="98">
        <v>0</v>
      </c>
      <c r="Y16" s="101">
        <f>Y15*2</f>
        <v>2</v>
      </c>
      <c r="Z16" s="101">
        <f t="shared" ref="Z16:AB16" si="5">Z15*2</f>
        <v>4</v>
      </c>
      <c r="AA16" s="101">
        <f t="shared" si="5"/>
        <v>6</v>
      </c>
      <c r="AB16" s="101">
        <f t="shared" si="5"/>
        <v>8</v>
      </c>
      <c r="AC16" s="102"/>
      <c r="AD16" s="98">
        <v>0</v>
      </c>
      <c r="AE16" s="101">
        <f>AE15*2</f>
        <v>2</v>
      </c>
      <c r="AF16" s="101">
        <f t="shared" ref="AF16:AH16" si="6">AF15*2</f>
        <v>4</v>
      </c>
      <c r="AG16" s="101">
        <f t="shared" si="6"/>
        <v>6</v>
      </c>
      <c r="AH16" s="101">
        <f t="shared" si="6"/>
        <v>8</v>
      </c>
    </row>
    <row r="17" spans="1:45" ht="34.950000000000003" customHeight="1" x14ac:dyDescent="0.25">
      <c r="A17" s="142"/>
      <c r="B17" s="46" t="s">
        <v>234</v>
      </c>
      <c r="C17" s="142"/>
      <c r="D17" s="142"/>
      <c r="E17" s="142"/>
      <c r="F17" s="117">
        <v>1</v>
      </c>
      <c r="G17" s="117" t="s">
        <v>160</v>
      </c>
      <c r="H17" s="47">
        <f>$J$5-18-58</f>
        <v>2924</v>
      </c>
      <c r="I17" s="117">
        <f t="shared" si="0"/>
        <v>1</v>
      </c>
      <c r="J17" s="142"/>
      <c r="K17" s="28"/>
      <c r="L17" s="25">
        <v>12</v>
      </c>
      <c r="M17" s="29" t="s">
        <v>35</v>
      </c>
      <c r="N17" s="30"/>
      <c r="O17" s="25" t="s">
        <v>1</v>
      </c>
      <c r="P17" s="109" t="str">
        <f t="shared" si="3"/>
        <v>56</v>
      </c>
      <c r="Q17" s="25">
        <f t="shared" si="2"/>
        <v>56</v>
      </c>
      <c r="R17" s="13">
        <v>15</v>
      </c>
      <c r="S17" s="6">
        <f>((H21*I21)/1000)*E21</f>
        <v>0</v>
      </c>
      <c r="V17" s="98">
        <v>12</v>
      </c>
      <c r="W17" s="99" t="s">
        <v>35</v>
      </c>
      <c r="X17" s="98">
        <f>X$9*4</f>
        <v>4</v>
      </c>
      <c r="Y17" s="98">
        <f t="shared" ref="Y17:AH17" si="7">Y$9*4</f>
        <v>12</v>
      </c>
      <c r="Z17" s="98">
        <f t="shared" si="7"/>
        <v>20</v>
      </c>
      <c r="AA17" s="98">
        <f t="shared" si="7"/>
        <v>28</v>
      </c>
      <c r="AB17" s="98">
        <f t="shared" si="7"/>
        <v>36</v>
      </c>
      <c r="AC17" s="102"/>
      <c r="AD17" s="98">
        <f>AD$9*4</f>
        <v>4</v>
      </c>
      <c r="AE17" s="98">
        <f t="shared" si="7"/>
        <v>12</v>
      </c>
      <c r="AF17" s="98">
        <f t="shared" si="7"/>
        <v>20</v>
      </c>
      <c r="AG17" s="98">
        <f t="shared" si="7"/>
        <v>28</v>
      </c>
      <c r="AH17" s="98">
        <f t="shared" si="7"/>
        <v>36</v>
      </c>
    </row>
    <row r="18" spans="1:45" ht="34.950000000000003" customHeight="1" x14ac:dyDescent="0.25">
      <c r="A18" s="143"/>
      <c r="B18" s="46" t="s">
        <v>227</v>
      </c>
      <c r="C18" s="143"/>
      <c r="D18" s="143"/>
      <c r="E18" s="143"/>
      <c r="F18" s="117">
        <v>1</v>
      </c>
      <c r="G18" s="117" t="s">
        <v>161</v>
      </c>
      <c r="H18" s="47">
        <f>$J$7-18-58</f>
        <v>2924</v>
      </c>
      <c r="I18" s="117">
        <f t="shared" si="0"/>
        <v>1</v>
      </c>
      <c r="J18" s="143"/>
      <c r="K18" s="28"/>
      <c r="L18" s="25">
        <v>13</v>
      </c>
      <c r="M18" s="29" t="s">
        <v>36</v>
      </c>
      <c r="N18" s="30"/>
      <c r="O18" s="25" t="s">
        <v>1</v>
      </c>
      <c r="P18" s="109" t="str">
        <f t="shared" si="3"/>
        <v>168</v>
      </c>
      <c r="Q18" s="25">
        <f>$J$1*P18</f>
        <v>168</v>
      </c>
      <c r="R18" s="13">
        <v>1.5</v>
      </c>
      <c r="V18" s="98">
        <v>13</v>
      </c>
      <c r="W18" s="99" t="s">
        <v>36</v>
      </c>
      <c r="X18" s="98">
        <f>X$9*12</f>
        <v>12</v>
      </c>
      <c r="Y18" s="98">
        <f t="shared" ref="Y18:AH18" si="8">Y$9*12</f>
        <v>36</v>
      </c>
      <c r="Z18" s="98">
        <f t="shared" si="8"/>
        <v>60</v>
      </c>
      <c r="AA18" s="98">
        <f t="shared" si="8"/>
        <v>84</v>
      </c>
      <c r="AB18" s="98">
        <f t="shared" si="8"/>
        <v>108</v>
      </c>
      <c r="AC18" s="102"/>
      <c r="AD18" s="98">
        <f>AD$9*12</f>
        <v>12</v>
      </c>
      <c r="AE18" s="98">
        <f t="shared" si="8"/>
        <v>36</v>
      </c>
      <c r="AF18" s="98">
        <f t="shared" si="8"/>
        <v>60</v>
      </c>
      <c r="AG18" s="98">
        <f t="shared" si="8"/>
        <v>84</v>
      </c>
      <c r="AH18" s="98">
        <f t="shared" si="8"/>
        <v>108</v>
      </c>
    </row>
    <row r="19" spans="1:45" ht="34.950000000000003" customHeight="1" x14ac:dyDescent="0.25">
      <c r="A19" s="138">
        <v>6</v>
      </c>
      <c r="B19" s="56" t="s">
        <v>235</v>
      </c>
      <c r="C19" s="138"/>
      <c r="D19" s="138" t="s">
        <v>47</v>
      </c>
      <c r="E19" s="138">
        <v>1.466</v>
      </c>
      <c r="F19" s="39">
        <f>IF($I$5=1,$AP$25,IF($I$5=3,$AP$26,IF($I$5=5,$AP$27,IF($I$5=7,$AP$28,IF($I$5=9,$AP$29,)))))</f>
        <v>10</v>
      </c>
      <c r="G19" s="39" t="s">
        <v>262</v>
      </c>
      <c r="H19" s="40">
        <f>$J$3-55-7-7</f>
        <v>2631</v>
      </c>
      <c r="I19" s="39">
        <f>F19*$J$1</f>
        <v>10</v>
      </c>
      <c r="J19" s="138">
        <f>ROUNDUP(((H19*I19)+(H20*I20)+(H21*I21+(H22*I22)))/6400,0)</f>
        <v>13</v>
      </c>
      <c r="K19" s="28"/>
      <c r="L19" s="25">
        <v>14</v>
      </c>
      <c r="M19" s="12" t="s">
        <v>28</v>
      </c>
      <c r="N19" s="57"/>
      <c r="O19" s="25" t="str">
        <f>IF($D$6="ขาว","ขาว","ดำ")</f>
        <v>ขาว</v>
      </c>
      <c r="P19" s="25">
        <v>1</v>
      </c>
      <c r="Q19" s="25">
        <f t="shared" ref="Q19:Q22" si="9">$J$1*P19</f>
        <v>1</v>
      </c>
    </row>
    <row r="20" spans="1:45" ht="34.950000000000003" customHeight="1" x14ac:dyDescent="0.25">
      <c r="A20" s="139"/>
      <c r="B20" s="56" t="s">
        <v>228</v>
      </c>
      <c r="C20" s="140"/>
      <c r="D20" s="139"/>
      <c r="E20" s="139"/>
      <c r="F20" s="39">
        <f>IF($I$7=1,$AF$25,IF($I$7=3,$AF$26,IF($I$7=5,$AF$27,IF($I$7=7,$AF$28,IF($I$7=9,$AF$29,)))))</f>
        <v>18</v>
      </c>
      <c r="G20" s="39" t="s">
        <v>262</v>
      </c>
      <c r="H20" s="40">
        <f>$J$3-55-7-7</f>
        <v>2631</v>
      </c>
      <c r="I20" s="39">
        <f t="shared" si="0"/>
        <v>18</v>
      </c>
      <c r="J20" s="139"/>
      <c r="K20" s="28"/>
      <c r="L20" s="25">
        <v>15</v>
      </c>
      <c r="M20" s="12" t="s">
        <v>100</v>
      </c>
      <c r="N20" s="57"/>
      <c r="O20" s="57" t="s">
        <v>1</v>
      </c>
      <c r="P20" s="25">
        <v>1</v>
      </c>
      <c r="Q20" s="25">
        <f t="shared" si="9"/>
        <v>1</v>
      </c>
      <c r="S20" s="6">
        <f>((H23*I23)/1000)*E23</f>
        <v>7.0423499999999999</v>
      </c>
    </row>
    <row r="21" spans="1:45" ht="34.950000000000003" customHeight="1" x14ac:dyDescent="0.25">
      <c r="A21" s="139"/>
      <c r="B21" s="56" t="s">
        <v>236</v>
      </c>
      <c r="C21" s="138"/>
      <c r="D21" s="139"/>
      <c r="E21" s="139"/>
      <c r="F21" s="39">
        <f>IF($I$5=1,$AP$25,IF($I$5=3,$AP$26,IF($I$5=5,$AP$27,IF($I$5=7,$AP$28,IF($I$5=9,$AP$29,)))))</f>
        <v>10</v>
      </c>
      <c r="G21" s="39" t="str">
        <f>IF($I$5=1,$AQ$25,IF($I$5=3,$AQ$26,IF($I$5=5,$AQ$27,IF($I$5=7,$AQ$28,IF($I$5=9,$AQ$29,)))))</f>
        <v>(W-18-9.5-(8x4)-77)/5</v>
      </c>
      <c r="H21" s="40">
        <f>IF($I$5=1,$AR$25,IF($I$5=3,$AR$26,IF($I$5=5,$AR$27,IF($I$5=7,$AR$28,IF($I$5=9,$AR$29,)))))</f>
        <v>572.70000000000005</v>
      </c>
      <c r="I21" s="39">
        <f t="shared" si="0"/>
        <v>10</v>
      </c>
      <c r="J21" s="139"/>
      <c r="K21" s="28"/>
      <c r="L21" s="25">
        <v>16</v>
      </c>
      <c r="M21" s="12" t="s">
        <v>37</v>
      </c>
      <c r="N21" s="57"/>
      <c r="O21" s="57" t="s">
        <v>1</v>
      </c>
      <c r="P21" s="25">
        <v>1</v>
      </c>
      <c r="Q21" s="25">
        <f t="shared" si="9"/>
        <v>1</v>
      </c>
      <c r="S21" s="6">
        <f>((H25*I25)/1000)*E25</f>
        <v>0</v>
      </c>
    </row>
    <row r="22" spans="1:45" ht="34.950000000000003" customHeight="1" x14ac:dyDescent="0.25">
      <c r="A22" s="140"/>
      <c r="B22" s="56" t="s">
        <v>229</v>
      </c>
      <c r="C22" s="140"/>
      <c r="D22" s="140"/>
      <c r="E22" s="140"/>
      <c r="F22" s="39">
        <f>IF($I$7=1,$AF$25,IF($I$7=3,$AF$26,IF($I$7=5,$AF$27,IF($I$7=7,$AF$28,IF($I$7=9,$AF$29,)))))</f>
        <v>18</v>
      </c>
      <c r="G22" s="39">
        <f>IF($I$7=2,$AG$25,IF($I$7=4,$AG$26,IF($I$7=6,$AG$27,IF($I$7=8,$AG$28,IF($I$7=10,$AG$29,)))))</f>
        <v>0</v>
      </c>
      <c r="H22" s="40">
        <f>IF($I$7=2,$AH$25,IF($I$7=4,$AH$26,IF($I$7=6,$AH$27,IF($I$7=8,$AH$28,IF($I$7=10,$AH$29,)))))</f>
        <v>0</v>
      </c>
      <c r="I22" s="39">
        <f t="shared" si="0"/>
        <v>18</v>
      </c>
      <c r="J22" s="140"/>
      <c r="K22" s="28"/>
      <c r="L22" s="25">
        <v>17</v>
      </c>
      <c r="M22" s="56" t="s">
        <v>38</v>
      </c>
      <c r="N22" s="57"/>
      <c r="O22" s="57" t="s">
        <v>1</v>
      </c>
      <c r="P22" s="25">
        <v>1</v>
      </c>
      <c r="Q22" s="25">
        <f t="shared" si="9"/>
        <v>1</v>
      </c>
    </row>
    <row r="23" spans="1:45" ht="34.950000000000003" customHeight="1" x14ac:dyDescent="0.25">
      <c r="A23" s="141">
        <v>7</v>
      </c>
      <c r="B23" s="46" t="str">
        <f>IF($E$6&lt;=12,W33,IF($E$6&lt;=20,W35,W37))</f>
        <v>คิ้วกระจก5-12มิล (ตั้ง) (บานคี่ เปิด)</v>
      </c>
      <c r="C23" s="153"/>
      <c r="D23" s="141" t="str">
        <f>IF($E$6&lt;=12,X26,IF($E$6&lt;=20,X28,X30))</f>
        <v>F7935</v>
      </c>
      <c r="E23" s="141">
        <f>IF($E$6&lt;=12,Y26,IF($E$6&lt;=20,Y28,Y30))</f>
        <v>0.28499999999999998</v>
      </c>
      <c r="F23" s="39">
        <f>IF($I$5=1,$AP$25,IF($I$5=3,$AP$26,IF($I$5=5,$AP$27,IF($I$5=7,$AP$28,IF($I$5=9,$AP$29,)))))</f>
        <v>10</v>
      </c>
      <c r="G23" s="117" t="s">
        <v>19</v>
      </c>
      <c r="H23" s="47">
        <f>$H$19-80-80</f>
        <v>2471</v>
      </c>
      <c r="I23" s="117">
        <f t="shared" si="0"/>
        <v>10</v>
      </c>
      <c r="J23" s="141">
        <f>ROUNDUP(((H23*I23)+(H24*I24)+(H25*I25+(H26*I26)))/6400,0)</f>
        <v>12</v>
      </c>
      <c r="K23" s="28"/>
      <c r="L23" s="25">
        <v>18</v>
      </c>
      <c r="M23" s="61" t="s">
        <v>96</v>
      </c>
      <c r="N23" s="60"/>
      <c r="O23" s="25" t="str">
        <f>IF($D$6="ขาว","ขาว","ดำ")</f>
        <v>ขาว</v>
      </c>
      <c r="P23" s="25">
        <v>2</v>
      </c>
      <c r="Q23" s="25">
        <f>$J$1*P23</f>
        <v>2</v>
      </c>
      <c r="W23" s="81" t="s">
        <v>209</v>
      </c>
      <c r="AB23" s="75" t="s">
        <v>210</v>
      </c>
    </row>
    <row r="24" spans="1:45" ht="34.950000000000003" customHeight="1" x14ac:dyDescent="0.25">
      <c r="A24" s="142"/>
      <c r="B24" s="46" t="str">
        <f>IF($E$6&lt;=12,W26,IF($E$6&lt;=20,W28,W30))</f>
        <v>คิ้วกระจก5-12มิล (ตั้ง) (บานคี่ ปิด)</v>
      </c>
      <c r="C24" s="153"/>
      <c r="D24" s="142"/>
      <c r="E24" s="142"/>
      <c r="F24" s="39">
        <f>IF($I$7=1,$AF$25,IF($I$7=3,$AF$26,IF($I$7=5,$AF$27,IF($I$7=7,$AF$28,IF($I$7=9,$AF$29,)))))</f>
        <v>18</v>
      </c>
      <c r="G24" s="117" t="s">
        <v>19</v>
      </c>
      <c r="H24" s="47">
        <f>$H$20-80-80</f>
        <v>2471</v>
      </c>
      <c r="I24" s="117">
        <f t="shared" si="0"/>
        <v>18</v>
      </c>
      <c r="J24" s="142"/>
      <c r="K24" s="28"/>
      <c r="L24" s="25">
        <v>19</v>
      </c>
      <c r="M24" s="12" t="s">
        <v>113</v>
      </c>
      <c r="N24" s="60"/>
      <c r="O24" s="57" t="s">
        <v>1</v>
      </c>
      <c r="P24" s="25">
        <f>IF($J$3&lt;=2700,3,4)</f>
        <v>3</v>
      </c>
      <c r="Q24" s="25">
        <f>$J$1*P24</f>
        <v>3</v>
      </c>
      <c r="W24" s="81" t="s">
        <v>219</v>
      </c>
      <c r="AB24" s="81" t="s">
        <v>219</v>
      </c>
      <c r="AC24" s="75"/>
      <c r="AD24" s="75"/>
      <c r="AL24" s="75" t="s">
        <v>220</v>
      </c>
      <c r="AM24" s="75"/>
      <c r="AN24" s="75"/>
    </row>
    <row r="25" spans="1:45" ht="34.950000000000003" customHeight="1" x14ac:dyDescent="0.25">
      <c r="A25" s="142"/>
      <c r="B25" s="46" t="str">
        <f>IF($E$6&lt;=12,W34,IF($E$6&lt;=20,W36,W38))</f>
        <v>คิ้วกระจก5-12มิล (ขวาง) (บานคี่ เปิด)</v>
      </c>
      <c r="C25" s="153"/>
      <c r="D25" s="142"/>
      <c r="E25" s="142"/>
      <c r="F25" s="39">
        <f>IF($I$5=1,$AP$25,IF($I$5=3,$AP$26,IF($I$5=5,$AP$27,IF($I$5=7,$AP$28,IF($I$5=9,$AP$29,)))))</f>
        <v>10</v>
      </c>
      <c r="G25" s="117" t="s">
        <v>56</v>
      </c>
      <c r="H25" s="47">
        <f>$H$21-60-60</f>
        <v>452.70000000000005</v>
      </c>
      <c r="I25" s="117">
        <f t="shared" si="0"/>
        <v>10</v>
      </c>
      <c r="J25" s="142"/>
      <c r="K25" s="28"/>
      <c r="L25" s="25">
        <v>20</v>
      </c>
      <c r="M25" s="12" t="s">
        <v>110</v>
      </c>
      <c r="N25" s="60"/>
      <c r="O25" s="57"/>
      <c r="P25" s="25">
        <f>IF($J$3&lt;=2700,3,4)</f>
        <v>3</v>
      </c>
      <c r="Q25" s="25">
        <f>$J$1*P25</f>
        <v>3</v>
      </c>
      <c r="W25" s="8" t="s">
        <v>5</v>
      </c>
      <c r="X25" s="8" t="s">
        <v>9</v>
      </c>
      <c r="Y25" s="8" t="s">
        <v>14</v>
      </c>
      <c r="AB25" s="117">
        <v>1</v>
      </c>
      <c r="AC25" s="46" t="s">
        <v>211</v>
      </c>
      <c r="AD25" s="117" t="s">
        <v>47</v>
      </c>
      <c r="AE25" s="117">
        <v>1.466</v>
      </c>
      <c r="AF25" s="117">
        <f>2*AB25</f>
        <v>2</v>
      </c>
      <c r="AG25" s="59" t="s">
        <v>221</v>
      </c>
      <c r="AH25" s="47">
        <f>$J$5-18-9.5-62</f>
        <v>2910.5</v>
      </c>
      <c r="AI25" s="117">
        <f>AF25*$J$1</f>
        <v>2</v>
      </c>
      <c r="AL25" s="117">
        <v>1</v>
      </c>
      <c r="AM25" s="46" t="s">
        <v>212</v>
      </c>
      <c r="AN25" s="117" t="s">
        <v>47</v>
      </c>
      <c r="AO25" s="117">
        <v>1.466</v>
      </c>
      <c r="AP25" s="117">
        <f>2*AL25</f>
        <v>2</v>
      </c>
      <c r="AQ25" s="59" t="s">
        <v>186</v>
      </c>
      <c r="AR25" s="47">
        <f>($J$5-18-9.5-77)</f>
        <v>2895.5</v>
      </c>
      <c r="AS25" s="117">
        <f>AP25*$J$1</f>
        <v>2</v>
      </c>
    </row>
    <row r="26" spans="1:45" ht="34.950000000000003" customHeight="1" x14ac:dyDescent="0.25">
      <c r="A26" s="143"/>
      <c r="B26" s="46" t="str">
        <f>IF($E$6&lt;=12,W27,IF($E$6&lt;=20,W29,W31))</f>
        <v>คิ้วกระจก5-12มิล (ขวาง) (บานคี่ ปิด)</v>
      </c>
      <c r="C26" s="153"/>
      <c r="D26" s="143"/>
      <c r="E26" s="143"/>
      <c r="F26" s="39">
        <f>IF($I$7=1,$AF$25,IF($I$7=3,$AF$26,IF($I$7=5,$AF$27,IF($I$7=7,$AF$28,IF($I$7=9,$AF$29,)))))</f>
        <v>18</v>
      </c>
      <c r="G26" s="117" t="s">
        <v>56</v>
      </c>
      <c r="H26" s="47">
        <f>$H$22-60-60</f>
        <v>-120</v>
      </c>
      <c r="I26" s="117">
        <f t="shared" si="0"/>
        <v>18</v>
      </c>
      <c r="J26" s="143"/>
      <c r="K26" s="28"/>
      <c r="L26" s="25">
        <v>21</v>
      </c>
      <c r="M26" s="68" t="s">
        <v>111</v>
      </c>
      <c r="N26" s="60"/>
      <c r="O26" s="57"/>
      <c r="P26" s="69">
        <f>ROUNDDOWN($H$19/1000,1)</f>
        <v>2.6</v>
      </c>
      <c r="Q26" s="69">
        <f>$J$1*P26</f>
        <v>2.6</v>
      </c>
      <c r="W26" s="12" t="s">
        <v>243</v>
      </c>
      <c r="X26" s="11" t="s">
        <v>13</v>
      </c>
      <c r="Y26" s="11">
        <v>0.28499999999999998</v>
      </c>
      <c r="AB26" s="117">
        <v>3</v>
      </c>
      <c r="AC26" s="46" t="s">
        <v>211</v>
      </c>
      <c r="AD26" s="117" t="s">
        <v>47</v>
      </c>
      <c r="AE26" s="117">
        <v>1.466</v>
      </c>
      <c r="AF26" s="117">
        <f>2*AB26</f>
        <v>6</v>
      </c>
      <c r="AG26" s="59" t="s">
        <v>222</v>
      </c>
      <c r="AH26" s="47">
        <f>($J$5-18-9.5-(8*2)-62)/AB26</f>
        <v>964.83333333333337</v>
      </c>
      <c r="AI26" s="117">
        <f>AF26*$J$1</f>
        <v>6</v>
      </c>
      <c r="AL26" s="117">
        <v>3</v>
      </c>
      <c r="AM26" s="46" t="s">
        <v>212</v>
      </c>
      <c r="AN26" s="117" t="s">
        <v>47</v>
      </c>
      <c r="AO26" s="117">
        <v>1.466</v>
      </c>
      <c r="AP26" s="117">
        <f>2*AL26</f>
        <v>6</v>
      </c>
      <c r="AQ26" s="59" t="s">
        <v>187</v>
      </c>
      <c r="AR26" s="47">
        <f>($J$5-18-9.5-(8*2)-77)/AL26</f>
        <v>959.83333333333337</v>
      </c>
      <c r="AS26" s="117">
        <f t="shared" ref="AS26:AS29" si="10">AP26*$J$1</f>
        <v>6</v>
      </c>
    </row>
    <row r="27" spans="1:45" ht="34.950000000000003" customHeight="1" x14ac:dyDescent="0.25">
      <c r="A27" s="25">
        <v>8</v>
      </c>
      <c r="B27" s="56" t="s">
        <v>80</v>
      </c>
      <c r="C27" s="26"/>
      <c r="D27" s="25" t="s">
        <v>79</v>
      </c>
      <c r="E27" s="25">
        <v>0.45200000000000001</v>
      </c>
      <c r="F27" s="25">
        <v>2</v>
      </c>
      <c r="G27" s="25" t="s">
        <v>261</v>
      </c>
      <c r="H27" s="27">
        <f>$H$19</f>
        <v>2631</v>
      </c>
      <c r="I27" s="25">
        <f>F27*$J$1</f>
        <v>2</v>
      </c>
      <c r="J27" s="25">
        <f>ROUNDUP((H27*I27)/6400,0)</f>
        <v>1</v>
      </c>
      <c r="K27" s="28"/>
      <c r="L27" s="117">
        <v>22</v>
      </c>
      <c r="M27" s="43" t="s">
        <v>67</v>
      </c>
      <c r="N27" s="58"/>
      <c r="O27" s="117" t="s">
        <v>1</v>
      </c>
      <c r="P27" s="45">
        <f>(($H$10*$I$10)+($H$11*$I$11)+($H$14*$I$14)+($H$15*$I$15)+($H$19*$I$19*2)+($H$20*$I$20*2)+($H$21*$I$21*2)+($H$22*$I$22*2)+($H$27*$I$27)+($H$28*$I$28*2)-($H$19*2))/1000</f>
        <v>180.666</v>
      </c>
      <c r="Q27" s="45">
        <f>$J$1*P27</f>
        <v>180.666</v>
      </c>
      <c r="S27" s="6">
        <f>O32*P32*6*Q32*2.5/1000000</f>
        <v>83.03945250000001</v>
      </c>
      <c r="W27" s="12" t="s">
        <v>244</v>
      </c>
      <c r="X27" s="11" t="s">
        <v>13</v>
      </c>
      <c r="Y27" s="11">
        <v>0.28499999999999998</v>
      </c>
      <c r="AB27" s="117">
        <v>5</v>
      </c>
      <c r="AC27" s="46" t="s">
        <v>211</v>
      </c>
      <c r="AD27" s="117" t="s">
        <v>47</v>
      </c>
      <c r="AE27" s="117">
        <v>1.466</v>
      </c>
      <c r="AF27" s="117">
        <f>2*AB27</f>
        <v>10</v>
      </c>
      <c r="AG27" s="59" t="s">
        <v>223</v>
      </c>
      <c r="AH27" s="47">
        <f>($J$5-18-9.5-(8*4)-62)/AB27</f>
        <v>575.70000000000005</v>
      </c>
      <c r="AI27" s="117">
        <f t="shared" ref="AI27:AI29" si="11">AF27*$J$1</f>
        <v>10</v>
      </c>
      <c r="AL27" s="117">
        <v>5</v>
      </c>
      <c r="AM27" s="46" t="s">
        <v>212</v>
      </c>
      <c r="AN27" s="117" t="s">
        <v>47</v>
      </c>
      <c r="AO27" s="117">
        <v>1.466</v>
      </c>
      <c r="AP27" s="117">
        <f>2*AL27</f>
        <v>10</v>
      </c>
      <c r="AQ27" s="59" t="s">
        <v>188</v>
      </c>
      <c r="AR27" s="47">
        <f>($J$5-18-9.5-(8*4)-77)/AL27</f>
        <v>572.70000000000005</v>
      </c>
      <c r="AS27" s="117">
        <f t="shared" si="10"/>
        <v>10</v>
      </c>
    </row>
    <row r="28" spans="1:45" ht="34.950000000000003" customHeight="1" x14ac:dyDescent="0.25">
      <c r="A28" s="25">
        <v>9</v>
      </c>
      <c r="B28" s="26" t="s">
        <v>179</v>
      </c>
      <c r="C28" s="84"/>
      <c r="D28" s="25" t="s">
        <v>180</v>
      </c>
      <c r="E28" s="25">
        <v>1.03</v>
      </c>
      <c r="F28" s="25">
        <v>1</v>
      </c>
      <c r="G28" s="132" t="s">
        <v>261</v>
      </c>
      <c r="H28" s="27">
        <f>$H$19</f>
        <v>2631</v>
      </c>
      <c r="I28" s="25">
        <f>F28*$J$1</f>
        <v>1</v>
      </c>
      <c r="J28" s="25">
        <f>ROUNDUP((H28*I28)/6400,0)</f>
        <v>1</v>
      </c>
      <c r="K28" s="28"/>
      <c r="L28" s="117">
        <v>23</v>
      </c>
      <c r="M28" s="43" t="s">
        <v>65</v>
      </c>
      <c r="N28" s="58"/>
      <c r="O28" s="117" t="s">
        <v>1</v>
      </c>
      <c r="P28" s="45">
        <f>((($D$32+$E$32)*2)*$F$32/1000)+(($O$32+$P$32)*2)*$Q$32/1000</f>
        <v>72.114999999999995</v>
      </c>
      <c r="Q28" s="45">
        <f t="shared" ref="Q28:Q29" si="12">$J$1*P28</f>
        <v>72.114999999999995</v>
      </c>
      <c r="S28" s="18">
        <f>SUM(S16:S27)</f>
        <v>128.65226250000001</v>
      </c>
      <c r="W28" s="12" t="s">
        <v>245</v>
      </c>
      <c r="X28" s="11" t="s">
        <v>55</v>
      </c>
      <c r="Y28" s="11">
        <v>0.252</v>
      </c>
      <c r="AB28" s="117">
        <v>7</v>
      </c>
      <c r="AC28" s="46" t="s">
        <v>211</v>
      </c>
      <c r="AD28" s="117" t="s">
        <v>47</v>
      </c>
      <c r="AE28" s="117">
        <v>1.466</v>
      </c>
      <c r="AF28" s="117">
        <f>2*AB28</f>
        <v>14</v>
      </c>
      <c r="AG28" s="59" t="s">
        <v>224</v>
      </c>
      <c r="AH28" s="47">
        <f>($J$5-18-9.5-(8*6)-62)/AB28</f>
        <v>408.92857142857144</v>
      </c>
      <c r="AI28" s="117">
        <f t="shared" si="11"/>
        <v>14</v>
      </c>
      <c r="AL28" s="117">
        <v>7</v>
      </c>
      <c r="AM28" s="46" t="s">
        <v>212</v>
      </c>
      <c r="AN28" s="117" t="s">
        <v>47</v>
      </c>
      <c r="AO28" s="117">
        <v>1.466</v>
      </c>
      <c r="AP28" s="117">
        <f>2*AL28</f>
        <v>14</v>
      </c>
      <c r="AQ28" s="59" t="s">
        <v>189</v>
      </c>
      <c r="AR28" s="47">
        <f>($J$5-18-9.5-(8*6)-77)/AL28</f>
        <v>406.78571428571428</v>
      </c>
      <c r="AS28" s="117">
        <f t="shared" si="10"/>
        <v>14</v>
      </c>
    </row>
    <row r="29" spans="1:45" ht="34.950000000000003" customHeight="1" x14ac:dyDescent="0.25">
      <c r="A29" s="95"/>
      <c r="B29" s="96"/>
      <c r="C29" s="96"/>
      <c r="D29" s="95"/>
      <c r="E29" s="95"/>
      <c r="F29" s="95"/>
      <c r="G29" s="95"/>
      <c r="H29" s="97"/>
      <c r="I29" s="95"/>
      <c r="J29" s="95"/>
      <c r="K29" s="28"/>
      <c r="L29" s="117">
        <v>24</v>
      </c>
      <c r="M29" s="43" t="s">
        <v>66</v>
      </c>
      <c r="N29" s="58"/>
      <c r="O29" s="117" t="s">
        <v>1</v>
      </c>
      <c r="P29" s="45">
        <f>(($O$32+$P$32)*2)*$Q$32/1000</f>
        <v>29.437000000000001</v>
      </c>
      <c r="Q29" s="45">
        <f t="shared" si="12"/>
        <v>29.437000000000001</v>
      </c>
      <c r="W29" s="12" t="s">
        <v>246</v>
      </c>
      <c r="X29" s="11" t="s">
        <v>55</v>
      </c>
      <c r="Y29" s="11">
        <v>0.252</v>
      </c>
      <c r="AB29" s="117">
        <v>9</v>
      </c>
      <c r="AC29" s="46" t="s">
        <v>211</v>
      </c>
      <c r="AD29" s="117" t="s">
        <v>47</v>
      </c>
      <c r="AE29" s="117">
        <v>1.466</v>
      </c>
      <c r="AF29" s="117">
        <f>2*AB29</f>
        <v>18</v>
      </c>
      <c r="AG29" s="59" t="s">
        <v>225</v>
      </c>
      <c r="AH29" s="47">
        <f>($J$5-18-9.5-(8*8)-62)/AB29</f>
        <v>316.27777777777777</v>
      </c>
      <c r="AI29" s="117">
        <f t="shared" si="11"/>
        <v>18</v>
      </c>
      <c r="AL29" s="117">
        <v>9</v>
      </c>
      <c r="AM29" s="46" t="s">
        <v>212</v>
      </c>
      <c r="AN29" s="117" t="s">
        <v>47</v>
      </c>
      <c r="AO29" s="117">
        <v>1.466</v>
      </c>
      <c r="AP29" s="117">
        <f>2*AL29</f>
        <v>18</v>
      </c>
      <c r="AQ29" s="59" t="s">
        <v>190</v>
      </c>
      <c r="AR29" s="47">
        <f>($J$5-18-9.5-(8*8)-77)/AL29</f>
        <v>314.61111111111109</v>
      </c>
      <c r="AS29" s="117">
        <f t="shared" si="10"/>
        <v>18</v>
      </c>
    </row>
    <row r="30" spans="1:45" ht="34.950000000000003" customHeight="1" x14ac:dyDescent="0.25">
      <c r="A30" s="31"/>
      <c r="B30" s="107" t="s">
        <v>219</v>
      </c>
      <c r="C30" s="70" t="s">
        <v>114</v>
      </c>
      <c r="D30" s="154" t="s">
        <v>39</v>
      </c>
      <c r="E30" s="154"/>
      <c r="F30" s="154"/>
      <c r="G30" s="31"/>
      <c r="H30" s="34"/>
      <c r="I30" s="33"/>
      <c r="J30" s="33"/>
      <c r="K30" s="28"/>
      <c r="L30" s="28"/>
      <c r="M30" s="107" t="s">
        <v>220</v>
      </c>
      <c r="N30" s="70" t="s">
        <v>114</v>
      </c>
      <c r="O30" s="154" t="s">
        <v>39</v>
      </c>
      <c r="P30" s="154"/>
      <c r="Q30" s="154"/>
      <c r="W30" s="12" t="s">
        <v>247</v>
      </c>
      <c r="X30" s="11" t="s">
        <v>62</v>
      </c>
      <c r="Y30" s="11">
        <v>0.22</v>
      </c>
    </row>
    <row r="31" spans="1:45" ht="34.950000000000003" customHeight="1" x14ac:dyDescent="0.25">
      <c r="A31" s="28"/>
      <c r="B31" s="35"/>
      <c r="C31" s="71">
        <f>((($E$19*$F$20*$H$20/1000)+($E$19*$F$22*$H$22/1000)+($E$23*$F$24*$H$24/1000)+($E$23*$F$26*$H$26/1000))+($D$32*$E$32*$E$6*2.5*$F$32/1000000))/$F$32</f>
        <v>4.1772120000000008</v>
      </c>
      <c r="D31" s="39" t="s">
        <v>40</v>
      </c>
      <c r="E31" s="39" t="s">
        <v>41</v>
      </c>
      <c r="F31" s="40" t="s">
        <v>20</v>
      </c>
      <c r="G31" s="36"/>
      <c r="H31" s="38"/>
      <c r="I31" s="33"/>
      <c r="J31" s="33"/>
      <c r="K31" s="28"/>
      <c r="L31" s="28"/>
      <c r="M31" s="28"/>
      <c r="N31" s="71">
        <f>((($H$19*$F$19*$E$19/1000)+($H$21*$F$21*$E$19/1000)+($H$23*$F$23*$E$23/1000)+($H$25*$F$25*$E$23/1000))+($O$32*$P$32*$E$6*2.5*$Q$32/1000000))/$Q$32</f>
        <v>27.667647899999999</v>
      </c>
      <c r="O31" s="39" t="s">
        <v>40</v>
      </c>
      <c r="P31" s="39" t="s">
        <v>41</v>
      </c>
      <c r="Q31" s="40" t="s">
        <v>20</v>
      </c>
      <c r="W31" s="12" t="s">
        <v>248</v>
      </c>
      <c r="X31" s="11" t="s">
        <v>62</v>
      </c>
      <c r="Y31" s="11">
        <v>0.22</v>
      </c>
    </row>
    <row r="32" spans="1:45" ht="34.950000000000003" customHeight="1" x14ac:dyDescent="0.25">
      <c r="A32" s="28"/>
      <c r="B32" s="35"/>
      <c r="C32" s="72">
        <f>$N$31*$F$32</f>
        <v>249.00883109999998</v>
      </c>
      <c r="D32" s="41">
        <f>$H$20-130</f>
        <v>2501</v>
      </c>
      <c r="E32" s="41">
        <f>$H$22-130</f>
        <v>-130</v>
      </c>
      <c r="F32" s="41">
        <f>$I$7*$J$1</f>
        <v>9</v>
      </c>
      <c r="G32" s="36"/>
      <c r="H32" s="38"/>
      <c r="I32" s="33"/>
      <c r="J32" s="33"/>
      <c r="K32" s="28"/>
      <c r="L32" s="28"/>
      <c r="M32" s="28"/>
      <c r="N32" s="72">
        <f>$N$31*$Q$32</f>
        <v>138.33823949999999</v>
      </c>
      <c r="O32" s="41">
        <f>$H$19-130</f>
        <v>2501</v>
      </c>
      <c r="P32" s="41">
        <f>$H$21-130</f>
        <v>442.70000000000005</v>
      </c>
      <c r="Q32" s="41">
        <f>$I$5*$J$1</f>
        <v>5</v>
      </c>
      <c r="W32" s="81" t="s">
        <v>220</v>
      </c>
    </row>
    <row r="33" spans="1:25" ht="34.950000000000003" customHeight="1" x14ac:dyDescent="0.25">
      <c r="A33" s="28"/>
      <c r="B33" s="35"/>
      <c r="C33" s="35"/>
      <c r="D33" s="36"/>
      <c r="E33" s="36"/>
      <c r="F33" s="37"/>
      <c r="G33" s="36"/>
      <c r="H33" s="38"/>
      <c r="I33" s="33"/>
      <c r="J33" s="33"/>
      <c r="K33" s="28"/>
      <c r="L33" s="28"/>
      <c r="M33" s="28"/>
      <c r="N33" s="28"/>
      <c r="O33" s="28"/>
      <c r="P33" s="28"/>
      <c r="Q33" s="28"/>
      <c r="W33" s="12" t="s">
        <v>237</v>
      </c>
      <c r="X33" s="11" t="s">
        <v>13</v>
      </c>
      <c r="Y33" s="11">
        <v>0.28499999999999998</v>
      </c>
    </row>
    <row r="34" spans="1:25" ht="34.950000000000003" customHeight="1" x14ac:dyDescent="0.25">
      <c r="A34" s="28"/>
      <c r="B34" s="35"/>
      <c r="C34" s="35"/>
      <c r="D34" s="36"/>
      <c r="E34" s="36"/>
      <c r="F34" s="37"/>
      <c r="G34" s="36"/>
      <c r="H34" s="38"/>
      <c r="I34" s="33"/>
      <c r="J34" s="33"/>
      <c r="K34" s="28"/>
      <c r="L34" s="28"/>
      <c r="M34" s="28"/>
      <c r="N34" s="28"/>
      <c r="O34" s="28"/>
      <c r="P34" s="28"/>
      <c r="Q34" s="28"/>
      <c r="W34" s="12" t="s">
        <v>238</v>
      </c>
      <c r="X34" s="11" t="s">
        <v>13</v>
      </c>
      <c r="Y34" s="11">
        <v>0.28499999999999998</v>
      </c>
    </row>
    <row r="35" spans="1:25" ht="34.950000000000003" customHeight="1" x14ac:dyDescent="0.25">
      <c r="A35" s="28"/>
      <c r="B35" s="35"/>
      <c r="C35" s="35"/>
      <c r="D35" s="36"/>
      <c r="E35" s="36"/>
      <c r="F35" s="37"/>
      <c r="G35" s="36"/>
      <c r="H35" s="38"/>
      <c r="I35" s="33"/>
      <c r="J35" s="33"/>
      <c r="K35" s="28"/>
      <c r="L35" s="28"/>
      <c r="M35" s="28"/>
      <c r="N35" s="28"/>
      <c r="O35" s="28"/>
      <c r="P35" s="28"/>
      <c r="Q35" s="28"/>
      <c r="W35" s="12" t="s">
        <v>239</v>
      </c>
      <c r="X35" s="11" t="s">
        <v>55</v>
      </c>
      <c r="Y35" s="11">
        <v>0.252</v>
      </c>
    </row>
    <row r="36" spans="1:25" ht="34.950000000000003" customHeight="1" x14ac:dyDescent="0.25">
      <c r="A36" s="28"/>
      <c r="B36" s="35"/>
      <c r="C36" s="35"/>
      <c r="D36" s="36"/>
      <c r="E36" s="36"/>
      <c r="F36" s="37"/>
      <c r="G36" s="36"/>
      <c r="H36" s="38"/>
      <c r="I36" s="33"/>
      <c r="J36" s="33"/>
      <c r="K36" s="28"/>
      <c r="L36" s="28"/>
      <c r="M36" s="28"/>
      <c r="N36" s="28"/>
      <c r="O36" s="28"/>
      <c r="P36" s="28"/>
      <c r="Q36" s="28"/>
      <c r="W36" s="12" t="s">
        <v>240</v>
      </c>
      <c r="X36" s="11" t="s">
        <v>55</v>
      </c>
      <c r="Y36" s="11">
        <v>0.252</v>
      </c>
    </row>
    <row r="37" spans="1:25" ht="34.950000000000003" customHeight="1" x14ac:dyDescent="0.25">
      <c r="A37" s="28"/>
      <c r="B37" s="35"/>
      <c r="C37" s="35"/>
      <c r="D37" s="36"/>
      <c r="E37" s="36"/>
      <c r="F37" s="37"/>
      <c r="G37" s="36"/>
      <c r="H37" s="38"/>
      <c r="I37" s="33"/>
      <c r="J37" s="33"/>
      <c r="K37" s="28"/>
      <c r="L37" s="28"/>
      <c r="M37" s="28"/>
      <c r="N37" s="28"/>
      <c r="O37" s="28"/>
      <c r="P37" s="28"/>
      <c r="Q37" s="28"/>
      <c r="W37" s="12" t="s">
        <v>241</v>
      </c>
      <c r="X37" s="11" t="s">
        <v>62</v>
      </c>
      <c r="Y37" s="11">
        <v>0.22</v>
      </c>
    </row>
    <row r="38" spans="1:25" ht="34.950000000000003" customHeight="1" x14ac:dyDescent="0.25">
      <c r="A38" s="28"/>
      <c r="B38" s="35"/>
      <c r="C38" s="35"/>
      <c r="D38" s="36"/>
      <c r="E38" s="36"/>
      <c r="F38" s="37"/>
      <c r="G38" s="36"/>
      <c r="H38" s="38"/>
      <c r="I38" s="33"/>
      <c r="J38" s="33"/>
      <c r="W38" s="12" t="s">
        <v>242</v>
      </c>
      <c r="X38" s="11" t="s">
        <v>62</v>
      </c>
      <c r="Y38" s="11">
        <v>0.22</v>
      </c>
    </row>
    <row r="39" spans="1:25" ht="34.950000000000003" customHeight="1" x14ac:dyDescent="0.25">
      <c r="A39" s="28"/>
      <c r="B39" s="35"/>
      <c r="C39" s="35"/>
      <c r="D39" s="36"/>
      <c r="E39" s="36"/>
      <c r="F39" s="37"/>
      <c r="G39" s="36"/>
      <c r="H39" s="38"/>
      <c r="I39" s="33"/>
      <c r="J39" s="33"/>
    </row>
    <row r="40" spans="1:25" ht="34.950000000000003" customHeight="1" x14ac:dyDescent="0.25">
      <c r="A40" s="28"/>
      <c r="B40" s="35"/>
      <c r="C40" s="35"/>
      <c r="D40" s="36"/>
      <c r="E40" s="36"/>
      <c r="F40" s="37"/>
      <c r="G40" s="36"/>
      <c r="H40" s="38"/>
      <c r="I40" s="33"/>
      <c r="J40" s="33"/>
    </row>
    <row r="41" spans="1:25" ht="34.950000000000003" customHeight="1" x14ac:dyDescent="0.25">
      <c r="A41" s="31"/>
      <c r="B41" s="32"/>
      <c r="C41" s="32"/>
      <c r="D41" s="31"/>
      <c r="E41" s="31"/>
      <c r="F41" s="33"/>
      <c r="G41" s="31"/>
      <c r="H41" s="34"/>
      <c r="I41" s="33"/>
      <c r="J41" s="33"/>
    </row>
    <row r="42" spans="1:25" ht="34.950000000000003" customHeight="1" x14ac:dyDescent="0.25">
      <c r="A42" s="31"/>
      <c r="B42" s="32"/>
      <c r="C42" s="35"/>
      <c r="D42" s="36"/>
      <c r="E42" s="36"/>
      <c r="F42" s="33"/>
      <c r="G42" s="31"/>
      <c r="H42" s="34"/>
      <c r="I42" s="33"/>
      <c r="J42" s="33"/>
    </row>
    <row r="43" spans="1:25" ht="34.950000000000003" customHeight="1" x14ac:dyDescent="0.25">
      <c r="A43" s="15"/>
      <c r="B43" s="16"/>
      <c r="F43" s="17"/>
      <c r="G43" s="6"/>
      <c r="H43" s="13"/>
      <c r="I43" s="17"/>
      <c r="J43" s="17"/>
    </row>
    <row r="44" spans="1:25" ht="34.950000000000003" customHeight="1" x14ac:dyDescent="0.25">
      <c r="G44" s="6"/>
    </row>
  </sheetData>
  <sheetProtection sheet="1" objects="1" scenarios="1" formatCells="0" formatColumns="0"/>
  <dataConsolidate/>
  <mergeCells count="34">
    <mergeCell ref="D30:F30"/>
    <mergeCell ref="O30:Q30"/>
    <mergeCell ref="A23:A26"/>
    <mergeCell ref="C23:C24"/>
    <mergeCell ref="D23:D26"/>
    <mergeCell ref="E23:E26"/>
    <mergeCell ref="J23:J26"/>
    <mergeCell ref="C25:C26"/>
    <mergeCell ref="A19:A22"/>
    <mergeCell ref="C19:C20"/>
    <mergeCell ref="D19:D22"/>
    <mergeCell ref="E19:E22"/>
    <mergeCell ref="J19:J22"/>
    <mergeCell ref="C21:C22"/>
    <mergeCell ref="A12:A13"/>
    <mergeCell ref="C12:C13"/>
    <mergeCell ref="D12:D13"/>
    <mergeCell ref="E12:E13"/>
    <mergeCell ref="J12:J13"/>
    <mergeCell ref="A16:A18"/>
    <mergeCell ref="C16:C18"/>
    <mergeCell ref="D16:D18"/>
    <mergeCell ref="E16:E18"/>
    <mergeCell ref="J16:J18"/>
    <mergeCell ref="C2:F2"/>
    <mergeCell ref="E5:F5"/>
    <mergeCell ref="E6:F6"/>
    <mergeCell ref="A8:J8"/>
    <mergeCell ref="L8:Q8"/>
    <mergeCell ref="A10:A11"/>
    <mergeCell ref="C10:C11"/>
    <mergeCell ref="D10:D11"/>
    <mergeCell ref="E10:E11"/>
    <mergeCell ref="J10:J11"/>
  </mergeCells>
  <conditionalFormatting sqref="N31">
    <cfRule type="cellIs" dxfId="459" priority="3" operator="greaterThanOrEqual">
      <formula>45.5</formula>
    </cfRule>
    <cfRule type="cellIs" dxfId="458" priority="4" operator="greaterThanOrEqual">
      <formula>40</formula>
    </cfRule>
  </conditionalFormatting>
  <conditionalFormatting sqref="M28:Q29 P26:Q26">
    <cfRule type="expression" dxfId="457" priority="5">
      <formula>$E$6=33</formula>
    </cfRule>
    <cfRule type="expression" dxfId="456" priority="6">
      <formula>$E$6=20</formula>
    </cfRule>
    <cfRule type="expression" dxfId="455" priority="7">
      <formula>$E$6=18</formula>
    </cfRule>
    <cfRule type="expression" dxfId="454" priority="8">
      <formula>$E$6=12</formula>
    </cfRule>
    <cfRule type="expression" dxfId="453" priority="9">
      <formula>$E$6=10</formula>
    </cfRule>
  </conditionalFormatting>
  <conditionalFormatting sqref="C31">
    <cfRule type="cellIs" dxfId="452" priority="1" operator="greaterThanOrEqual">
      <formula>50.5</formula>
    </cfRule>
    <cfRule type="cellIs" dxfId="451" priority="2" operator="greaterThanOrEqual">
      <formula>45</formula>
    </cfRule>
  </conditionalFormatting>
  <dataValidations count="3">
    <dataValidation type="list" allowBlank="1" showInputMessage="1" showErrorMessage="1" sqref="I7 I5">
      <formula1>"1,3,5,7,9"</formula1>
    </dataValidation>
    <dataValidation type="list" allowBlank="1" showInputMessage="1" showErrorMessage="1" sqref="E6">
      <formula1>"5,6,8,10,12,14,16,18,20,29,30,33"</formula1>
    </dataValidation>
    <dataValidation type="list" allowBlank="1" showInputMessage="1" showErrorMessage="1" sqref="D6">
      <formula1>"ขาว,ดำ"</formula1>
    </dataValidation>
  </dataValidations>
  <printOptions horizontalCentered="1"/>
  <pageMargins left="0" right="0" top="0.47244094488188981" bottom="0" header="0.31496062992125984" footer="0.31496062992125984"/>
  <pageSetup scale="54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rgb="FFFFC000"/>
  </sheetPr>
  <dimension ref="A1:AE37"/>
  <sheetViews>
    <sheetView view="pageBreakPreview" topLeftCell="B1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2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1900</v>
      </c>
      <c r="J3" s="52">
        <v>4000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1864</v>
      </c>
      <c r="I6" s="25">
        <f>F6*$J$1</f>
        <v>2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1864</v>
      </c>
      <c r="I7" s="25">
        <f t="shared" ref="I7:I17" si="0">F7*$J$1</f>
        <v>2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IF($J$3&lt;=2700,7,10)</f>
        <v>10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4000</v>
      </c>
      <c r="I8" s="117">
        <f t="shared" si="0"/>
        <v>4</v>
      </c>
      <c r="J8" s="117">
        <f t="shared" si="1"/>
        <v>3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17" t="s">
        <v>140</v>
      </c>
      <c r="H9" s="47">
        <f>$J$3-75</f>
        <v>3925</v>
      </c>
      <c r="I9" s="117">
        <f t="shared" si="0"/>
        <v>4</v>
      </c>
      <c r="J9" s="117">
        <f t="shared" si="1"/>
        <v>3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3925</v>
      </c>
      <c r="I10" s="25">
        <f t="shared" si="0"/>
        <v>4</v>
      </c>
      <c r="J10" s="151">
        <f>ROUNDUP(((H10*I10)+(H11*I11))/6400,0)</f>
        <v>4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1860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4</v>
      </c>
      <c r="G12" s="135" t="s">
        <v>262</v>
      </c>
      <c r="H12" s="47">
        <f>$J$3-55-7-7</f>
        <v>3931</v>
      </c>
      <c r="I12" s="117">
        <f t="shared" si="0"/>
        <v>8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4</v>
      </c>
      <c r="R12" s="13">
        <v>73</v>
      </c>
      <c r="S12" s="6">
        <f>((H12*I12)/1000)*E12</f>
        <v>46.102767999999998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4</v>
      </c>
      <c r="G13" s="117" t="s">
        <v>73</v>
      </c>
      <c r="H13" s="47">
        <f>($I$3-18-9.5-(8*1)-50-18)/2</f>
        <v>898.25</v>
      </c>
      <c r="I13" s="117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8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3931</v>
      </c>
      <c r="I14" s="25">
        <f t="shared" si="0"/>
        <v>2</v>
      </c>
      <c r="J14" s="25">
        <f t="shared" si="1"/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24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3920</v>
      </c>
      <c r="I15" s="25">
        <f t="shared" si="0"/>
        <v>2</v>
      </c>
      <c r="J15" s="25">
        <f t="shared" si="1"/>
        <v>2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(($H$6*$I$6)+($H$8*1)+($H$9*$I$9)+($H$12*$I$12*2)+($H$14*$I$13*2)+($H$13*3)+($H$15*$I$15))/1000</f>
        <v>159.75475</v>
      </c>
      <c r="Q15" s="45">
        <f>$J$1*P15</f>
        <v>319.5095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4</v>
      </c>
      <c r="G16" s="117" t="s">
        <v>19</v>
      </c>
      <c r="H16" s="47">
        <f>$H$12-80-80</f>
        <v>3771</v>
      </c>
      <c r="I16" s="117">
        <f t="shared" si="0"/>
        <v>8</v>
      </c>
      <c r="J16" s="159">
        <f>ROUNDUP(((H16*I16)+(H17*I17))/6400,0)</f>
        <v>6</v>
      </c>
      <c r="K16" s="28"/>
      <c r="L16" s="117">
        <v>15</v>
      </c>
      <c r="M16" s="43" t="s">
        <v>75</v>
      </c>
      <c r="N16" s="44"/>
      <c r="O16" s="117" t="s">
        <v>1</v>
      </c>
      <c r="P16" s="45">
        <f>(($H$14*2)+($H$15*2))/1000</f>
        <v>15.702</v>
      </c>
      <c r="Q16" s="45">
        <f>$J$1*P16</f>
        <v>31.404</v>
      </c>
      <c r="S16" s="6">
        <f>((H16*I16)/1000)*E16</f>
        <v>8.5978799999999982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117">
        <v>4</v>
      </c>
      <c r="G17" s="117" t="s">
        <v>56</v>
      </c>
      <c r="H17" s="47">
        <f>$H$13-60-60</f>
        <v>778.25</v>
      </c>
      <c r="I17" s="117">
        <f t="shared" si="0"/>
        <v>8</v>
      </c>
      <c r="J17" s="160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36.554000000000002</v>
      </c>
      <c r="Q17" s="45">
        <f t="shared" ref="Q17:Q18" si="4">$J$1*P17</f>
        <v>73.108000000000004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36.554000000000002</v>
      </c>
      <c r="Q18" s="45">
        <f t="shared" si="4"/>
        <v>73.108000000000004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O25*P25*$H$3*Q25*2.5/1000000</f>
        <v>175.20709500000001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229.90774300000001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22" t="s">
        <v>115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((($H$12*$F$12*$E$12/1000)+($H$13*$F$13*$E$13/1000)+($H$16*$F$16*$E$16/1000)+($H$17*$F$17*$E$17/1000))+($O$25*$P$25*$H$3*2.5*2/1000000))/2</f>
        <v>57.476935750000003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$N$24*2</f>
        <v>114.95387150000001</v>
      </c>
      <c r="O25" s="41">
        <f>$H$12-130</f>
        <v>3801</v>
      </c>
      <c r="P25" s="41">
        <f>$H$13-130</f>
        <v>768.25</v>
      </c>
      <c r="Q25" s="41">
        <f>2*$J$1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450" priority="3">
      <formula>$H$3=33</formula>
    </cfRule>
    <cfRule type="expression" dxfId="449" priority="4">
      <formula>$H$3=20</formula>
    </cfRule>
    <cfRule type="expression" dxfId="448" priority="5">
      <formula>$H$3=18</formula>
    </cfRule>
    <cfRule type="expression" dxfId="447" priority="6">
      <formula>$H$3=12</formula>
    </cfRule>
    <cfRule type="expression" dxfId="446" priority="7">
      <formula>$H$3=10</formula>
    </cfRule>
  </conditionalFormatting>
  <conditionalFormatting sqref="N24">
    <cfRule type="cellIs" dxfId="445" priority="1" operator="greaterThanOrEqual">
      <formula>90.5</formula>
    </cfRule>
    <cfRule type="cellIs" dxfId="444" priority="2" operator="greaterThanOrEqual">
      <formula>80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4" tint="-0.249977111117893"/>
  </sheetPr>
  <dimension ref="A1:AE40"/>
  <sheetViews>
    <sheetView view="pageBreakPreview" topLeftCell="B1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14</v>
      </c>
      <c r="I3" s="52">
        <v>2800</v>
      </c>
      <c r="J3" s="52">
        <v>3400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2764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1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2764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IF($J$3&lt;=2700,7,10)</f>
        <v>10</v>
      </c>
      <c r="Q7" s="25">
        <f t="shared" ref="Q7:Q13" si="3">$J$1*P7</f>
        <v>10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3400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1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3325</v>
      </c>
      <c r="I9" s="117">
        <f>F9*$J$1</f>
        <v>2</v>
      </c>
      <c r="J9" s="117">
        <f>ROUNDUP((H9*I9)/6400,0)</f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1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3325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1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2760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1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6</v>
      </c>
      <c r="G12" s="135" t="s">
        <v>262</v>
      </c>
      <c r="H12" s="47">
        <f>$J$3-55-7-7</f>
        <v>3331</v>
      </c>
      <c r="I12" s="117">
        <f t="shared" si="0"/>
        <v>6</v>
      </c>
      <c r="J12" s="159">
        <f>ROUNDUP(((H12*I12)+(H13*I13))/6400,0)</f>
        <v>4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2</v>
      </c>
      <c r="R12" s="13">
        <v>73</v>
      </c>
      <c r="S12" s="6">
        <f>((H12*I12)/1000)*E12</f>
        <v>29.299476000000002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6</v>
      </c>
      <c r="G13" s="117" t="s">
        <v>81</v>
      </c>
      <c r="H13" s="47">
        <f>($I$3-18-9.5-(8*2)-18-18)/3</f>
        <v>906.83333333333337</v>
      </c>
      <c r="I13" s="117">
        <f t="shared" si="0"/>
        <v>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12</v>
      </c>
      <c r="Q13" s="25">
        <f t="shared" si="3"/>
        <v>12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3331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36</v>
      </c>
      <c r="Q14" s="25">
        <f>$J$1*P14</f>
        <v>36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10</v>
      </c>
      <c r="B15" s="46" t="str">
        <f>IF($H$3&lt;=12,V14,IF($H$3&lt;=20,V16,V18))</f>
        <v>คิ้วกระจก14-20มิล (ตั้ง)</v>
      </c>
      <c r="C15" s="141"/>
      <c r="D15" s="141" t="str">
        <f>IF($H$3&lt;=12,X14,IF($H$3&lt;=20,X16,X18))</f>
        <v>F7949</v>
      </c>
      <c r="E15" s="141">
        <f>IF($H$3&lt;=12,Y14,IF($H$3&lt;=20,Y16,Y18))</f>
        <v>0.252</v>
      </c>
      <c r="F15" s="117">
        <v>6</v>
      </c>
      <c r="G15" s="117" t="s">
        <v>19</v>
      </c>
      <c r="H15" s="47">
        <f>$H$12-80-80</f>
        <v>3171</v>
      </c>
      <c r="I15" s="117">
        <f>F15*$J$1</f>
        <v>6</v>
      </c>
      <c r="J15" s="159">
        <f>ROUNDUP(((H15*I15)+(H16*I16))/6400,0)</f>
        <v>4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IF($H$3&lt;=12,V15,IF($H$3&lt;=20,V17,V22))</f>
        <v>คิ้วกระจก14-20มิล (นอน)</v>
      </c>
      <c r="C16" s="143"/>
      <c r="D16" s="143"/>
      <c r="E16" s="143"/>
      <c r="F16" s="117">
        <v>6</v>
      </c>
      <c r="G16" s="117" t="s">
        <v>56</v>
      </c>
      <c r="H16" s="47">
        <f>$H$13-60-60</f>
        <v>786.83333333333337</v>
      </c>
      <c r="I16" s="117">
        <f>F16*$J$1</f>
        <v>6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4.7945520000000004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3.3</v>
      </c>
      <c r="Q21" s="69">
        <f t="shared" ref="Q21" si="6">$J$1*P21</f>
        <v>3.3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(($H$6*$I$6)+($H$8*1)+($H$9*$I$9)+($H$12*$I$12*2)+($H$13*$I$13)+($H$14*$I$14)-($H$12*2))/1000</f>
        <v>54.896000000000001</v>
      </c>
      <c r="Q22" s="45">
        <f>$J$1*P22</f>
        <v>54.896000000000001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23.867000000000001</v>
      </c>
      <c r="Q23" s="45">
        <f t="shared" ref="Q23:Q24" si="7">$J$1*P23</f>
        <v>23.867000000000001</v>
      </c>
      <c r="S23" s="6">
        <f>O28*P28*6*Q28*2.5/1000000</f>
        <v>111.89895749999999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23.867000000000001</v>
      </c>
      <c r="Q24" s="45">
        <f t="shared" si="7"/>
        <v>23.867000000000001</v>
      </c>
      <c r="S24" s="18">
        <f>SUM(S12:S23)</f>
        <v>145.9929855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((($H$12*$F$12*$E$12/1000)+($H$13*$F$13*$E$13/1000)+($H$15*$F$15*$E$15/1000)+($H$16*$F$16*$E$16/1000))+($O$28*$P$28*$H$3*2.5*3/1000000))/3</f>
        <v>98.397198500000002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$N$27*3</f>
        <v>295.19159550000001</v>
      </c>
      <c r="O28" s="41">
        <f>$H$12-130</f>
        <v>3201</v>
      </c>
      <c r="P28" s="41">
        <f>$H$13-130</f>
        <v>776.83333333333337</v>
      </c>
      <c r="Q28" s="41">
        <f>3*$J$1</f>
        <v>3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443" priority="13">
      <formula>$H$3=33</formula>
    </cfRule>
    <cfRule type="expression" dxfId="442" priority="14">
      <formula>$H$3=20</formula>
    </cfRule>
    <cfRule type="expression" dxfId="441" priority="15">
      <formula>$H$3=18</formula>
    </cfRule>
    <cfRule type="expression" dxfId="440" priority="16">
      <formula>$H$3=12</formula>
    </cfRule>
    <cfRule type="expression" dxfId="439" priority="17">
      <formula>$H$3=10</formula>
    </cfRule>
  </conditionalFormatting>
  <conditionalFormatting sqref="P21">
    <cfRule type="expression" dxfId="438" priority="8">
      <formula>$H$3=33</formula>
    </cfRule>
    <cfRule type="expression" dxfId="437" priority="9">
      <formula>$H$3=20</formula>
    </cfRule>
    <cfRule type="expression" dxfId="436" priority="10">
      <formula>$H$3=18</formula>
    </cfRule>
    <cfRule type="expression" dxfId="435" priority="11">
      <formula>$H$3=12</formula>
    </cfRule>
    <cfRule type="expression" dxfId="434" priority="12">
      <formula>$H$3=10</formula>
    </cfRule>
  </conditionalFormatting>
  <conditionalFormatting sqref="Q21">
    <cfRule type="expression" dxfId="433" priority="3">
      <formula>$H$3=33</formula>
    </cfRule>
    <cfRule type="expression" dxfId="432" priority="4">
      <formula>$H$3=20</formula>
    </cfRule>
    <cfRule type="expression" dxfId="431" priority="5">
      <formula>$H$3=18</formula>
    </cfRule>
    <cfRule type="expression" dxfId="430" priority="6">
      <formula>$H$3=12</formula>
    </cfRule>
    <cfRule type="expression" dxfId="429" priority="7">
      <formula>$H$3=10</formula>
    </cfRule>
  </conditionalFormatting>
  <conditionalFormatting sqref="N27">
    <cfRule type="cellIs" dxfId="428" priority="1" operator="greaterThanOrEqual">
      <formula>45</formula>
    </cfRule>
    <cfRule type="cellIs" dxfId="427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2400</v>
      </c>
      <c r="J3" s="52">
        <v>4000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1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2364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IF($J$3&lt;=2700,9,12)</f>
        <v>12</v>
      </c>
      <c r="Q7" s="25">
        <f t="shared" ref="Q7:Q13" si="3">$J$1*P7</f>
        <v>12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4000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1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3925</v>
      </c>
      <c r="I9" s="117">
        <f t="shared" si="0"/>
        <v>2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1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1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2360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1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6</v>
      </c>
      <c r="G12" s="135" t="s">
        <v>262</v>
      </c>
      <c r="H12" s="47">
        <f>$J$3-55-7-7</f>
        <v>3931</v>
      </c>
      <c r="I12" s="117">
        <f t="shared" si="0"/>
        <v>6</v>
      </c>
      <c r="J12" s="159">
        <f>ROUNDUP(((H12*I12)+(H13*I13))/6400,0)</f>
        <v>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2</v>
      </c>
      <c r="R12" s="13">
        <v>73</v>
      </c>
      <c r="S12" s="6">
        <f>((H12*I12)/1000)*E12</f>
        <v>34.577075999999998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6</v>
      </c>
      <c r="G13" s="59" t="s">
        <v>91</v>
      </c>
      <c r="H13" s="47">
        <f>($I$3-18-9.5-(8*1)-58-9.5-18)/3</f>
        <v>759.66666666666663</v>
      </c>
      <c r="I13" s="117">
        <f t="shared" si="0"/>
        <v>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12</v>
      </c>
      <c r="Q13" s="25">
        <f t="shared" si="3"/>
        <v>12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3931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36</v>
      </c>
      <c r="Q14" s="25">
        <f>$J$1*P14</f>
        <v>36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3931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9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6</v>
      </c>
      <c r="G16" s="117" t="s">
        <v>19</v>
      </c>
      <c r="H16" s="47">
        <f>$H$12-80-80</f>
        <v>3771</v>
      </c>
      <c r="I16" s="117">
        <f>F16*$J$1</f>
        <v>6</v>
      </c>
      <c r="J16" s="159">
        <f>ROUNDUP(((H16*I16)+(H17*I17))/6400,0)</f>
        <v>5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6.44841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6</v>
      </c>
      <c r="G17" s="117" t="s">
        <v>56</v>
      </c>
      <c r="H17" s="47">
        <f>$H$13-60-60</f>
        <v>639.66666666666663</v>
      </c>
      <c r="I17" s="117">
        <f>F17*$J$1</f>
        <v>6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 t="shared" si="5"/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3.9</v>
      </c>
      <c r="Q22" s="69">
        <f t="shared" ref="Q22" si="7">$J$1*P22</f>
        <v>3.9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(($H$6*$I$6)+($H$8*1)+($H$9*$I$9)+($H$12*$I$12*2)+($H$13*$I$13)+($H$14*$I$14)+($H$15*3))/1000</f>
        <v>81.668000000000006</v>
      </c>
      <c r="Q23" s="45">
        <f>$J$1*P23</f>
        <v>81.668000000000006</v>
      </c>
      <c r="S23" s="6">
        <f>O28*P28*6*Q28*2.5/1000000</f>
        <v>107.701335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26.584</v>
      </c>
      <c r="Q24" s="45">
        <f t="shared" ref="Q24:Q25" si="8">$J$1*P24</f>
        <v>26.584</v>
      </c>
      <c r="S24" s="18">
        <f>SUM(S12:S23)</f>
        <v>148.726821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26.584</v>
      </c>
      <c r="Q25" s="45">
        <f t="shared" si="8"/>
        <v>26.584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((($H$12*$F$12*$E$12/1000)+($H$13*$F$13*$E$13/1000)+($H$16*$F$16*$E$16/1000)+($H$17*$F$17*$E$17/1000))+($O$28*$P$28*$H$3*2.5*3/1000000))/3</f>
        <v>49.575606999999998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$N$27*3</f>
        <v>148.726821</v>
      </c>
      <c r="O28" s="41">
        <f>$H$12-130</f>
        <v>3801</v>
      </c>
      <c r="P28" s="41">
        <f>$H$13-130</f>
        <v>629.66666666666663</v>
      </c>
      <c r="Q28" s="41">
        <f>3*$J$1</f>
        <v>3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426" priority="13">
      <formula>$H$3=33</formula>
    </cfRule>
    <cfRule type="expression" dxfId="425" priority="14">
      <formula>$H$3=20</formula>
    </cfRule>
    <cfRule type="expression" dxfId="424" priority="15">
      <formula>$H$3=18</formula>
    </cfRule>
    <cfRule type="expression" dxfId="423" priority="16">
      <formula>$H$3=12</formula>
    </cfRule>
    <cfRule type="expression" dxfId="422" priority="17">
      <formula>$H$3=10</formula>
    </cfRule>
  </conditionalFormatting>
  <conditionalFormatting sqref="P22">
    <cfRule type="expression" dxfId="421" priority="8">
      <formula>$H$3=33</formula>
    </cfRule>
    <cfRule type="expression" dxfId="420" priority="9">
      <formula>$H$3=20</formula>
    </cfRule>
    <cfRule type="expression" dxfId="419" priority="10">
      <formula>$H$3=18</formula>
    </cfRule>
    <cfRule type="expression" dxfId="418" priority="11">
      <formula>$H$3=12</formula>
    </cfRule>
    <cfRule type="expression" dxfId="417" priority="12">
      <formula>$H$3=10</formula>
    </cfRule>
  </conditionalFormatting>
  <conditionalFormatting sqref="Q22">
    <cfRule type="expression" dxfId="416" priority="3">
      <formula>$H$3=33</formula>
    </cfRule>
    <cfRule type="expression" dxfId="415" priority="4">
      <formula>$H$3=20</formula>
    </cfRule>
    <cfRule type="expression" dxfId="414" priority="5">
      <formula>$H$3=18</formula>
    </cfRule>
    <cfRule type="expression" dxfId="413" priority="6">
      <formula>$H$3=12</formula>
    </cfRule>
    <cfRule type="expression" dxfId="412" priority="7">
      <formula>$H$3=10</formula>
    </cfRule>
  </conditionalFormatting>
  <conditionalFormatting sqref="N27">
    <cfRule type="cellIs" dxfId="411" priority="1" operator="greaterThanOrEqual">
      <formula>90</formula>
    </cfRule>
    <cfRule type="cellIs" dxfId="410" priority="2" operator="greaterThanOrEqual">
      <formula>80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5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2358</v>
      </c>
      <c r="J3" s="52">
        <v>1929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2322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2322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IF($J$3&lt;=2700,11,16)</f>
        <v>11</v>
      </c>
      <c r="Q7" s="25">
        <f t="shared" ref="Q7:Q13" si="3">$J$1*P7</f>
        <v>11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1929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1854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1854</v>
      </c>
      <c r="I10" s="25">
        <f t="shared" si="0"/>
        <v>2</v>
      </c>
      <c r="J10" s="151">
        <f>ROUNDUP(((H10*I10)+(H11*I11))/6400,0)</f>
        <v>1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2318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8</v>
      </c>
      <c r="G12" s="122" t="s">
        <v>262</v>
      </c>
      <c r="H12" s="47">
        <f>$J$3-55-7-7</f>
        <v>1860</v>
      </c>
      <c r="I12" s="117">
        <f t="shared" si="0"/>
        <v>8</v>
      </c>
      <c r="J12" s="159">
        <f>ROUNDUP(((H12*I12)+(H13*I13))/6400,0)</f>
        <v>4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>$J$1*P12</f>
        <v>4</v>
      </c>
      <c r="R12" s="13">
        <v>73</v>
      </c>
      <c r="S12" s="6">
        <f>((H12*I12)/1000)*E12</f>
        <v>21.814080000000001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8</v>
      </c>
      <c r="G13" s="117" t="s">
        <v>74</v>
      </c>
      <c r="H13" s="47">
        <f>($I$3-18-9.5-(8*3)-50-18)/4</f>
        <v>559.625</v>
      </c>
      <c r="I13" s="117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1860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1849</v>
      </c>
      <c r="I15" s="25">
        <f t="shared" si="0"/>
        <v>1</v>
      </c>
      <c r="J15" s="25">
        <f t="shared" si="1"/>
        <v>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(($H$6*$I$6)+($H$8*1)+($H$9*$I$9)+($H$12*$I$12*2)+($H$14*$I$13*2)+($H$13*3)+($H$15*$I$15))/1000</f>
        <v>71.006874999999994</v>
      </c>
      <c r="Q15" s="45">
        <f>$J$1*P15</f>
        <v>71.006874999999994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8</v>
      </c>
      <c r="G16" s="117" t="s">
        <v>19</v>
      </c>
      <c r="H16" s="47">
        <f>$H$12-80-80</f>
        <v>1700</v>
      </c>
      <c r="I16" s="117">
        <f t="shared" si="0"/>
        <v>8</v>
      </c>
      <c r="J16" s="159">
        <f>ROUNDUP(((H16*I16)+(H17*I17))/6400,0)</f>
        <v>3</v>
      </c>
      <c r="K16" s="28"/>
      <c r="L16" s="117">
        <v>15</v>
      </c>
      <c r="M16" s="43" t="s">
        <v>75</v>
      </c>
      <c r="N16" s="44"/>
      <c r="O16" s="117" t="s">
        <v>1</v>
      </c>
      <c r="P16" s="45">
        <f>(($H$14*2)+($H$15*2))/1000</f>
        <v>7.4180000000000001</v>
      </c>
      <c r="Q16" s="45">
        <f>$J$1*P16</f>
        <v>7.4180000000000001</v>
      </c>
      <c r="S16" s="6">
        <f>((H16*I16)/1000)*E16</f>
        <v>3.8759999999999994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117">
        <v>8</v>
      </c>
      <c r="G17" s="117" t="s">
        <v>56</v>
      </c>
      <c r="H17" s="47">
        <f>$H$13-60-60</f>
        <v>439.625</v>
      </c>
      <c r="I17" s="117">
        <f t="shared" si="0"/>
        <v>8</v>
      </c>
      <c r="J17" s="160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17.277000000000001</v>
      </c>
      <c r="Q17" s="45">
        <f t="shared" ref="Q17:Q18" si="4">$J$1*P17</f>
        <v>17.277000000000001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17.277000000000001</v>
      </c>
      <c r="Q18" s="45">
        <f t="shared" si="4"/>
        <v>17.277000000000001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44.595075000000001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70.285155000000003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((($H$12*$F$12*$E$12/1000)+($H$13*$F$13*$E$13/1000)+($H$16*$F$16*$E$16/1000)+($H$17*$F$17*$E$17/1000))+($O$25*$P$25*$H$3*2.5*4/1000000))/4</f>
        <v>17.571288750000001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$N$24*4</f>
        <v>70.285155000000003</v>
      </c>
      <c r="O25" s="41">
        <f>$H$12-130</f>
        <v>1730</v>
      </c>
      <c r="P25" s="41">
        <f>$H$13-130</f>
        <v>429.625</v>
      </c>
      <c r="Q25" s="41">
        <f>4*$J$1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formatCells="0" formatColumns="0"/>
  <dataConsolidate/>
  <mergeCells count="16">
    <mergeCell ref="O23:Q23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409" priority="3">
      <formula>$H$3=33</formula>
    </cfRule>
    <cfRule type="expression" dxfId="408" priority="4">
      <formula>$H$3=20</formula>
    </cfRule>
    <cfRule type="expression" dxfId="407" priority="5">
      <formula>$H$3=18</formula>
    </cfRule>
    <cfRule type="expression" dxfId="406" priority="6">
      <formula>$H$3=12</formula>
    </cfRule>
    <cfRule type="expression" dxfId="405" priority="7">
      <formula>$H$3=10</formula>
    </cfRule>
  </conditionalFormatting>
  <conditionalFormatting sqref="N24">
    <cfRule type="cellIs" dxfId="404" priority="1" operator="greaterThanOrEqual">
      <formula>60.5</formula>
    </cfRule>
    <cfRule type="cellIs" dxfId="403" priority="2" operator="greaterThanOrEqual">
      <formula>55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5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1</v>
      </c>
      <c r="Q6" s="25">
        <f>$J$1*P6</f>
        <v>1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IF($J$3&lt;=2700,7,10)</f>
        <v>10</v>
      </c>
      <c r="Q7" s="25">
        <f t="shared" ref="Q7:Q13" si="3">$J$1*P7</f>
        <v>10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3200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1</v>
      </c>
      <c r="Q8" s="25">
        <f t="shared" si="3"/>
        <v>1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3125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1</v>
      </c>
      <c r="Q9" s="25">
        <f t="shared" si="3"/>
        <v>1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3125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1</v>
      </c>
      <c r="Q10" s="25">
        <f t="shared" si="3"/>
        <v>1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3360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1</v>
      </c>
      <c r="Q11" s="25">
        <f t="shared" si="3"/>
        <v>1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8</v>
      </c>
      <c r="G12" s="135" t="s">
        <v>262</v>
      </c>
      <c r="H12" s="47">
        <f>$J$3-55-7-7</f>
        <v>3131</v>
      </c>
      <c r="I12" s="117">
        <f t="shared" si="0"/>
        <v>8</v>
      </c>
      <c r="J12" s="159">
        <f>ROUNDUP(((H12*I12)+(H13*I13))/6400,0)</f>
        <v>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2</v>
      </c>
      <c r="Q12" s="25">
        <f t="shared" si="3"/>
        <v>2</v>
      </c>
      <c r="R12" s="13">
        <v>73</v>
      </c>
      <c r="S12" s="6">
        <f>((H12*I12)/1000)*E12</f>
        <v>36.720367999999993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8</v>
      </c>
      <c r="G13" s="59" t="s">
        <v>95</v>
      </c>
      <c r="H13" s="47">
        <f>($I$3-18-9.5-(8*2)-23-9.5-18)/4</f>
        <v>826.5</v>
      </c>
      <c r="I13" s="117">
        <f t="shared" si="0"/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8</v>
      </c>
      <c r="G15" s="117" t="s">
        <v>19</v>
      </c>
      <c r="H15" s="47">
        <f>$H$12-80-80</f>
        <v>2971</v>
      </c>
      <c r="I15" s="117">
        <f>F15*$J$1</f>
        <v>8</v>
      </c>
      <c r="J15" s="159">
        <f>ROUNDUP(((H15*I15)+(H16*I16))/6400,0)</f>
        <v>5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8</v>
      </c>
      <c r="G16" s="117" t="s">
        <v>56</v>
      </c>
      <c r="H16" s="47">
        <f>$H$13-60-60</f>
        <v>706.5</v>
      </c>
      <c r="I16" s="117">
        <f>F16*$J$1</f>
        <v>8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6.7738799999999992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63.26</v>
      </c>
      <c r="Q23" s="45">
        <f>$J$1*P23</f>
        <v>63.26</v>
      </c>
      <c r="S23" s="6">
        <f>O28*P28*6*Q28*2.5/1000000</f>
        <v>125.41179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29.58</v>
      </c>
      <c r="Q24" s="45">
        <f t="shared" ref="Q24:Q25" si="8">$J$1*P24</f>
        <v>29.58</v>
      </c>
      <c r="S24" s="18">
        <f>SUM(S12:S23)</f>
        <v>168.906038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29.58</v>
      </c>
      <c r="Q25" s="45">
        <f t="shared" si="8"/>
        <v>29.58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((($H$12*$F$12*$E$12/1000)+($H$13*$F$13*$E$13/1000)+($H$15*$F$15*$E$15/1000)+($H$16*$F$16*$E$16/1000))+($O$28*$P$28*$H$3*2.5*4/1000000))/4</f>
        <v>42.226509499999999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$N$27*4</f>
        <v>168.906038</v>
      </c>
      <c r="O28" s="41">
        <f>$H$12-130</f>
        <v>3001</v>
      </c>
      <c r="P28" s="41">
        <f>$H$13-130</f>
        <v>696.5</v>
      </c>
      <c r="Q28" s="41">
        <f>4*$J$1</f>
        <v>4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402" priority="13">
      <formula>$H$3=33</formula>
    </cfRule>
    <cfRule type="expression" dxfId="401" priority="14">
      <formula>$H$3=20</formula>
    </cfRule>
    <cfRule type="expression" dxfId="400" priority="15">
      <formula>$H$3=18</formula>
    </cfRule>
    <cfRule type="expression" dxfId="399" priority="16">
      <formula>$H$3=12</formula>
    </cfRule>
    <cfRule type="expression" dxfId="398" priority="17">
      <formula>$H$3=10</formula>
    </cfRule>
  </conditionalFormatting>
  <conditionalFormatting sqref="P22">
    <cfRule type="expression" dxfId="397" priority="8">
      <formula>$H$3=33</formula>
    </cfRule>
    <cfRule type="expression" dxfId="396" priority="9">
      <formula>$H$3=20</formula>
    </cfRule>
    <cfRule type="expression" dxfId="395" priority="10">
      <formula>$H$3=18</formula>
    </cfRule>
    <cfRule type="expression" dxfId="394" priority="11">
      <formula>$H$3=12</formula>
    </cfRule>
    <cfRule type="expression" dxfId="393" priority="12">
      <formula>$H$3=10</formula>
    </cfRule>
  </conditionalFormatting>
  <conditionalFormatting sqref="Q22">
    <cfRule type="expression" dxfId="392" priority="3">
      <formula>$H$3=33</formula>
    </cfRule>
    <cfRule type="expression" dxfId="391" priority="4">
      <formula>$H$3=20</formula>
    </cfRule>
    <cfRule type="expression" dxfId="390" priority="5">
      <formula>$H$3=18</formula>
    </cfRule>
    <cfRule type="expression" dxfId="389" priority="6">
      <formula>$H$3=12</formula>
    </cfRule>
    <cfRule type="expression" dxfId="388" priority="7">
      <formula>$H$3=10</formula>
    </cfRule>
  </conditionalFormatting>
  <conditionalFormatting sqref="N27">
    <cfRule type="cellIs" dxfId="387" priority="1" operator="greaterThanOrEqual">
      <formula>45.5</formula>
    </cfRule>
    <cfRule type="cellIs" dxfId="386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5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3750</v>
      </c>
      <c r="J3" s="52">
        <v>3500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3714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3714</v>
      </c>
      <c r="I7" s="25">
        <f t="shared" ref="I7:I11" si="0">F7*$J$1</f>
        <v>1</v>
      </c>
      <c r="J7" s="25">
        <f t="shared" ref="J7:J9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IF($J$3&lt;=2700,12,18)</f>
        <v>18</v>
      </c>
      <c r="Q7" s="25">
        <f t="shared" ref="Q7:Q13" si="3">$J$1*P7</f>
        <v>18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3500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3425</v>
      </c>
      <c r="I9" s="117">
        <f>F9*$J$1</f>
        <v>2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61"/>
      <c r="D10" s="161" t="s">
        <v>48</v>
      </c>
      <c r="E10" s="161">
        <v>0.19</v>
      </c>
      <c r="F10" s="25">
        <v>2</v>
      </c>
      <c r="G10" s="25" t="s">
        <v>140</v>
      </c>
      <c r="H10" s="27">
        <f>$J$3-75</f>
        <v>3425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53">
        <v>6</v>
      </c>
      <c r="B11" s="26" t="s">
        <v>16</v>
      </c>
      <c r="C11" s="161"/>
      <c r="D11" s="161"/>
      <c r="E11" s="161"/>
      <c r="F11" s="25">
        <v>1</v>
      </c>
      <c r="G11" s="25" t="s">
        <v>17</v>
      </c>
      <c r="H11" s="27">
        <f>$I$3-20-20</f>
        <v>3710</v>
      </c>
      <c r="I11" s="53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8</v>
      </c>
      <c r="G12" s="135" t="s">
        <v>262</v>
      </c>
      <c r="H12" s="47">
        <f>$J$3-55-7-7</f>
        <v>3431</v>
      </c>
      <c r="I12" s="117">
        <f>F12*$J$1</f>
        <v>8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>$J$1*P12</f>
        <v>4</v>
      </c>
      <c r="R12" s="13">
        <v>73</v>
      </c>
      <c r="S12" s="6">
        <f>((H12*I12)/1000)*E12</f>
        <v>40.238768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8</v>
      </c>
      <c r="G13" s="59" t="s">
        <v>116</v>
      </c>
      <c r="H13" s="47">
        <f>($I$3-18-9.5-(8*2)-71-9.5-18)/4</f>
        <v>902</v>
      </c>
      <c r="I13" s="117">
        <f>F13*$J$1</f>
        <v>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16</v>
      </c>
      <c r="Q13" s="25">
        <f t="shared" si="3"/>
        <v>16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3431</v>
      </c>
      <c r="I14" s="25">
        <f>F14*$J$1</f>
        <v>2</v>
      </c>
      <c r="J14" s="25">
        <f>ROUNDUP((H14*I14)/6400,0)</f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8</v>
      </c>
      <c r="G15" s="117" t="s">
        <v>19</v>
      </c>
      <c r="H15" s="47">
        <f>$H$12-80-80</f>
        <v>3271</v>
      </c>
      <c r="I15" s="117">
        <f>F15*$J$1</f>
        <v>8</v>
      </c>
      <c r="J15" s="159">
        <f>ROUNDUP(((H15*I15)+(H16*I16))/6400,0)</f>
        <v>6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107.47799999999999</v>
      </c>
      <c r="Q15" s="45">
        <f>$J$1*P15</f>
        <v>107.47799999999999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8</v>
      </c>
      <c r="G16" s="117" t="s">
        <v>56</v>
      </c>
      <c r="H16" s="47">
        <f>$H$13-60-60</f>
        <v>782</v>
      </c>
      <c r="I16" s="117">
        <f>F16*$J$1</f>
        <v>8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13.724</v>
      </c>
      <c r="Q16" s="45">
        <f>$J$1*P16</f>
        <v>13.724</v>
      </c>
      <c r="S16" s="6">
        <f>((H15*I15)/1000)*E15</f>
        <v>7.4578799999999994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88"/>
      <c r="B17" s="123"/>
      <c r="C17" s="123"/>
      <c r="D17" s="88"/>
      <c r="E17" s="88"/>
      <c r="F17" s="88"/>
      <c r="G17" s="88"/>
      <c r="H17" s="124"/>
      <c r="I17" s="88"/>
      <c r="J17" s="88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32.584000000000003</v>
      </c>
      <c r="Q17" s="45">
        <f t="shared" ref="Q17:Q18" si="4">$J$1*P17</f>
        <v>32.584000000000003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32.584000000000003</v>
      </c>
      <c r="Q18" s="45">
        <f t="shared" si="4"/>
        <v>32.584000000000003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152.90232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200.59896800000001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((($H$12*$F$12*$E$12/1000)+($H$13*$F$13*$E$13/1000)+($H$15*$F$15*$E$15/1000)+($H$16*$F$16*$E$16/1000))+($O$25*$P$25*$H$3*2.5*4/1000000))/4</f>
        <v>50.149742000000003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$N$24*4</f>
        <v>200.59896800000001</v>
      </c>
      <c r="O25" s="41">
        <f>$H$12-130</f>
        <v>3301</v>
      </c>
      <c r="P25" s="41">
        <f>$H$13-130</f>
        <v>772</v>
      </c>
      <c r="Q25" s="41">
        <f>4*$J$1</f>
        <v>4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C2:F2"/>
    <mergeCell ref="A4:J4"/>
    <mergeCell ref="L4:Q4"/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J10:J11"/>
    <mergeCell ref="E10:E11"/>
    <mergeCell ref="D10:D11"/>
    <mergeCell ref="C10:C11"/>
  </mergeCells>
  <conditionalFormatting sqref="L17:Q18">
    <cfRule type="expression" dxfId="385" priority="3">
      <formula>$H$3=33</formula>
    </cfRule>
    <cfRule type="expression" dxfId="384" priority="4">
      <formula>$H$3=20</formula>
    </cfRule>
    <cfRule type="expression" dxfId="383" priority="5">
      <formula>$H$3=18</formula>
    </cfRule>
    <cfRule type="expression" dxfId="382" priority="6">
      <formula>$H$3=12</formula>
    </cfRule>
    <cfRule type="expression" dxfId="381" priority="7">
      <formula>$H$3=10</formula>
    </cfRule>
  </conditionalFormatting>
  <conditionalFormatting sqref="N24">
    <cfRule type="cellIs" dxfId="380" priority="1" operator="greaterThanOrEqual">
      <formula>90.5</formula>
    </cfRule>
    <cfRule type="cellIs" dxfId="379" priority="2" operator="greaterThanOrEqual">
      <formula>80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4675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4639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4639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IF($J$3&lt;=2700,11,16)</f>
        <v>16</v>
      </c>
      <c r="Q7" s="25">
        <f t="shared" ref="Q7:Q13" si="3">$J$1*P7</f>
        <v>16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4635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10</v>
      </c>
      <c r="G12" s="135" t="s">
        <v>262</v>
      </c>
      <c r="H12" s="47">
        <f>$J$3-55-7-7</f>
        <v>2931</v>
      </c>
      <c r="I12" s="117">
        <f t="shared" si="0"/>
        <v>10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42.96846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10</v>
      </c>
      <c r="G13" s="117" t="s">
        <v>85</v>
      </c>
      <c r="H13" s="47">
        <f>($I$3-18-9.5-(8*4)-18-18)/5</f>
        <v>915.9</v>
      </c>
      <c r="I13" s="117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2931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10</v>
      </c>
      <c r="G15" s="117" t="s">
        <v>19</v>
      </c>
      <c r="H15" s="47">
        <f>$H$12-80-80</f>
        <v>2771</v>
      </c>
      <c r="I15" s="117">
        <f>F15*$J$1</f>
        <v>10</v>
      </c>
      <c r="J15" s="159">
        <f>ROUNDUP(((H15*I15)+(H16*I16))/6400,0)</f>
        <v>6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10</v>
      </c>
      <c r="G16" s="117" t="s">
        <v>56</v>
      </c>
      <c r="H16" s="47">
        <f>$H$13-60-60</f>
        <v>795.9</v>
      </c>
      <c r="I16" s="117">
        <f>F16*$J$1</f>
        <v>10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7.8973499999999994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2.9</v>
      </c>
      <c r="Q21" s="69">
        <f>$J$1*P21</f>
        <v>2.9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(($H$6*$I$6)+($H$8*1)+($H$9*$I$9)+($H$12*$I$12*2)+($H$13*$I$13)+($H$14*$I$14)-($H$12*2))/1000</f>
        <v>78.337000000000003</v>
      </c>
      <c r="Q22" s="45">
        <f>$J$1*P22</f>
        <v>78.337000000000003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35.869</v>
      </c>
      <c r="Q23" s="45">
        <f t="shared" ref="Q23:Q24" si="6">$J$1*P23</f>
        <v>35.869</v>
      </c>
      <c r="S23" s="6">
        <f>O28*P28*6*Q28*2.5/1000000</f>
        <v>165.09794249999996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35.869</v>
      </c>
      <c r="Q24" s="45">
        <f t="shared" si="6"/>
        <v>35.869</v>
      </c>
      <c r="S24" s="18">
        <f>SUM(S12:S23)</f>
        <v>215.96375249999994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((($H$12*$F$12*$E$12/1000)+($H$13*$F$13*$E$13/1000)+($H$15*$F$15*$E$15/1000)+($H$16*$F$16*$E$16/1000))+($O$28*$P$28*$H$3*2.5*5/1000000))/5</f>
        <v>43.192750499999988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215.96375249999994</v>
      </c>
      <c r="O28" s="41">
        <f>$H$12-130</f>
        <v>2801</v>
      </c>
      <c r="P28" s="41">
        <f>$H$13-130</f>
        <v>785.9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378" priority="13">
      <formula>$H$3=33</formula>
    </cfRule>
    <cfRule type="expression" dxfId="377" priority="14">
      <formula>$H$3=20</formula>
    </cfRule>
    <cfRule type="expression" dxfId="376" priority="15">
      <formula>$H$3=18</formula>
    </cfRule>
    <cfRule type="expression" dxfId="375" priority="16">
      <formula>$H$3=12</formula>
    </cfRule>
    <cfRule type="expression" dxfId="374" priority="17">
      <formula>$H$3=10</formula>
    </cfRule>
  </conditionalFormatting>
  <conditionalFormatting sqref="P21">
    <cfRule type="expression" dxfId="373" priority="8">
      <formula>$H$3=33</formula>
    </cfRule>
    <cfRule type="expression" dxfId="372" priority="9">
      <formula>$H$3=20</formula>
    </cfRule>
    <cfRule type="expression" dxfId="371" priority="10">
      <formula>$H$3=18</formula>
    </cfRule>
    <cfRule type="expression" dxfId="370" priority="11">
      <formula>$H$3=12</formula>
    </cfRule>
    <cfRule type="expression" dxfId="369" priority="12">
      <formula>$H$3=10</formula>
    </cfRule>
  </conditionalFormatting>
  <conditionalFormatting sqref="Q21">
    <cfRule type="expression" dxfId="368" priority="3">
      <formula>$H$3=33</formula>
    </cfRule>
    <cfRule type="expression" dxfId="367" priority="4">
      <formula>$H$3=20</formula>
    </cfRule>
    <cfRule type="expression" dxfId="366" priority="5">
      <formula>$H$3=18</formula>
    </cfRule>
    <cfRule type="expression" dxfId="365" priority="6">
      <formula>$H$3=12</formula>
    </cfRule>
    <cfRule type="expression" dxfId="364" priority="7">
      <formula>$H$3=10</formula>
    </cfRule>
  </conditionalFormatting>
  <conditionalFormatting sqref="N27">
    <cfRule type="cellIs" dxfId="363" priority="1" operator="greaterThanOrEqual">
      <formula>45.5</formula>
    </cfRule>
    <cfRule type="cellIs" dxfId="362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4" tint="-0.249977111117893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4200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4164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4164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IF($J$3&lt;=2700,14,20)</f>
        <v>20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4160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10</v>
      </c>
      <c r="G12" s="135" t="s">
        <v>262</v>
      </c>
      <c r="H12" s="47">
        <f>$J$3-55-7-7</f>
        <v>2931</v>
      </c>
      <c r="I12" s="117">
        <f t="shared" si="0"/>
        <v>10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42.96846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10</v>
      </c>
      <c r="G13" s="59" t="s">
        <v>92</v>
      </c>
      <c r="H13" s="47">
        <f>($I$3-18-9.5-(8*3)-58-9.5-18)/5</f>
        <v>812.6</v>
      </c>
      <c r="I13" s="117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2931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2931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10</v>
      </c>
      <c r="G16" s="117" t="s">
        <v>19</v>
      </c>
      <c r="H16" s="47">
        <f>$H$12-80-80</f>
        <v>2771</v>
      </c>
      <c r="I16" s="117">
        <f>F16*$J$1</f>
        <v>10</v>
      </c>
      <c r="J16" s="159">
        <f>ROUNDUP(((H16*I16)+(H17*I17))/6400,0)</f>
        <v>6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7.8973499999999994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10</v>
      </c>
      <c r="G17" s="117" t="s">
        <v>56</v>
      </c>
      <c r="H17" s="47">
        <f>$H$13-60-60</f>
        <v>692.6</v>
      </c>
      <c r="I17" s="117">
        <f>F17*$J$1</f>
        <v>10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2.9</v>
      </c>
      <c r="Q21" s="69">
        <f>$J$1*P21</f>
        <v>2.9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91.483999999999995</v>
      </c>
      <c r="Q22" s="45">
        <f>$J$1*P22</f>
        <v>91.483999999999995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34.835999999999999</v>
      </c>
      <c r="Q23" s="45">
        <f t="shared" ref="Q23:Q24" si="6">$J$1*P23</f>
        <v>34.835999999999999</v>
      </c>
      <c r="S23" s="6">
        <f>O28*P28*6*Q28*2.5/1000000</f>
        <v>143.39719500000004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34.835999999999999</v>
      </c>
      <c r="Q24" s="45">
        <f t="shared" si="6"/>
        <v>34.835999999999999</v>
      </c>
      <c r="S24" s="18">
        <f>SUM(S12:S23)</f>
        <v>194.26300500000002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((($H$12*$F$12*$E$12/1000)+($H$13*$F$13*$E$13/1000)+($H$16*$F$16*$E$16/1000)+($H$17*$F$17*$E$17/1000))+($O$28*$P$28*$H$3*2.5*5/1000000))/5</f>
        <v>48.412413999999998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242.06207000000001</v>
      </c>
      <c r="O28" s="41">
        <f>$H$12-130</f>
        <v>2801</v>
      </c>
      <c r="P28" s="41">
        <f>$H$13-130</f>
        <v>682.6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361" priority="13">
      <formula>$H$3=33</formula>
    </cfRule>
    <cfRule type="expression" dxfId="360" priority="14">
      <formula>$H$3=20</formula>
    </cfRule>
    <cfRule type="expression" dxfId="359" priority="15">
      <formula>$H$3=18</formula>
    </cfRule>
    <cfRule type="expression" dxfId="358" priority="16">
      <formula>$H$3=12</formula>
    </cfRule>
    <cfRule type="expression" dxfId="357" priority="17">
      <formula>$H$3=10</formula>
    </cfRule>
  </conditionalFormatting>
  <conditionalFormatting sqref="P21">
    <cfRule type="expression" dxfId="356" priority="8">
      <formula>$H$3=33</formula>
    </cfRule>
    <cfRule type="expression" dxfId="355" priority="9">
      <formula>$H$3=20</formula>
    </cfRule>
    <cfRule type="expression" dxfId="354" priority="10">
      <formula>$H$3=18</formula>
    </cfRule>
    <cfRule type="expression" dxfId="353" priority="11">
      <formula>$H$3=12</formula>
    </cfRule>
    <cfRule type="expression" dxfId="352" priority="12">
      <formula>$H$3=10</formula>
    </cfRule>
  </conditionalFormatting>
  <conditionalFormatting sqref="Q21">
    <cfRule type="expression" dxfId="351" priority="3">
      <formula>$H$3=33</formula>
    </cfRule>
    <cfRule type="expression" dxfId="350" priority="4">
      <formula>$H$3=20</formula>
    </cfRule>
    <cfRule type="expression" dxfId="349" priority="5">
      <formula>$H$3=18</formula>
    </cfRule>
    <cfRule type="expression" dxfId="348" priority="6">
      <formula>$H$3=12</formula>
    </cfRule>
    <cfRule type="expression" dxfId="347" priority="7">
      <formula>$H$3=10</formula>
    </cfRule>
  </conditionalFormatting>
  <conditionalFormatting sqref="N27">
    <cfRule type="cellIs" dxfId="346" priority="1" operator="greaterThanOrEqual">
      <formula>60.5</formula>
    </cfRule>
    <cfRule type="cellIs" dxfId="345" priority="2" operator="greaterThanOrEqual">
      <formula>55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4" tint="-0.249977111117893"/>
  </sheetPr>
  <dimension ref="A1:AE40"/>
  <sheetViews>
    <sheetView view="pageBreakPreview" topLeftCell="A13" zoomScale="70" zoomScaleNormal="55" zoomScaleSheetLayoutView="70" workbookViewId="0">
      <selection activeCell="I8" sqref="I8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IF($J$3&lt;=2700,14,20)</f>
        <v>20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10</v>
      </c>
      <c r="G12" s="135" t="s">
        <v>262</v>
      </c>
      <c r="H12" s="47">
        <f>$J$3-55-7-7</f>
        <v>2681</v>
      </c>
      <c r="I12" s="117">
        <f t="shared" si="0"/>
        <v>10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39.303459999999994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10</v>
      </c>
      <c r="G13" s="59" t="s">
        <v>92</v>
      </c>
      <c r="H13" s="47">
        <f>($I$3-18-9.5-(8*3)-58-9.5-18)/5</f>
        <v>872.6</v>
      </c>
      <c r="I13" s="117">
        <f t="shared" si="0"/>
        <v>10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20</v>
      </c>
      <c r="Q13" s="25">
        <f t="shared" si="3"/>
        <v>20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60</v>
      </c>
      <c r="Q14" s="25">
        <f>$J$1*P14</f>
        <v>60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10</v>
      </c>
      <c r="G16" s="117" t="s">
        <v>19</v>
      </c>
      <c r="H16" s="47">
        <f>$H$12-80-80</f>
        <v>2521</v>
      </c>
      <c r="I16" s="117">
        <f>F16*$J$1</f>
        <v>10</v>
      </c>
      <c r="J16" s="159">
        <f>ROUNDUP(((H16*I16)+(H17*I17))/6400,0)</f>
        <v>6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7.18485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10</v>
      </c>
      <c r="G17" s="117" t="s">
        <v>56</v>
      </c>
      <c r="H17" s="47">
        <f>$H$13-60-60</f>
        <v>752.6</v>
      </c>
      <c r="I17" s="117">
        <f>F17*$J$1</f>
        <v>10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85.634</v>
      </c>
      <c r="Q22" s="45">
        <f>$J$1*P22</f>
        <v>85.634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32.936</v>
      </c>
      <c r="Q23" s="45">
        <f t="shared" ref="Q23:Q24" si="6">$J$1*P23</f>
        <v>32.936</v>
      </c>
      <c r="S23" s="6">
        <f>O28*P28*6*Q28*2.5/1000000</f>
        <v>142.07794500000003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32.936</v>
      </c>
      <c r="Q24" s="45">
        <f t="shared" si="6"/>
        <v>32.936</v>
      </c>
      <c r="S24" s="18">
        <f>SUM(S12:S23)</f>
        <v>188.56625500000001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((($H$12*$F$12*$E$12/1000)+($H$13*$F$13*$E$13/1000)+($H$16*$F$16*$E$16/1000)+($H$17*$F$17*$E$17/1000))+($O$28*$P$28*$H$3*2.5*5/1000000))/5</f>
        <v>37.713251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$N$27*5</f>
        <v>188.56625500000001</v>
      </c>
      <c r="O28" s="41">
        <f>$H$12-130</f>
        <v>2551</v>
      </c>
      <c r="P28" s="41">
        <f>$H$13-130</f>
        <v>742.6</v>
      </c>
      <c r="Q28" s="41">
        <f>5*$J$1</f>
        <v>5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344" priority="13">
      <formula>$H$3=33</formula>
    </cfRule>
    <cfRule type="expression" dxfId="343" priority="14">
      <formula>$H$3=20</formula>
    </cfRule>
    <cfRule type="expression" dxfId="342" priority="15">
      <formula>$H$3=18</formula>
    </cfRule>
    <cfRule type="expression" dxfId="341" priority="16">
      <formula>$H$3=12</formula>
    </cfRule>
    <cfRule type="expression" dxfId="340" priority="17">
      <formula>$H$3=10</formula>
    </cfRule>
  </conditionalFormatting>
  <conditionalFormatting sqref="P21">
    <cfRule type="expression" dxfId="339" priority="8">
      <formula>$H$3=33</formula>
    </cfRule>
    <cfRule type="expression" dxfId="338" priority="9">
      <formula>$H$3=20</formula>
    </cfRule>
    <cfRule type="expression" dxfId="337" priority="10">
      <formula>$H$3=18</formula>
    </cfRule>
    <cfRule type="expression" dxfId="336" priority="11">
      <formula>$H$3=12</formula>
    </cfRule>
    <cfRule type="expression" dxfId="335" priority="12">
      <formula>$H$3=10</formula>
    </cfRule>
  </conditionalFormatting>
  <conditionalFormatting sqref="Q21">
    <cfRule type="expression" dxfId="334" priority="3">
      <formula>$H$3=33</formula>
    </cfRule>
    <cfRule type="expression" dxfId="333" priority="4">
      <formula>$H$3=20</formula>
    </cfRule>
    <cfRule type="expression" dxfId="332" priority="5">
      <formula>$H$3=18</formula>
    </cfRule>
    <cfRule type="expression" dxfId="331" priority="6">
      <formula>$H$3=12</formula>
    </cfRule>
    <cfRule type="expression" dxfId="330" priority="7">
      <formula>$H$3=10</formula>
    </cfRule>
  </conditionalFormatting>
  <conditionalFormatting sqref="N27">
    <cfRule type="cellIs" dxfId="329" priority="1" operator="greaterThanOrEqual">
      <formula>45.5</formula>
    </cfRule>
    <cfRule type="cellIs" dxfId="328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-0.249977111117893"/>
  </sheetPr>
  <dimension ref="A1:AE37"/>
  <sheetViews>
    <sheetView view="pageBreakPreview" zoomScale="70" zoomScaleNormal="55" zoomScaleSheetLayoutView="70" workbookViewId="0">
      <selection activeCell="N26" sqref="N26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2</v>
      </c>
    </row>
    <row r="2" spans="1:25" ht="19.95" customHeight="1" x14ac:dyDescent="0.35">
      <c r="A2" s="7"/>
      <c r="C2" s="157" t="s">
        <v>263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4450</v>
      </c>
      <c r="J3" s="52">
        <v>3250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4414</v>
      </c>
      <c r="I6" s="25">
        <f>F6*$J$1</f>
        <v>2</v>
      </c>
      <c r="J6" s="25">
        <f>ROUNDUP((H6*I6)/6400,0)</f>
        <v>2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6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4414</v>
      </c>
      <c r="I7" s="25">
        <f t="shared" ref="I7:I17" si="0">F7*$J$1</f>
        <v>2</v>
      </c>
      <c r="J7" s="25">
        <f t="shared" ref="J7:J15" si="1">ROUNDUP((H7*I7)/6400,0)</f>
        <v>2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IF($J$3&lt;=2700,15,22)</f>
        <v>22</v>
      </c>
      <c r="Q7" s="25">
        <f t="shared" ref="Q7:Q13" si="3">$J$1*P7</f>
        <v>44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3250</v>
      </c>
      <c r="I8" s="117">
        <f t="shared" si="0"/>
        <v>4</v>
      </c>
      <c r="J8" s="117">
        <f t="shared" si="1"/>
        <v>3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6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3175</v>
      </c>
      <c r="I9" s="117">
        <f>F9*$J$1</f>
        <v>4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6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3175</v>
      </c>
      <c r="I10" s="25">
        <f t="shared" si="0"/>
        <v>4</v>
      </c>
      <c r="J10" s="151">
        <f>ROUNDUP(((H10*I10)+(H11*I11))/6400,0)</f>
        <v>4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6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4410</v>
      </c>
      <c r="I11" s="25">
        <f t="shared" si="0"/>
        <v>2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6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12</v>
      </c>
      <c r="G12" s="135" t="s">
        <v>262</v>
      </c>
      <c r="H12" s="47">
        <f>$J$3-55-7-7</f>
        <v>3181</v>
      </c>
      <c r="I12" s="117">
        <f t="shared" si="0"/>
        <v>24</v>
      </c>
      <c r="J12" s="159">
        <f>ROUNDUP(((H12*I12)+(H13*I13))/6400,0)</f>
        <v>15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>$J$1*P12</f>
        <v>12</v>
      </c>
      <c r="R12" s="13">
        <v>73</v>
      </c>
      <c r="S12" s="6">
        <f>((H12*I12)/1000)*E12</f>
        <v>111.92030399999999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12</v>
      </c>
      <c r="G13" s="117" t="s">
        <v>76</v>
      </c>
      <c r="H13" s="47">
        <f>($I$3-18-9.5-(8*5)-50-18)/6</f>
        <v>719.08333333333337</v>
      </c>
      <c r="I13" s="117">
        <f t="shared" si="0"/>
        <v>24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48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3181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144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3170</v>
      </c>
      <c r="I15" s="25">
        <f t="shared" si="0"/>
        <v>2</v>
      </c>
      <c r="J15" s="25">
        <f t="shared" si="1"/>
        <v>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(($H$6*$I$6)+($H$8*1)+($H$9*$I$9)+($H$12*$I$12*2)+($H$14*$I$13*2)+($H$13*3)+($H$15*$I$15))/1000</f>
        <v>338.65125</v>
      </c>
      <c r="Q15" s="45">
        <f t="shared" ref="Q15" si="4">$J$1*P15</f>
        <v>677.30250000000001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12</v>
      </c>
      <c r="G16" s="117" t="s">
        <v>19</v>
      </c>
      <c r="H16" s="47">
        <f>$H$12-80-80</f>
        <v>3021</v>
      </c>
      <c r="I16" s="117">
        <f t="shared" si="0"/>
        <v>24</v>
      </c>
      <c r="J16" s="159">
        <f>ROUNDUP(((H16*I16)+(H17*I17))/6400,0)</f>
        <v>14</v>
      </c>
      <c r="K16" s="28"/>
      <c r="L16" s="117">
        <v>15</v>
      </c>
      <c r="M16" s="43" t="s">
        <v>75</v>
      </c>
      <c r="N16" s="44"/>
      <c r="O16" s="117" t="s">
        <v>1</v>
      </c>
      <c r="P16" s="45">
        <f>(($H$14*2)+($H$15*2))/1000</f>
        <v>12.702</v>
      </c>
      <c r="Q16" s="45">
        <f>$J$1*P16</f>
        <v>25.404</v>
      </c>
      <c r="S16" s="6">
        <f>((H16*I16)/1000)*E16</f>
        <v>20.663640000000001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117">
        <v>12</v>
      </c>
      <c r="G17" s="117" t="s">
        <v>56</v>
      </c>
      <c r="H17" s="47">
        <f>$H$13-60-60</f>
        <v>599.08333333333337</v>
      </c>
      <c r="I17" s="117">
        <f t="shared" si="0"/>
        <v>24</v>
      </c>
      <c r="J17" s="160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87.361999999999995</v>
      </c>
      <c r="Q17" s="45">
        <f>$J$1*P17</f>
        <v>174.72399999999999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87.361999999999995</v>
      </c>
      <c r="Q18" s="45">
        <f>$J$1*P18</f>
        <v>174.72399999999999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323.51278500000001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456.09672899999998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((($H$12*$F$12*$E$12/1000)+($H$13*$F$13*$E$13/1000)+($H$16*$F$16*$E$16/1000)+($H$17*$F$17*$E$17/1000))+($O$25*$P$25*$H$3*2.5*6/1000000))/6</f>
        <v>46.994526999999998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$N$24*6</f>
        <v>281.96716199999997</v>
      </c>
      <c r="O25" s="41">
        <f>$H$12-130</f>
        <v>3051</v>
      </c>
      <c r="P25" s="41">
        <f>$H$13-130</f>
        <v>589.08333333333337</v>
      </c>
      <c r="Q25" s="41">
        <f>6*$J$1</f>
        <v>12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327" priority="3">
      <formula>$H$3=33</formula>
    </cfRule>
    <cfRule type="expression" dxfId="326" priority="4">
      <formula>$H$3=20</formula>
    </cfRule>
    <cfRule type="expression" dxfId="325" priority="5">
      <formula>$H$3=18</formula>
    </cfRule>
    <cfRule type="expression" dxfId="324" priority="6">
      <formula>$H$3=12</formula>
    </cfRule>
    <cfRule type="expression" dxfId="323" priority="7">
      <formula>$H$3=10</formula>
    </cfRule>
  </conditionalFormatting>
  <conditionalFormatting sqref="N24">
    <cfRule type="cellIs" dxfId="322" priority="1" operator="greaterThanOrEqual">
      <formula>54.5</formula>
    </cfRule>
    <cfRule type="cellIs" dxfId="321" priority="2" operator="greaterThanOrEqual">
      <formula>49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0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-0.249977111117893"/>
  </sheetPr>
  <dimension ref="A1:AE40"/>
  <sheetViews>
    <sheetView view="pageBreakPreview" zoomScale="70" zoomScaleNormal="55" zoomScaleSheetLayoutView="70" workbookViewId="0">
      <selection activeCell="H14" sqref="H14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1464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IF($J$3&lt;=2700,11,16)</f>
        <v>11</v>
      </c>
      <c r="Q7" s="25">
        <f t="shared" ref="Q7:Q13" si="3">$J$1*P7</f>
        <v>11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2600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2525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2525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1460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12</v>
      </c>
      <c r="G12" s="135" t="s">
        <v>262</v>
      </c>
      <c r="H12" s="47">
        <f>$J$3-55-7-7</f>
        <v>2531</v>
      </c>
      <c r="I12" s="117">
        <f t="shared" si="0"/>
        <v>12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44.525351999999998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12</v>
      </c>
      <c r="G13" s="59" t="s">
        <v>97</v>
      </c>
      <c r="H13" s="47">
        <f>($I$3-18-9.5-(8*4)-23-9.5-18)/6</f>
        <v>231.66666666666666</v>
      </c>
      <c r="I13" s="117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2531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48</v>
      </c>
      <c r="Q14" s="25">
        <f>$J$1*P14</f>
        <v>48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12</v>
      </c>
      <c r="G15" s="117" t="s">
        <v>19</v>
      </c>
      <c r="H15" s="47">
        <f>$H$12-80-80</f>
        <v>2371</v>
      </c>
      <c r="I15" s="117">
        <f>F15*$J$1</f>
        <v>12</v>
      </c>
      <c r="J15" s="159">
        <f>ROUNDUP(((H15*I15)+(H16*I16))/6400,0)</f>
        <v>5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12</v>
      </c>
      <c r="G16" s="117" t="s">
        <v>56</v>
      </c>
      <c r="H16" s="47">
        <f>$H$13-60-60</f>
        <v>111.66666666666666</v>
      </c>
      <c r="I16" s="117">
        <f>F16*$J$1</f>
        <v>12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8.1088199999999997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3</v>
      </c>
      <c r="Q21" s="25">
        <f>$J$1*P21</f>
        <v>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2.5</v>
      </c>
      <c r="Q22" s="69">
        <f>$J$1*P22</f>
        <v>2.5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67.575999999999993</v>
      </c>
      <c r="Q23" s="45">
        <f>$J$1*P23</f>
        <v>67.575999999999993</v>
      </c>
      <c r="S23" s="6">
        <f>O28*P28*6*Q28*2.5/1000000</f>
        <v>21.969149999999999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30.032</v>
      </c>
      <c r="Q24" s="45">
        <f t="shared" ref="Q24:Q25" si="7">$J$1*P24</f>
        <v>30.032</v>
      </c>
      <c r="S24" s="18">
        <f>SUM(S12:S23)</f>
        <v>74.603321999999991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30.032</v>
      </c>
      <c r="Q25" s="45">
        <f t="shared" si="7"/>
        <v>30.032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((($H$12*$F$12*$E$12/1000)+($H$13*$F$13*$E$13/1000)+($H$15*$F$15*$E$15/1000)+($H$16*$F$16*$E$16/1000))+($O$28*$P$28*$H$3*2.5*6/1000000))/6</f>
        <v>12.433886999999999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$N$27*6</f>
        <v>74.603321999999991</v>
      </c>
      <c r="O28" s="41">
        <f>$H$12-130</f>
        <v>2401</v>
      </c>
      <c r="P28" s="41">
        <f>$H$13-130</f>
        <v>101.66666666666666</v>
      </c>
      <c r="Q28" s="41">
        <f>6*$J$1</f>
        <v>6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320" priority="13">
      <formula>$H$3=33</formula>
    </cfRule>
    <cfRule type="expression" dxfId="319" priority="14">
      <formula>$H$3=20</formula>
    </cfRule>
    <cfRule type="expression" dxfId="318" priority="15">
      <formula>$H$3=18</formula>
    </cfRule>
    <cfRule type="expression" dxfId="317" priority="16">
      <formula>$H$3=12</formula>
    </cfRule>
    <cfRule type="expression" dxfId="316" priority="17">
      <formula>$H$3=10</formula>
    </cfRule>
  </conditionalFormatting>
  <conditionalFormatting sqref="P22">
    <cfRule type="expression" dxfId="315" priority="8">
      <formula>$H$3=33</formula>
    </cfRule>
    <cfRule type="expression" dxfId="314" priority="9">
      <formula>$H$3=20</formula>
    </cfRule>
    <cfRule type="expression" dxfId="313" priority="10">
      <formula>$H$3=18</formula>
    </cfRule>
    <cfRule type="expression" dxfId="312" priority="11">
      <formula>$H$3=12</formula>
    </cfRule>
    <cfRule type="expression" dxfId="311" priority="12">
      <formula>$H$3=10</formula>
    </cfRule>
  </conditionalFormatting>
  <conditionalFormatting sqref="Q22">
    <cfRule type="expression" dxfId="310" priority="3">
      <formula>$H$3=33</formula>
    </cfRule>
    <cfRule type="expression" dxfId="309" priority="4">
      <formula>$H$3=20</formula>
    </cfRule>
    <cfRule type="expression" dxfId="308" priority="5">
      <formula>$H$3=18</formula>
    </cfRule>
    <cfRule type="expression" dxfId="307" priority="6">
      <formula>$H$3=12</formula>
    </cfRule>
    <cfRule type="expression" dxfId="306" priority="7">
      <formula>$H$3=10</formula>
    </cfRule>
  </conditionalFormatting>
  <conditionalFormatting sqref="N27">
    <cfRule type="cellIs" dxfId="305" priority="1" operator="greaterThanOrEqual">
      <formula>45.5</formula>
    </cfRule>
    <cfRule type="cellIs" dxfId="304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3750</v>
      </c>
      <c r="J3" s="52">
        <v>3500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3714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3714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IF($J$3&lt;=2700,16,24)</f>
        <v>24</v>
      </c>
      <c r="Q7" s="25">
        <f t="shared" ref="Q7:Q13" si="3">$J$1*P7</f>
        <v>24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3500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3425</v>
      </c>
      <c r="I9" s="117">
        <f>F9*$J$1</f>
        <v>2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3425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3710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12</v>
      </c>
      <c r="G12" s="135" t="s">
        <v>262</v>
      </c>
      <c r="H12" s="47">
        <f>$J$3-55-7-7</f>
        <v>3431</v>
      </c>
      <c r="I12" s="117">
        <f t="shared" si="0"/>
        <v>12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>$J$1*P12</f>
        <v>6</v>
      </c>
      <c r="R12" s="13">
        <v>73</v>
      </c>
      <c r="S12" s="6">
        <f>((H12*I12)/1000)*E12</f>
        <v>60.358151999999997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12</v>
      </c>
      <c r="G13" s="59" t="s">
        <v>119</v>
      </c>
      <c r="H13" s="47">
        <f>($I$3-18-9.5-(8*4)-71-9.5-18)/6</f>
        <v>598.66666666666663</v>
      </c>
      <c r="I13" s="117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3431</v>
      </c>
      <c r="I14" s="25">
        <f t="shared" si="0"/>
        <v>2</v>
      </c>
      <c r="J14" s="25">
        <f t="shared" si="1"/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72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12</v>
      </c>
      <c r="G15" s="117" t="s">
        <v>19</v>
      </c>
      <c r="H15" s="47">
        <f>$H$12-80-80</f>
        <v>3271</v>
      </c>
      <c r="I15" s="117">
        <f t="shared" si="0"/>
        <v>12</v>
      </c>
      <c r="J15" s="159">
        <f>ROUNDUP(((H15*I15)+(H16*I16))/6400,0)</f>
        <v>8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134.86199999999999</v>
      </c>
      <c r="Q15" s="45">
        <f>$J$1*P15</f>
        <v>134.86199999999999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12</v>
      </c>
      <c r="G16" s="117" t="s">
        <v>56</v>
      </c>
      <c r="H16" s="47">
        <f>$H$13-60-60</f>
        <v>478.66666666666663</v>
      </c>
      <c r="I16" s="117">
        <f t="shared" si="0"/>
        <v>12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13.724</v>
      </c>
      <c r="Q16" s="45">
        <f>$J$1*P16</f>
        <v>13.724</v>
      </c>
      <c r="S16" s="6">
        <f>((H15*I15)/1000)*E15</f>
        <v>11.186819999999999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45.235999999999997</v>
      </c>
      <c r="Q17" s="45">
        <f t="shared" ref="Q17:Q18" si="4">$J$1*P17</f>
        <v>45.235999999999997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45.235999999999997</v>
      </c>
      <c r="Q18" s="45">
        <f t="shared" si="4"/>
        <v>45.235999999999997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139.23617999999999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210.78115199999999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((($H$12*$F$12*$E$12/1000)+($H$13*$F$13*$E$13/1000)+($H$15*$F$15*$E$15/1000)+($H$16*$F$16*$E$16/1000))+($O$25*$P$25*$H$3*2.5*6/1000000))/6</f>
        <v>35.130192000000001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$N$24*6</f>
        <v>210.78115200000002</v>
      </c>
      <c r="O25" s="41">
        <f>$H$12-130</f>
        <v>3301</v>
      </c>
      <c r="P25" s="41">
        <f>$H$13-130</f>
        <v>468.66666666666663</v>
      </c>
      <c r="Q25" s="41">
        <f>6*$J$1</f>
        <v>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303" priority="3">
      <formula>$H$3=33</formula>
    </cfRule>
    <cfRule type="expression" dxfId="302" priority="4">
      <formula>$H$3=20</formula>
    </cfRule>
    <cfRule type="expression" dxfId="301" priority="5">
      <formula>$H$3=18</formula>
    </cfRule>
    <cfRule type="expression" dxfId="300" priority="6">
      <formula>$H$3=12</formula>
    </cfRule>
    <cfRule type="expression" dxfId="299" priority="7">
      <formula>$H$3=10</formula>
    </cfRule>
  </conditionalFormatting>
  <conditionalFormatting sqref="N24">
    <cfRule type="cellIs" dxfId="298" priority="1" operator="greaterThanOrEqual">
      <formula>67.5</formula>
    </cfRule>
    <cfRule type="cellIs" dxfId="297" priority="2" operator="greaterThanOrEqual">
      <formula>62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-0.249977111117893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5600</v>
      </c>
      <c r="J3" s="52">
        <v>2800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5564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2</v>
      </c>
      <c r="Q6" s="25">
        <f>$J$1*P6</f>
        <v>2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5564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IF($J$3&lt;=2700,14,20)</f>
        <v>20</v>
      </c>
      <c r="Q7" s="25">
        <f t="shared" ref="Q7:Q13" si="3">$J$1*P7</f>
        <v>20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2800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2</v>
      </c>
      <c r="Q8" s="25">
        <f t="shared" si="3"/>
        <v>2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2725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2</v>
      </c>
      <c r="Q9" s="25">
        <f t="shared" si="3"/>
        <v>2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2725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2</v>
      </c>
      <c r="Q10" s="25">
        <f t="shared" si="3"/>
        <v>2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5560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2</v>
      </c>
      <c r="Q11" s="25">
        <f t="shared" si="3"/>
        <v>2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12</v>
      </c>
      <c r="G12" s="135" t="s">
        <v>262</v>
      </c>
      <c r="H12" s="47">
        <f>$J$3-55-7-7</f>
        <v>2731</v>
      </c>
      <c r="I12" s="117">
        <f t="shared" si="0"/>
        <v>12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4</v>
      </c>
      <c r="Q12" s="25">
        <f t="shared" si="3"/>
        <v>4</v>
      </c>
      <c r="R12" s="13">
        <v>73</v>
      </c>
      <c r="S12" s="6">
        <f>((H12*I12)/1000)*E12</f>
        <v>48.043751999999998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12</v>
      </c>
      <c r="G13" s="59" t="s">
        <v>97</v>
      </c>
      <c r="H13" s="47">
        <f>($I$3-18-9.5-(8*4)-23-9.5-18)/6</f>
        <v>915</v>
      </c>
      <c r="I13" s="117">
        <f t="shared" si="0"/>
        <v>12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24</v>
      </c>
      <c r="Q13" s="25">
        <f t="shared" si="3"/>
        <v>24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2731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72</v>
      </c>
      <c r="Q14" s="25">
        <f>$J$1*P14</f>
        <v>72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12</v>
      </c>
      <c r="G15" s="117" t="s">
        <v>19</v>
      </c>
      <c r="H15" s="47">
        <f>$H$12-80-80</f>
        <v>2571</v>
      </c>
      <c r="I15" s="117">
        <f>F15*$J$1</f>
        <v>12</v>
      </c>
      <c r="J15" s="159">
        <f>ROUNDUP(((H15*I15)+(H16*I16))/6400,0)</f>
        <v>7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12</v>
      </c>
      <c r="G16" s="117" t="s">
        <v>56</v>
      </c>
      <c r="H16" s="47">
        <f>$H$13-60-60</f>
        <v>795</v>
      </c>
      <c r="I16" s="117">
        <f>F16*$J$1</f>
        <v>12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8.792819999999999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2.7</v>
      </c>
      <c r="Q22" s="69">
        <f t="shared" ref="Q22" si="7">$J$1*P22</f>
        <v>2.7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84.876000000000005</v>
      </c>
      <c r="Q23" s="45">
        <f>$J$1*P23</f>
        <v>84.876000000000005</v>
      </c>
      <c r="S23" s="6">
        <f>O28*P28*6*Q28*2.5/1000000</f>
        <v>183.76065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40.631999999999998</v>
      </c>
      <c r="Q24" s="45">
        <f t="shared" ref="Q24:Q25" si="8">$J$1*P24</f>
        <v>40.631999999999998</v>
      </c>
      <c r="S24" s="18">
        <f>SUM(S12:S23)</f>
        <v>240.59722199999999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40.631999999999998</v>
      </c>
      <c r="Q25" s="45">
        <f t="shared" si="8"/>
        <v>40.631999999999998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((($H$12*$F$12*$E$12/1000)+($H$13*$F$13*$E$13/1000)+($H$15*$F$15*$E$15/1000)+($H$16*$F$16*$E$16/1000))+($O$28*$P$28*$H$3*2.5*6/1000000))/6</f>
        <v>40.099536999999998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$N$27*6</f>
        <v>240.59722199999999</v>
      </c>
      <c r="O28" s="41">
        <f>$H$12-130</f>
        <v>2601</v>
      </c>
      <c r="P28" s="41">
        <f>$H$13-130</f>
        <v>785</v>
      </c>
      <c r="Q28" s="41">
        <f>6*$J$1</f>
        <v>6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296" priority="13">
      <formula>$H$3=33</formula>
    </cfRule>
    <cfRule type="expression" dxfId="295" priority="14">
      <formula>$H$3=20</formula>
    </cfRule>
    <cfRule type="expression" dxfId="294" priority="15">
      <formula>$H$3=18</formula>
    </cfRule>
    <cfRule type="expression" dxfId="293" priority="16">
      <formula>$H$3=12</formula>
    </cfRule>
    <cfRule type="expression" dxfId="292" priority="17">
      <formula>$H$3=10</formula>
    </cfRule>
  </conditionalFormatting>
  <conditionalFormatting sqref="P22">
    <cfRule type="expression" dxfId="291" priority="8">
      <formula>$H$3=33</formula>
    </cfRule>
    <cfRule type="expression" dxfId="290" priority="9">
      <formula>$H$3=20</formula>
    </cfRule>
    <cfRule type="expression" dxfId="289" priority="10">
      <formula>$H$3=18</formula>
    </cfRule>
    <cfRule type="expression" dxfId="288" priority="11">
      <formula>$H$3=12</formula>
    </cfRule>
    <cfRule type="expression" dxfId="287" priority="12">
      <formula>$H$3=10</formula>
    </cfRule>
  </conditionalFormatting>
  <conditionalFormatting sqref="Q22">
    <cfRule type="expression" dxfId="286" priority="3">
      <formula>$H$3=33</formula>
    </cfRule>
    <cfRule type="expression" dxfId="285" priority="4">
      <formula>$H$3=20</formula>
    </cfRule>
    <cfRule type="expression" dxfId="284" priority="5">
      <formula>$H$3=18</formula>
    </cfRule>
    <cfRule type="expression" dxfId="283" priority="6">
      <formula>$H$3=12</formula>
    </cfRule>
    <cfRule type="expression" dxfId="282" priority="7">
      <formula>$H$3=10</formula>
    </cfRule>
  </conditionalFormatting>
  <conditionalFormatting sqref="N27">
    <cfRule type="cellIs" dxfId="281" priority="1" operator="greaterThanOrEqual">
      <formula>45.5</formula>
    </cfRule>
    <cfRule type="cellIs" dxfId="280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4" tint="-0.249977111117893"/>
  </sheetPr>
  <dimension ref="A1:AE40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4000</v>
      </c>
      <c r="J3" s="52">
        <v>3500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IF($J$3&lt;=2700,15,22)</f>
        <v>22</v>
      </c>
      <c r="Q7" s="25">
        <f t="shared" ref="Q7:Q13" si="3">$J$1*P7</f>
        <v>22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3500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3425</v>
      </c>
      <c r="I9" s="117">
        <f t="shared" si="0"/>
        <v>2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3425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14</v>
      </c>
      <c r="G12" s="135" t="s">
        <v>262</v>
      </c>
      <c r="H12" s="47">
        <f>$J$3-55-7-7</f>
        <v>3431</v>
      </c>
      <c r="I12" s="117">
        <f t="shared" si="0"/>
        <v>14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70.417844000000002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14</v>
      </c>
      <c r="G13" s="117" t="s">
        <v>86</v>
      </c>
      <c r="H13" s="47">
        <f>($I$3-18-9.5-(8*6)-18-18)/7</f>
        <v>555.5</v>
      </c>
      <c r="I13" s="117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3431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14</v>
      </c>
      <c r="G15" s="117" t="s">
        <v>19</v>
      </c>
      <c r="H15" s="47">
        <f>$H$12-80-80</f>
        <v>3271</v>
      </c>
      <c r="I15" s="117">
        <f>F15*$J$1</f>
        <v>14</v>
      </c>
      <c r="J15" s="159">
        <f>ROUNDUP(((H15*I15)+(H16*I16))/6400,0)</f>
        <v>9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14</v>
      </c>
      <c r="G16" s="117" t="s">
        <v>56</v>
      </c>
      <c r="H16" s="47">
        <f>$H$13-60-60</f>
        <v>435.5</v>
      </c>
      <c r="I16" s="117">
        <f>F16*$J$1</f>
        <v>14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13.051289999999998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3.4</v>
      </c>
      <c r="Q21" s="69">
        <f>$J$1*P21</f>
        <v>3.4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(($H$6*$I$6)+($H$8*1)+($H$9*$I$9)+($H$12*$I$12*2)+($H$13*$I$13)+($H$14*$I$14)-($H$12*2))/1000</f>
        <v>114.72799999999999</v>
      </c>
      <c r="Q22" s="45">
        <f>$J$1*P22</f>
        <v>114.72799999999999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52.170999999999999</v>
      </c>
      <c r="Q23" s="45">
        <f t="shared" ref="Q23:Q24" si="6">$J$1*P23</f>
        <v>52.170999999999999</v>
      </c>
      <c r="S23" s="6">
        <f>O28*P28*6*Q28*2.5/1000000</f>
        <v>147.48042749999999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52.170999999999999</v>
      </c>
      <c r="Q24" s="45">
        <f t="shared" si="6"/>
        <v>52.170999999999999</v>
      </c>
      <c r="S24" s="18">
        <f>SUM(S12:S23)</f>
        <v>230.94956149999999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((($H$12*$F$12*$E$12/1000)+($H$13*$F$13*$E$13/1000)+($H$15*$F$15*$E$15/1000)+($H$16*$F$16*$E$16/1000))+($O$28*$P$28*$H$3*2.5*7/1000000))/7</f>
        <v>40.015671999999995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280.10970399999997</v>
      </c>
      <c r="O28" s="41">
        <f>$H$12-130</f>
        <v>3301</v>
      </c>
      <c r="P28" s="41">
        <f>$H$13-130</f>
        <v>425.5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279" priority="13">
      <formula>$H$3=33</formula>
    </cfRule>
    <cfRule type="expression" dxfId="278" priority="14">
      <formula>$H$3=20</formula>
    </cfRule>
    <cfRule type="expression" dxfId="277" priority="15">
      <formula>$H$3=18</formula>
    </cfRule>
    <cfRule type="expression" dxfId="276" priority="16">
      <formula>$H$3=12</formula>
    </cfRule>
    <cfRule type="expression" dxfId="275" priority="17">
      <formula>$H$3=10</formula>
    </cfRule>
  </conditionalFormatting>
  <conditionalFormatting sqref="P21">
    <cfRule type="expression" dxfId="274" priority="8">
      <formula>$H$3=33</formula>
    </cfRule>
    <cfRule type="expression" dxfId="273" priority="9">
      <formula>$H$3=20</formula>
    </cfRule>
    <cfRule type="expression" dxfId="272" priority="10">
      <formula>$H$3=18</formula>
    </cfRule>
    <cfRule type="expression" dxfId="271" priority="11">
      <formula>$H$3=12</formula>
    </cfRule>
    <cfRule type="expression" dxfId="270" priority="12">
      <formula>$H$3=10</formula>
    </cfRule>
  </conditionalFormatting>
  <conditionalFormatting sqref="Q21">
    <cfRule type="expression" dxfId="269" priority="3">
      <formula>$H$3=33</formula>
    </cfRule>
    <cfRule type="expression" dxfId="268" priority="4">
      <formula>$H$3=20</formula>
    </cfRule>
    <cfRule type="expression" dxfId="267" priority="5">
      <formula>$H$3=18</formula>
    </cfRule>
    <cfRule type="expression" dxfId="266" priority="6">
      <formula>$H$3=12</formula>
    </cfRule>
    <cfRule type="expression" dxfId="265" priority="7">
      <formula>$H$3=10</formula>
    </cfRule>
  </conditionalFormatting>
  <conditionalFormatting sqref="N27">
    <cfRule type="cellIs" dxfId="264" priority="1" operator="greaterThanOrEqual">
      <formula>45.5</formula>
    </cfRule>
    <cfRule type="cellIs" dxfId="263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4" tint="-0.249977111117893"/>
  </sheetPr>
  <dimension ref="A1:AE40"/>
  <sheetViews>
    <sheetView view="pageBreakPreview" zoomScale="70" zoomScaleNormal="70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1464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IF($J$3&lt;=2700,17,24)</f>
        <v>17</v>
      </c>
      <c r="Q7" s="25">
        <f t="shared" ref="Q7:Q13" si="3">$J$1*P7</f>
        <v>17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2600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2525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2525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1460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14</v>
      </c>
      <c r="G12" s="135" t="s">
        <v>262</v>
      </c>
      <c r="H12" s="47">
        <f>$J$3-55-7-7</f>
        <v>2531</v>
      </c>
      <c r="I12" s="117">
        <f t="shared" si="0"/>
        <v>14</v>
      </c>
      <c r="J12" s="159">
        <f>ROUNDUP(((H12*I12)+(H13*I13))/6400,0)</f>
        <v>6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51.946243999999993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14</v>
      </c>
      <c r="G13" s="59" t="s">
        <v>93</v>
      </c>
      <c r="H13" s="47">
        <f>($I$3-18-9.5-(8*5)-58-9.5-18)/7</f>
        <v>192.42857142857142</v>
      </c>
      <c r="I13" s="117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2531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2531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14</v>
      </c>
      <c r="G16" s="117" t="s">
        <v>19</v>
      </c>
      <c r="H16" s="47">
        <f>$H$12-80-80</f>
        <v>2371</v>
      </c>
      <c r="I16" s="117">
        <f>F16*$J$1</f>
        <v>14</v>
      </c>
      <c r="J16" s="159">
        <f>ROUNDUP(((H16*I16)+(H17*I17))/6400,0)</f>
        <v>6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9.4602900000000005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14</v>
      </c>
      <c r="G17" s="117" t="s">
        <v>56</v>
      </c>
      <c r="H17" s="47">
        <f>$H$13-60-60</f>
        <v>72.428571428571416</v>
      </c>
      <c r="I17" s="117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2.5</v>
      </c>
      <c r="Q21" s="69">
        <f>$J$1*P21</f>
        <v>2.5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92.8</v>
      </c>
      <c r="Q22" s="45">
        <f>$J$1*P22</f>
        <v>92.8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34.488</v>
      </c>
      <c r="Q23" s="45">
        <f t="shared" ref="Q23:Q24" si="6">$J$1*P23</f>
        <v>34.488</v>
      </c>
      <c r="S23" s="6">
        <f>O28*P28*6*Q28*2.5/1000000</f>
        <v>15.738554999999996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34.488</v>
      </c>
      <c r="Q24" s="45">
        <f t="shared" si="6"/>
        <v>34.488</v>
      </c>
      <c r="S24" s="18">
        <f>SUM(S12:S23)</f>
        <v>77.145088999999984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11.020726999999999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77.145088999999999</v>
      </c>
      <c r="O28" s="41">
        <f>$H$12-130</f>
        <v>2401</v>
      </c>
      <c r="P28" s="41">
        <f>$H$13-130</f>
        <v>62.428571428571416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262" priority="13">
      <formula>$H$3=33</formula>
    </cfRule>
    <cfRule type="expression" dxfId="261" priority="14">
      <formula>$H$3=20</formula>
    </cfRule>
    <cfRule type="expression" dxfId="260" priority="15">
      <formula>$H$3=18</formula>
    </cfRule>
    <cfRule type="expression" dxfId="259" priority="16">
      <formula>$H$3=12</formula>
    </cfRule>
    <cfRule type="expression" dxfId="258" priority="17">
      <formula>$H$3=10</formula>
    </cfRule>
  </conditionalFormatting>
  <conditionalFormatting sqref="P21">
    <cfRule type="expression" dxfId="257" priority="8">
      <formula>$H$3=33</formula>
    </cfRule>
    <cfRule type="expression" dxfId="256" priority="9">
      <formula>$H$3=20</formula>
    </cfRule>
    <cfRule type="expression" dxfId="255" priority="10">
      <formula>$H$3=18</formula>
    </cfRule>
    <cfRule type="expression" dxfId="254" priority="11">
      <formula>$H$3=12</formula>
    </cfRule>
    <cfRule type="expression" dxfId="253" priority="12">
      <formula>$H$3=10</formula>
    </cfRule>
  </conditionalFormatting>
  <conditionalFormatting sqref="Q21">
    <cfRule type="expression" dxfId="252" priority="3">
      <formula>$H$3=33</formula>
    </cfRule>
    <cfRule type="expression" dxfId="251" priority="4">
      <formula>$H$3=20</formula>
    </cfRule>
    <cfRule type="expression" dxfId="250" priority="5">
      <formula>$H$3=18</formula>
    </cfRule>
    <cfRule type="expression" dxfId="249" priority="6">
      <formula>$H$3=12</formula>
    </cfRule>
    <cfRule type="expression" dxfId="248" priority="7">
      <formula>$H$3=10</formula>
    </cfRule>
  </conditionalFormatting>
  <conditionalFormatting sqref="N27">
    <cfRule type="cellIs" dxfId="247" priority="1" operator="greaterThanOrEqual">
      <formula>54.5</formula>
    </cfRule>
    <cfRule type="cellIs" dxfId="246" priority="2" operator="greaterThanOrEqual">
      <formula>49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IF($J$3&lt;=2700,18,26)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14</v>
      </c>
      <c r="G12" s="135" t="s">
        <v>262</v>
      </c>
      <c r="H12" s="47">
        <f>$J$3-55-7-7</f>
        <v>2681</v>
      </c>
      <c r="I12" s="117">
        <f t="shared" si="0"/>
        <v>14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55.024843999999995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14</v>
      </c>
      <c r="G13" s="59" t="s">
        <v>93</v>
      </c>
      <c r="H13" s="47">
        <f>($I$3-18-9.5-(8*5)-58-9.5-18)/7</f>
        <v>621</v>
      </c>
      <c r="I13" s="117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14</v>
      </c>
      <c r="G16" s="117" t="s">
        <v>19</v>
      </c>
      <c r="H16" s="47">
        <f>$H$12-80-80</f>
        <v>2521</v>
      </c>
      <c r="I16" s="117">
        <f>F16*$J$1</f>
        <v>14</v>
      </c>
      <c r="J16" s="159">
        <f>ROUNDUP(((H16*I16)+(H17*I17))/6400,0)</f>
        <v>7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10.058789999999998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14</v>
      </c>
      <c r="G17" s="117" t="s">
        <v>56</v>
      </c>
      <c r="H17" s="47">
        <f>$H$13-60-60</f>
        <v>501</v>
      </c>
      <c r="I17" s="117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107.05</v>
      </c>
      <c r="Q22" s="45">
        <f>$J$1*P22</f>
        <v>107.05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42.588000000000001</v>
      </c>
      <c r="Q23" s="45">
        <f t="shared" ref="Q23:Q24" si="6">$J$1*P23</f>
        <v>42.588000000000001</v>
      </c>
      <c r="S23" s="6">
        <f>O28*P28*6*Q28*2.5/1000000</f>
        <v>131.51680500000001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42.588000000000001</v>
      </c>
      <c r="Q24" s="45">
        <f t="shared" si="6"/>
        <v>42.588000000000001</v>
      </c>
      <c r="S24" s="18">
        <f>SUM(S12:S23)</f>
        <v>196.60043899999999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28.085777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196.60043899999999</v>
      </c>
      <c r="O28" s="41">
        <f>$H$12-130</f>
        <v>2551</v>
      </c>
      <c r="P28" s="41">
        <f>$H$13-130</f>
        <v>491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245" priority="13">
      <formula>$H$3=33</formula>
    </cfRule>
    <cfRule type="expression" dxfId="244" priority="14">
      <formula>$H$3=20</formula>
    </cfRule>
    <cfRule type="expression" dxfId="243" priority="15">
      <formula>$H$3=18</formula>
    </cfRule>
    <cfRule type="expression" dxfId="242" priority="16">
      <formula>$H$3=12</formula>
    </cfRule>
    <cfRule type="expression" dxfId="241" priority="17">
      <formula>$H$3=10</formula>
    </cfRule>
  </conditionalFormatting>
  <conditionalFormatting sqref="P21">
    <cfRule type="expression" dxfId="240" priority="8">
      <formula>$H$3=33</formula>
    </cfRule>
    <cfRule type="expression" dxfId="239" priority="9">
      <formula>$H$3=20</formula>
    </cfRule>
    <cfRule type="expression" dxfId="238" priority="10">
      <formula>$H$3=18</formula>
    </cfRule>
    <cfRule type="expression" dxfId="237" priority="11">
      <formula>$H$3=12</formula>
    </cfRule>
    <cfRule type="expression" dxfId="236" priority="12">
      <formula>$H$3=10</formula>
    </cfRule>
  </conditionalFormatting>
  <conditionalFormatting sqref="Q21">
    <cfRule type="expression" dxfId="235" priority="3">
      <formula>$H$3=33</formula>
    </cfRule>
    <cfRule type="expression" dxfId="234" priority="4">
      <formula>$H$3=20</formula>
    </cfRule>
    <cfRule type="expression" dxfId="233" priority="5">
      <formula>$H$3=18</formula>
    </cfRule>
    <cfRule type="expression" dxfId="232" priority="6">
      <formula>$H$3=12</formula>
    </cfRule>
    <cfRule type="expression" dxfId="231" priority="7">
      <formula>$H$3=10</formula>
    </cfRule>
  </conditionalFormatting>
  <conditionalFormatting sqref="N27">
    <cfRule type="cellIs" dxfId="230" priority="1" operator="greaterThanOrEqual">
      <formula>45.5</formula>
    </cfRule>
    <cfRule type="cellIs" dxfId="229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IF($J$3&lt;=2700,18,26)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14</v>
      </c>
      <c r="G12" s="135" t="s">
        <v>262</v>
      </c>
      <c r="H12" s="47">
        <f>$J$3-55-7-7</f>
        <v>2681</v>
      </c>
      <c r="I12" s="117">
        <f t="shared" si="0"/>
        <v>14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55.024843999999995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14</v>
      </c>
      <c r="G13" s="59" t="s">
        <v>93</v>
      </c>
      <c r="H13" s="47">
        <f>($I$3-18-9.5-(8*5)-58-9.5-18)/7</f>
        <v>621</v>
      </c>
      <c r="I13" s="117">
        <f t="shared" si="0"/>
        <v>14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28</v>
      </c>
      <c r="Q13" s="25">
        <f t="shared" si="3"/>
        <v>28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84</v>
      </c>
      <c r="Q14" s="25">
        <f>$J$1*P14</f>
        <v>84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14</v>
      </c>
      <c r="G16" s="117" t="s">
        <v>19</v>
      </c>
      <c r="H16" s="47">
        <f>$H$12-80-80</f>
        <v>2521</v>
      </c>
      <c r="I16" s="117">
        <f>F16*$J$1</f>
        <v>14</v>
      </c>
      <c r="J16" s="159">
        <f>ROUNDUP(((H16*I16)+(H17*I17))/6400,0)</f>
        <v>7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10.058789999999998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14</v>
      </c>
      <c r="G17" s="117" t="s">
        <v>56</v>
      </c>
      <c r="H17" s="47">
        <f>$H$13-60-60</f>
        <v>501</v>
      </c>
      <c r="I17" s="117">
        <f>F17*$J$1</f>
        <v>14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107.05</v>
      </c>
      <c r="Q22" s="45">
        <f>$J$1*P22</f>
        <v>107.05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42.588000000000001</v>
      </c>
      <c r="Q23" s="45">
        <f t="shared" ref="Q23:Q24" si="6">$J$1*P23</f>
        <v>42.588000000000001</v>
      </c>
      <c r="S23" s="6">
        <f>O28*P28*6*Q28*2.5/1000000</f>
        <v>131.51680500000001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42.588000000000001</v>
      </c>
      <c r="Q24" s="45">
        <f t="shared" si="6"/>
        <v>42.588000000000001</v>
      </c>
      <c r="S24" s="18">
        <f>SUM(S12:S23)</f>
        <v>196.60043899999999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((($H$12*$F$12*$E$12/1000)+($H$13*$F$13*$E$13/1000)+($H$16*$F$16*$E$16/1000)+($H$17*$F$17*$E$17/1000))+($O$28*$P$28*$H$3*2.5*7/1000000))/7</f>
        <v>28.085777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$N$27*7</f>
        <v>196.60043899999999</v>
      </c>
      <c r="O28" s="41">
        <f>$H$12-130</f>
        <v>2551</v>
      </c>
      <c r="P28" s="41">
        <f>$H$13-130</f>
        <v>491</v>
      </c>
      <c r="Q28" s="41">
        <f>7*$J$1</f>
        <v>7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228" priority="13">
      <formula>$H$3=33</formula>
    </cfRule>
    <cfRule type="expression" dxfId="227" priority="14">
      <formula>$H$3=20</formula>
    </cfRule>
    <cfRule type="expression" dxfId="226" priority="15">
      <formula>$H$3=18</formula>
    </cfRule>
    <cfRule type="expression" dxfId="225" priority="16">
      <formula>$H$3=12</formula>
    </cfRule>
    <cfRule type="expression" dxfId="224" priority="17">
      <formula>$H$3=10</formula>
    </cfRule>
  </conditionalFormatting>
  <conditionalFormatting sqref="P21">
    <cfRule type="expression" dxfId="223" priority="8">
      <formula>$H$3=33</formula>
    </cfRule>
    <cfRule type="expression" dxfId="222" priority="9">
      <formula>$H$3=20</formula>
    </cfRule>
    <cfRule type="expression" dxfId="221" priority="10">
      <formula>$H$3=18</formula>
    </cfRule>
    <cfRule type="expression" dxfId="220" priority="11">
      <formula>$H$3=12</formula>
    </cfRule>
    <cfRule type="expression" dxfId="219" priority="12">
      <formula>$H$3=10</formula>
    </cfRule>
  </conditionalFormatting>
  <conditionalFormatting sqref="Q21">
    <cfRule type="expression" dxfId="218" priority="3">
      <formula>$H$3=33</formula>
    </cfRule>
    <cfRule type="expression" dxfId="217" priority="4">
      <formula>$H$3=20</formula>
    </cfRule>
    <cfRule type="expression" dxfId="216" priority="5">
      <formula>$H$3=18</formula>
    </cfRule>
    <cfRule type="expression" dxfId="215" priority="6">
      <formula>$H$3=12</formula>
    </cfRule>
    <cfRule type="expression" dxfId="214" priority="7">
      <formula>$H$3=10</formula>
    </cfRule>
  </conditionalFormatting>
  <conditionalFormatting sqref="N27">
    <cfRule type="cellIs" dxfId="213" priority="1" operator="greaterThanOrEqual">
      <formula>45.5</formula>
    </cfRule>
    <cfRule type="cellIs" dxfId="212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7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1300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1264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1264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IF($J$3&lt;=2700,19,28)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1260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16</v>
      </c>
      <c r="G12" s="135" t="s">
        <v>262</v>
      </c>
      <c r="H12" s="47">
        <f>$J$3-55-7-7</f>
        <v>2681</v>
      </c>
      <c r="I12" s="117">
        <f t="shared" si="0"/>
        <v>16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62.885536000000002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16</v>
      </c>
      <c r="G13" s="117" t="s">
        <v>77</v>
      </c>
      <c r="H13" s="47">
        <f>($I$3-18-9.5-(8*7)-50-18)/8</f>
        <v>143.5625</v>
      </c>
      <c r="I13" s="117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2670</v>
      </c>
      <c r="I15" s="25">
        <f t="shared" si="0"/>
        <v>1</v>
      </c>
      <c r="J15" s="25">
        <f t="shared" si="1"/>
        <v>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(($H$6*$I$6)+($H$8*1)+($H$9*$I$9)+($H$12*$I$12*2)+($H$14*$I$13*2)+($H$13*3)+($H$15*$I$15))/1000</f>
        <v>184.0486875</v>
      </c>
      <c r="Q15" s="45">
        <f t="shared" ref="Q15" si="4">$J$1*P15</f>
        <v>184.0486875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16</v>
      </c>
      <c r="G16" s="117" t="s">
        <v>19</v>
      </c>
      <c r="H16" s="47">
        <f>$H$12-80-80</f>
        <v>2521</v>
      </c>
      <c r="I16" s="117">
        <f t="shared" si="0"/>
        <v>16</v>
      </c>
      <c r="J16" s="159">
        <f>ROUNDUP(((H16*I16)+(H17*I17))/6400,0)</f>
        <v>7</v>
      </c>
      <c r="K16" s="28"/>
      <c r="L16" s="117">
        <v>15</v>
      </c>
      <c r="M16" s="43" t="s">
        <v>75</v>
      </c>
      <c r="N16" s="44"/>
      <c r="O16" s="117" t="s">
        <v>1</v>
      </c>
      <c r="P16" s="45">
        <f>(($H$14*2)+($H$15*2))/1000</f>
        <v>10.702</v>
      </c>
      <c r="Q16" s="45">
        <f>$J$1*P16</f>
        <v>10.702</v>
      </c>
      <c r="S16" s="6">
        <f>((H16*I16)/1000)*E16</f>
        <v>11.495759999999999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117">
        <v>16</v>
      </c>
      <c r="G17" s="117" t="s">
        <v>56</v>
      </c>
      <c r="H17" s="47">
        <f>$H$13-60-60</f>
        <v>23.5625</v>
      </c>
      <c r="I17" s="117">
        <f t="shared" si="0"/>
        <v>16</v>
      </c>
      <c r="J17" s="160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41.033000000000001</v>
      </c>
      <c r="Q17" s="45">
        <f>$J$1*P17</f>
        <v>41.033000000000001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41.033000000000001</v>
      </c>
      <c r="Q18" s="45">
        <f>$J$1*P18</f>
        <v>41.033000000000001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4.1517524999999997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78.533048500000007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((($H$12*$F$12*$E$12/1000)+($H$13*$F$13*$E$13/1000)+($H$16*$F$16*$E$16/1000)+($H$17*$F$17*$E$17/1000))+($O$25*$P$25*$H$3*2.5*8/1000000))/8</f>
        <v>9.8166310625000008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78.533048500000007</v>
      </c>
      <c r="O25" s="41">
        <f>$H$12-130</f>
        <v>2551</v>
      </c>
      <c r="P25" s="41">
        <f>$H$13-130</f>
        <v>13.5625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211" priority="3">
      <formula>$H$3=33</formula>
    </cfRule>
    <cfRule type="expression" dxfId="210" priority="4">
      <formula>$H$3=20</formula>
    </cfRule>
    <cfRule type="expression" dxfId="209" priority="5">
      <formula>$H$3=18</formula>
    </cfRule>
    <cfRule type="expression" dxfId="208" priority="6">
      <formula>$H$3=12</formula>
    </cfRule>
    <cfRule type="expression" dxfId="207" priority="7">
      <formula>$H$3=10</formula>
    </cfRule>
  </conditionalFormatting>
  <conditionalFormatting sqref="N24">
    <cfRule type="cellIs" dxfId="206" priority="1" operator="greaterThanOrEqual">
      <formula>52.5</formula>
    </cfRule>
    <cfRule type="cellIs" dxfId="205" priority="2" operator="greaterThanOrEqual">
      <formula>47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7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1500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1464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1464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IF($J$3&lt;=2700,15,22)</f>
        <v>15</v>
      </c>
      <c r="Q7" s="25">
        <f t="shared" ref="Q7:Q13" si="3">$J$1*P7</f>
        <v>15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2600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2525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2525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1460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16</v>
      </c>
      <c r="G12" s="135" t="s">
        <v>262</v>
      </c>
      <c r="H12" s="47">
        <f>$J$3-55-7-7</f>
        <v>2531</v>
      </c>
      <c r="I12" s="117">
        <f t="shared" si="0"/>
        <v>16</v>
      </c>
      <c r="J12" s="159">
        <f>ROUNDUP(((H12*I12)+(H13*I13))/6400,0)</f>
        <v>7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59.367136000000002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16</v>
      </c>
      <c r="G13" s="59" t="s">
        <v>98</v>
      </c>
      <c r="H13" s="47">
        <f>($I$3-18-9.5-(8*6)-23-9.5-18)/8</f>
        <v>171.75</v>
      </c>
      <c r="I13" s="117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2531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16</v>
      </c>
      <c r="G15" s="117" t="s">
        <v>19</v>
      </c>
      <c r="H15" s="47">
        <f>$H$12-80-80</f>
        <v>2371</v>
      </c>
      <c r="I15" s="117">
        <f>F15*$J$1</f>
        <v>16</v>
      </c>
      <c r="J15" s="159">
        <f>ROUNDUP(((H15*I15)+(H16*I16))/6400,0)</f>
        <v>7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16</v>
      </c>
      <c r="G16" s="117" t="s">
        <v>56</v>
      </c>
      <c r="H16" s="47">
        <f>$H$13-60-60</f>
        <v>51.75</v>
      </c>
      <c r="I16" s="117">
        <f>F16*$J$1</f>
        <v>16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10.81176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18</v>
      </c>
      <c r="M20" s="12" t="s">
        <v>113</v>
      </c>
      <c r="N20" s="60"/>
      <c r="O20" s="57" t="s">
        <v>1</v>
      </c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19</v>
      </c>
      <c r="M21" s="12" t="s">
        <v>110</v>
      </c>
      <c r="N21" s="60"/>
      <c r="O21" s="57"/>
      <c r="P21" s="25">
        <f>IF($J$3&lt;=2700,3,4)</f>
        <v>3</v>
      </c>
      <c r="Q21" s="25">
        <f>$J$1*P21</f>
        <v>3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20</v>
      </c>
      <c r="M22" s="68" t="s">
        <v>111</v>
      </c>
      <c r="N22" s="60"/>
      <c r="O22" s="57"/>
      <c r="P22" s="69">
        <f>ROUNDDOWN($H$12/1000,1)</f>
        <v>2.5</v>
      </c>
      <c r="Q22" s="69">
        <f>$J$1*P22</f>
        <v>2.5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19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87.792000000000002</v>
      </c>
      <c r="Q23" s="45">
        <f>$J$1*P23</f>
        <v>87.792000000000002</v>
      </c>
      <c r="S23" s="6">
        <f>O28*P28*6*Q28*2.5/1000000</f>
        <v>12.02901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20</v>
      </c>
      <c r="M24" s="43" t="s">
        <v>65</v>
      </c>
      <c r="N24" s="58"/>
      <c r="O24" s="117" t="s">
        <v>1</v>
      </c>
      <c r="P24" s="45">
        <f>(($O$28+$P$28)*2)*$Q$28/1000</f>
        <v>39.084000000000003</v>
      </c>
      <c r="Q24" s="45">
        <f t="shared" ref="Q24:Q25" si="7">$J$1*P24</f>
        <v>39.084000000000003</v>
      </c>
      <c r="S24" s="18">
        <f>SUM(S12:S23)</f>
        <v>82.207906000000008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21</v>
      </c>
      <c r="M25" s="43" t="s">
        <v>66</v>
      </c>
      <c r="N25" s="58"/>
      <c r="O25" s="117" t="s">
        <v>1</v>
      </c>
      <c r="P25" s="45">
        <f>(($O$28+$P$28)*2)*$Q$28/1000</f>
        <v>39.084000000000003</v>
      </c>
      <c r="Q25" s="45">
        <f t="shared" si="7"/>
        <v>39.084000000000003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((($H$12*$F$12*$E$12/1000)+($H$13*$F$13*$E$13/1000)+($H$15*$F$15*$E$15/1000)+($H$16*$F$16*$E$16/1000))+($O$28*$P$28*$H$3*2.5*8/1000000))/8</f>
        <v>10.275988249999999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$N$27*8</f>
        <v>82.207905999999994</v>
      </c>
      <c r="O28" s="41">
        <f>$H$12-130</f>
        <v>2401</v>
      </c>
      <c r="P28" s="41">
        <f>$H$13-130</f>
        <v>41.75</v>
      </c>
      <c r="Q28" s="41">
        <f>8*$J$1</f>
        <v>8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24:Q25">
    <cfRule type="expression" dxfId="204" priority="13">
      <formula>$H$3=33</formula>
    </cfRule>
    <cfRule type="expression" dxfId="203" priority="14">
      <formula>$H$3=20</formula>
    </cfRule>
    <cfRule type="expression" dxfId="202" priority="15">
      <formula>$H$3=18</formula>
    </cfRule>
    <cfRule type="expression" dxfId="201" priority="16">
      <formula>$H$3=12</formula>
    </cfRule>
    <cfRule type="expression" dxfId="200" priority="17">
      <formula>$H$3=10</formula>
    </cfRule>
  </conditionalFormatting>
  <conditionalFormatting sqref="P22">
    <cfRule type="expression" dxfId="199" priority="8">
      <formula>$H$3=33</formula>
    </cfRule>
    <cfRule type="expression" dxfId="198" priority="9">
      <formula>$H$3=20</formula>
    </cfRule>
    <cfRule type="expression" dxfId="197" priority="10">
      <formula>$H$3=18</formula>
    </cfRule>
    <cfRule type="expression" dxfId="196" priority="11">
      <formula>$H$3=12</formula>
    </cfRule>
    <cfRule type="expression" dxfId="195" priority="12">
      <formula>$H$3=10</formula>
    </cfRule>
  </conditionalFormatting>
  <conditionalFormatting sqref="Q22">
    <cfRule type="expression" dxfId="194" priority="3">
      <formula>$H$3=33</formula>
    </cfRule>
    <cfRule type="expression" dxfId="193" priority="4">
      <formula>$H$3=20</formula>
    </cfRule>
    <cfRule type="expression" dxfId="192" priority="5">
      <formula>$H$3=18</formula>
    </cfRule>
    <cfRule type="expression" dxfId="191" priority="6">
      <formula>$H$3=12</formula>
    </cfRule>
    <cfRule type="expression" dxfId="190" priority="7">
      <formula>$H$3=10</formula>
    </cfRule>
  </conditionalFormatting>
  <conditionalFormatting sqref="N27">
    <cfRule type="cellIs" dxfId="189" priority="1" operator="greaterThanOrEqual">
      <formula>45.5</formula>
    </cfRule>
    <cfRule type="cellIs" dxfId="188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7" tint="-0.249977111117893"/>
  </sheetPr>
  <dimension ref="A1:AE37"/>
  <sheetViews>
    <sheetView view="pageBreakPreview" zoomScale="70" zoomScaleNormal="55" zoomScaleSheetLayoutView="70" workbookViewId="0">
      <selection activeCell="H12" sqref="H12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4000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4000</v>
      </c>
      <c r="I8" s="117">
        <f t="shared" si="0"/>
        <v>2</v>
      </c>
      <c r="J8" s="117">
        <f t="shared" si="1"/>
        <v>2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3925</v>
      </c>
      <c r="I9" s="117">
        <f>F9*$J$1</f>
        <v>2</v>
      </c>
      <c r="J9" s="117">
        <f t="shared" si="1"/>
        <v>2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3925</v>
      </c>
      <c r="I10" s="25">
        <f t="shared" si="0"/>
        <v>2</v>
      </c>
      <c r="J10" s="151">
        <f>ROUNDUP(((H10*I10)+(H11*I11))/6400,0)</f>
        <v>3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16</v>
      </c>
      <c r="G12" s="122" t="s">
        <v>262</v>
      </c>
      <c r="H12" s="47">
        <f>$J$3-55-7-7</f>
        <v>3931</v>
      </c>
      <c r="I12" s="117">
        <f t="shared" si="0"/>
        <v>16</v>
      </c>
      <c r="J12" s="159">
        <f>ROUNDUP(((H12*I12)+(H13*I13))/6400,0)</f>
        <v>12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92.205535999999995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16</v>
      </c>
      <c r="G13" s="59" t="s">
        <v>117</v>
      </c>
      <c r="H13" s="47">
        <f>($I$3-18-9.5-(8*6)-71-9.5-18)/8</f>
        <v>728.25</v>
      </c>
      <c r="I13" s="117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3931</v>
      </c>
      <c r="I14" s="25">
        <f t="shared" si="0"/>
        <v>2</v>
      </c>
      <c r="J14" s="25">
        <f t="shared" si="1"/>
        <v>2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16</v>
      </c>
      <c r="G15" s="117" t="s">
        <v>19</v>
      </c>
      <c r="H15" s="47">
        <f>$H$12-80-80</f>
        <v>3771</v>
      </c>
      <c r="I15" s="117">
        <f t="shared" si="0"/>
        <v>16</v>
      </c>
      <c r="J15" s="159">
        <f>ROUNDUP(((H15*I15)+(H16*I16))/6400,0)</f>
        <v>11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194.49600000000001</v>
      </c>
      <c r="Q15" s="45">
        <f>$J$1*P15</f>
        <v>194.49600000000001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16</v>
      </c>
      <c r="G16" s="117" t="s">
        <v>56</v>
      </c>
      <c r="H16" s="47">
        <f>$H$13-60-60</f>
        <v>608.25</v>
      </c>
      <c r="I16" s="117">
        <f t="shared" si="0"/>
        <v>16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15.724</v>
      </c>
      <c r="Q16" s="45">
        <f>$J$1*P16</f>
        <v>15.724</v>
      </c>
      <c r="S16" s="6">
        <f>((H15*I15)/1000)*E15</f>
        <v>17.195759999999996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70.388000000000005</v>
      </c>
      <c r="Q17" s="45">
        <f t="shared" ref="Q17:Q18" si="4">$J$1*P17</f>
        <v>70.388000000000005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70.388000000000005</v>
      </c>
      <c r="Q18" s="45">
        <f t="shared" si="4"/>
        <v>70.388000000000005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272.87378999999999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382.27508599999999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((($H$12*$F$12*$E$12/1000)+($H$13*$F$13*$E$13/1000)+($H$15*$F$15*$E$15/1000)+($H$16*$F$16*$E$16/1000))+($O$25*$P$25*$H$3*2.5*8/1000000))/8</f>
        <v>47.784385749999998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382.27508599999999</v>
      </c>
      <c r="O25" s="41">
        <f>$H$12-130</f>
        <v>3801</v>
      </c>
      <c r="P25" s="41">
        <f>$H$13-130</f>
        <v>598.25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187" priority="3">
      <formula>$H$3=33</formula>
    </cfRule>
    <cfRule type="expression" dxfId="186" priority="4">
      <formula>$H$3=20</formula>
    </cfRule>
    <cfRule type="expression" dxfId="185" priority="5">
      <formula>$H$3=18</formula>
    </cfRule>
    <cfRule type="expression" dxfId="184" priority="6">
      <formula>$H$3=12</formula>
    </cfRule>
    <cfRule type="expression" dxfId="183" priority="7">
      <formula>$H$3=10</formula>
    </cfRule>
  </conditionalFormatting>
  <conditionalFormatting sqref="N24">
    <cfRule type="cellIs" dxfId="182" priority="1" operator="greaterThanOrEqual">
      <formula>60.5</formula>
    </cfRule>
    <cfRule type="cellIs" dxfId="181" priority="2" operator="greaterThanOrEqual">
      <formula>55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7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3</v>
      </c>
      <c r="Q6" s="25">
        <f>$J$1*P6</f>
        <v>3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IF($J$3&lt;=2700,18,26)</f>
        <v>26</v>
      </c>
      <c r="Q7" s="25">
        <f t="shared" ref="Q7:Q13" si="3">$J$1*P7</f>
        <v>26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3200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3</v>
      </c>
      <c r="Q8" s="25">
        <f t="shared" si="3"/>
        <v>3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3125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3</v>
      </c>
      <c r="Q9" s="25">
        <f t="shared" si="3"/>
        <v>3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3125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3</v>
      </c>
      <c r="Q10" s="25">
        <f t="shared" si="3"/>
        <v>3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3360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3</v>
      </c>
      <c r="Q11" s="25">
        <f t="shared" si="3"/>
        <v>3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16</v>
      </c>
      <c r="G12" s="135" t="s">
        <v>262</v>
      </c>
      <c r="H12" s="47">
        <f>$J$3-55-7-7</f>
        <v>3131</v>
      </c>
      <c r="I12" s="117">
        <f t="shared" si="0"/>
        <v>16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6</v>
      </c>
      <c r="Q12" s="25">
        <f t="shared" si="3"/>
        <v>6</v>
      </c>
      <c r="R12" s="13">
        <v>73</v>
      </c>
      <c r="S12" s="6">
        <f>((H12*I12)/1000)*E12</f>
        <v>73.440735999999987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16</v>
      </c>
      <c r="G13" s="59" t="s">
        <v>98</v>
      </c>
      <c r="H13" s="47">
        <f>($I$3-18-9.5-(8*6)-23-9.5-18)/8</f>
        <v>409.25</v>
      </c>
      <c r="I13" s="117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16</v>
      </c>
      <c r="G15" s="117" t="s">
        <v>19</v>
      </c>
      <c r="H15" s="47">
        <f>$H$12-80-80</f>
        <v>2971</v>
      </c>
      <c r="I15" s="117">
        <f>F15*$J$1</f>
        <v>16</v>
      </c>
      <c r="J15" s="159">
        <f>ROUNDUP(((H15*I15)+(H16*I16))/6400,0)</f>
        <v>9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16</v>
      </c>
      <c r="G16" s="117" t="s">
        <v>56</v>
      </c>
      <c r="H16" s="47">
        <f>$H$13-60-60</f>
        <v>289.25</v>
      </c>
      <c r="I16" s="117">
        <f>F16*$J$1</f>
        <v>16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13.547759999999998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113.292</v>
      </c>
      <c r="Q23" s="45">
        <f>$J$1*P23</f>
        <v>113.292</v>
      </c>
      <c r="S23" s="6">
        <f>O28*P28*6*Q28*2.5/1000000</f>
        <v>100.56350999999999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52.484000000000002</v>
      </c>
      <c r="Q24" s="45">
        <f t="shared" ref="Q24:Q25" si="8">$J$1*P24</f>
        <v>52.484000000000002</v>
      </c>
      <c r="S24" s="18">
        <f>SUM(S12:S23)</f>
        <v>187.55200599999998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52.484000000000002</v>
      </c>
      <c r="Q25" s="45">
        <f t="shared" si="8"/>
        <v>52.484000000000002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((($H$12*$F$12*$E$12/1000)+($H$13*$F$13*$E$13/1000)+($H$15*$F$15*$E$15/1000)+($H$16*$F$16*$E$16/1000))+($O$28*$P$28*$H$3*2.5*8/1000000))/8</f>
        <v>23.444000750000001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$N$27*8</f>
        <v>187.55200600000001</v>
      </c>
      <c r="O28" s="41">
        <f>$H$12-130</f>
        <v>3001</v>
      </c>
      <c r="P28" s="41">
        <f>$H$13-130</f>
        <v>279.25</v>
      </c>
      <c r="Q28" s="41">
        <f>8*$J$1</f>
        <v>8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180" priority="13">
      <formula>$H$3=33</formula>
    </cfRule>
    <cfRule type="expression" dxfId="179" priority="14">
      <formula>$H$3=20</formula>
    </cfRule>
    <cfRule type="expression" dxfId="178" priority="15">
      <formula>$H$3=18</formula>
    </cfRule>
    <cfRule type="expression" dxfId="177" priority="16">
      <formula>$H$3=12</formula>
    </cfRule>
    <cfRule type="expression" dxfId="176" priority="17">
      <formula>$H$3=10</formula>
    </cfRule>
  </conditionalFormatting>
  <conditionalFormatting sqref="P22">
    <cfRule type="expression" dxfId="175" priority="8">
      <formula>$H$3=33</formula>
    </cfRule>
    <cfRule type="expression" dxfId="174" priority="9">
      <formula>$H$3=20</formula>
    </cfRule>
    <cfRule type="expression" dxfId="173" priority="10">
      <formula>$H$3=18</formula>
    </cfRule>
    <cfRule type="expression" dxfId="172" priority="11">
      <formula>$H$3=12</formula>
    </cfRule>
    <cfRule type="expression" dxfId="171" priority="12">
      <formula>$H$3=10</formula>
    </cfRule>
  </conditionalFormatting>
  <conditionalFormatting sqref="Q22">
    <cfRule type="expression" dxfId="170" priority="3">
      <formula>$H$3=33</formula>
    </cfRule>
    <cfRule type="expression" dxfId="169" priority="4">
      <formula>$H$3=20</formula>
    </cfRule>
    <cfRule type="expression" dxfId="168" priority="5">
      <formula>$H$3=18</formula>
    </cfRule>
    <cfRule type="expression" dxfId="167" priority="6">
      <formula>$H$3=12</formula>
    </cfRule>
    <cfRule type="expression" dxfId="166" priority="7">
      <formula>$H$3=10</formula>
    </cfRule>
  </conditionalFormatting>
  <conditionalFormatting sqref="N27">
    <cfRule type="cellIs" dxfId="165" priority="1" operator="greaterThanOrEqual">
      <formula>45.5</formula>
    </cfRule>
    <cfRule type="cellIs" dxfId="164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7" tint="-0.249977111117893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16</v>
      </c>
      <c r="G12" s="135" t="s">
        <v>262</v>
      </c>
      <c r="H12" s="47">
        <f>$J$3-55-7-7</f>
        <v>2931</v>
      </c>
      <c r="I12" s="117">
        <f t="shared" si="0"/>
        <v>16</v>
      </c>
      <c r="J12" s="159">
        <f>ROUNDUP(((H12*I12)+(H13*I13))/6400,0)</f>
        <v>10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>$J$1*P12</f>
        <v>8</v>
      </c>
      <c r="R12" s="13">
        <v>73</v>
      </c>
      <c r="S12" s="6">
        <f>((H12*I12)/1000)*E12</f>
        <v>68.749536000000006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16</v>
      </c>
      <c r="G13" s="59" t="s">
        <v>117</v>
      </c>
      <c r="H13" s="47">
        <f>($I$3-18-9.5-(8*6)-71-9.5-18)/8</f>
        <v>728.25</v>
      </c>
      <c r="I13" s="117">
        <f t="shared" si="0"/>
        <v>16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32</v>
      </c>
      <c r="Q13" s="25">
        <f t="shared" si="3"/>
        <v>32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96</v>
      </c>
      <c r="Q14" s="25">
        <f>$J$1*P14</f>
        <v>96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16</v>
      </c>
      <c r="G15" s="117" t="s">
        <v>19</v>
      </c>
      <c r="H15" s="47">
        <f>$H$12-80-80</f>
        <v>2771</v>
      </c>
      <c r="I15" s="117">
        <f t="shared" si="0"/>
        <v>16</v>
      </c>
      <c r="J15" s="159">
        <f>ROUNDUP(((H15*I15)+(H16*I16))/6400,0)</f>
        <v>9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152.49600000000001</v>
      </c>
      <c r="Q15" s="45">
        <f>$J$1*P15</f>
        <v>152.49600000000001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16</v>
      </c>
      <c r="G16" s="117" t="s">
        <v>56</v>
      </c>
      <c r="H16" s="47">
        <f>$H$13-60-60</f>
        <v>608.25</v>
      </c>
      <c r="I16" s="117">
        <f t="shared" si="0"/>
        <v>16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11.724</v>
      </c>
      <c r="Q16" s="45">
        <f>$J$1*P16</f>
        <v>11.724</v>
      </c>
      <c r="S16" s="6">
        <f>((H15*I15)/1000)*E15</f>
        <v>12.635759999999998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54.387999999999998</v>
      </c>
      <c r="Q17" s="45">
        <f t="shared" ref="Q17:Q18" si="4">$J$1*P17</f>
        <v>54.387999999999998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54.387999999999998</v>
      </c>
      <c r="Q18" s="45">
        <f t="shared" si="4"/>
        <v>54.387999999999998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201.08378999999999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282.469086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((($H$12*$F$12*$E$12/1000)+($H$13*$F$13*$E$13/1000)+($H$15*$F$15*$E$15/1000)+($H$16*$F$16*$E$16/1000))+($O$25*$P$25*$H$3*2.5*8/1000000))/8</f>
        <v>35.308635749999993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$N$24*8</f>
        <v>282.46908599999995</v>
      </c>
      <c r="O25" s="41">
        <f>$H$12-130</f>
        <v>2801</v>
      </c>
      <c r="P25" s="41">
        <f>$H$13-130</f>
        <v>598.25</v>
      </c>
      <c r="Q25" s="41">
        <f>8*$J$1</f>
        <v>8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163" priority="3">
      <formula>$H$3=33</formula>
    </cfRule>
    <cfRule type="expression" dxfId="162" priority="4">
      <formula>$H$3=20</formula>
    </cfRule>
    <cfRule type="expression" dxfId="161" priority="5">
      <formula>$H$3=18</formula>
    </cfRule>
    <cfRule type="expression" dxfId="160" priority="6">
      <formula>$H$3=12</formula>
    </cfRule>
    <cfRule type="expression" dxfId="159" priority="7">
      <formula>$H$3=10</formula>
    </cfRule>
  </conditionalFormatting>
  <conditionalFormatting sqref="N24">
    <cfRule type="cellIs" dxfId="158" priority="1" operator="greaterThanOrEqual">
      <formula>54.5</formula>
    </cfRule>
    <cfRule type="cellIs" dxfId="157" priority="2" operator="greaterThanOrEqual">
      <formula>49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8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IF($J$3&lt;=2700,19,28)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18</v>
      </c>
      <c r="G12" s="135" t="s">
        <v>262</v>
      </c>
      <c r="H12" s="47">
        <f>$J$3-55-7-7</f>
        <v>2931</v>
      </c>
      <c r="I12" s="117">
        <f t="shared" si="0"/>
        <v>18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77.343227999999996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18</v>
      </c>
      <c r="G13" s="117" t="s">
        <v>88</v>
      </c>
      <c r="H13" s="47">
        <f>($I$3-18-9.5-(8*8)-18-18)/9</f>
        <v>652.5</v>
      </c>
      <c r="I13" s="117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2931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10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18</v>
      </c>
      <c r="G15" s="117" t="s">
        <v>19</v>
      </c>
      <c r="H15" s="47">
        <f>$H$12-80-80</f>
        <v>2771</v>
      </c>
      <c r="I15" s="117">
        <f>F15*$J$1</f>
        <v>18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18</v>
      </c>
      <c r="G16" s="117" t="s">
        <v>56</v>
      </c>
      <c r="H16" s="47">
        <f>$H$13-60-60</f>
        <v>532.5</v>
      </c>
      <c r="I16" s="117">
        <f>F16*$J$1</f>
        <v>18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14.215229999999998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112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2.9</v>
      </c>
      <c r="Q21" s="69">
        <f>$J$1*P21</f>
        <v>2.9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(($H$6*$I$6)+($H$8*1)+($H$9*$I$9)+($H$12*$I$12*2)+($H$13*$I$13)+($H$14*$I$14)-($H$12*2))/1000</f>
        <v>129.14400000000001</v>
      </c>
      <c r="Q22" s="45">
        <f>$J$1*P22</f>
        <v>129.14400000000001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59.823</v>
      </c>
      <c r="Q23" s="45">
        <f t="shared" ref="Q23:Q24" si="6">$J$1*P23</f>
        <v>59.823</v>
      </c>
      <c r="S23" s="6">
        <f>O28*P28*6*Q28*2.5/1000000</f>
        <v>197.5755375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59.823</v>
      </c>
      <c r="Q24" s="45">
        <f t="shared" si="6"/>
        <v>59.823</v>
      </c>
      <c r="S24" s="18">
        <f>SUM(S12:S23)</f>
        <v>289.13399549999997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((($H$12*$F$12*$E$12/1000)+($H$13*$F$13*$E$13/1000)+($H$15*$F$15*$E$15/1000)+($H$16*$F$16*$E$16/1000))+($O$28*$P$28*$H$3*2.5*9/1000000))/9</f>
        <v>39.443612000000002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354.99250800000004</v>
      </c>
      <c r="O28" s="41">
        <f>$H$12-130</f>
        <v>2801</v>
      </c>
      <c r="P28" s="41">
        <f>$H$13-130</f>
        <v>522.5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156" priority="13">
      <formula>$H$3=33</formula>
    </cfRule>
    <cfRule type="expression" dxfId="155" priority="14">
      <formula>$H$3=20</formula>
    </cfRule>
    <cfRule type="expression" dxfId="154" priority="15">
      <formula>$H$3=18</formula>
    </cfRule>
    <cfRule type="expression" dxfId="153" priority="16">
      <formula>$H$3=12</formula>
    </cfRule>
    <cfRule type="expression" dxfId="152" priority="17">
      <formula>$H$3=10</formula>
    </cfRule>
  </conditionalFormatting>
  <conditionalFormatting sqref="P21">
    <cfRule type="expression" dxfId="151" priority="8">
      <formula>$H$3=33</formula>
    </cfRule>
    <cfRule type="expression" dxfId="150" priority="9">
      <formula>$H$3=20</formula>
    </cfRule>
    <cfRule type="expression" dxfId="149" priority="10">
      <formula>$H$3=18</formula>
    </cfRule>
    <cfRule type="expression" dxfId="148" priority="11">
      <formula>$H$3=12</formula>
    </cfRule>
    <cfRule type="expression" dxfId="147" priority="12">
      <formula>$H$3=10</formula>
    </cfRule>
  </conditionalFormatting>
  <conditionalFormatting sqref="Q21">
    <cfRule type="expression" dxfId="146" priority="3">
      <formula>$H$3=33</formula>
    </cfRule>
    <cfRule type="expression" dxfId="145" priority="4">
      <formula>$H$3=20</formula>
    </cfRule>
    <cfRule type="expression" dxfId="144" priority="5">
      <formula>$H$3=18</formula>
    </cfRule>
    <cfRule type="expression" dxfId="143" priority="6">
      <formula>$H$3=12</formula>
    </cfRule>
    <cfRule type="expression" dxfId="142" priority="7">
      <formula>$H$3=10</formula>
    </cfRule>
  </conditionalFormatting>
  <conditionalFormatting sqref="N27">
    <cfRule type="cellIs" dxfId="141" priority="1" operator="greaterThanOrEqual">
      <formula>45.5</formula>
    </cfRule>
    <cfRule type="cellIs" dxfId="140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2500</v>
      </c>
      <c r="J3" s="52">
        <v>2600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2464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2464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IF($J$3&lt;=2700,21,30)</f>
        <v>21</v>
      </c>
      <c r="Q7" s="25">
        <f t="shared" ref="Q7:Q13" si="3">$J$1*P7</f>
        <v>21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2600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2525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2525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2460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18</v>
      </c>
      <c r="G12" s="135" t="s">
        <v>262</v>
      </c>
      <c r="H12" s="47">
        <f>$J$3-55-7-7</f>
        <v>2531</v>
      </c>
      <c r="I12" s="117">
        <f t="shared" si="0"/>
        <v>18</v>
      </c>
      <c r="J12" s="159">
        <f>ROUNDUP(((H12*I12)+(H13*I13))/6400,0)</f>
        <v>8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66.788027999999997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18</v>
      </c>
      <c r="G13" s="59" t="s">
        <v>94</v>
      </c>
      <c r="H13" s="47">
        <f>($I$3-18-9.5-(8*7)-58-9.5-18)/9</f>
        <v>259</v>
      </c>
      <c r="I13" s="117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2531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2531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18</v>
      </c>
      <c r="G16" s="117" t="s">
        <v>19</v>
      </c>
      <c r="H16" s="47">
        <f>$H$12-80-80</f>
        <v>2371</v>
      </c>
      <c r="I16" s="117">
        <f>F16*$J$1</f>
        <v>18</v>
      </c>
      <c r="J16" s="159">
        <f>ROUNDUP(((H16*I16)+(H17*I17))/6400,0)</f>
        <v>8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12.163229999999999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18</v>
      </c>
      <c r="G17" s="117" t="s">
        <v>56</v>
      </c>
      <c r="H17" s="47">
        <f>$H$13-60-60</f>
        <v>139</v>
      </c>
      <c r="I17" s="117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3</v>
      </c>
      <c r="Q19" s="25">
        <f>$J$1*P19</f>
        <v>3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3</v>
      </c>
      <c r="Q20" s="25">
        <f>$J$1*P20</f>
        <v>3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2.5</v>
      </c>
      <c r="Q21" s="69">
        <f>$J$1*P21</f>
        <v>2.5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116.01600000000001</v>
      </c>
      <c r="Q22" s="45">
        <f>$J$1*P22</f>
        <v>116.01600000000001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45.54</v>
      </c>
      <c r="Q23" s="45">
        <f t="shared" ref="Q23:Q24" si="6">$J$1*P23</f>
        <v>45.54</v>
      </c>
      <c r="S23" s="6">
        <f>O28*P28*6*Q28*2.5/1000000</f>
        <v>41.813414999999999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45.54</v>
      </c>
      <c r="Q24" s="45">
        <f t="shared" si="6"/>
        <v>45.54</v>
      </c>
      <c r="S24" s="18">
        <f>SUM(S12:S23)</f>
        <v>120.76467299999999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13.418297000000003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120.76467300000002</v>
      </c>
      <c r="O28" s="41">
        <f>$H$12-130</f>
        <v>2401</v>
      </c>
      <c r="P28" s="41">
        <f>$H$13-130</f>
        <v>129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139" priority="13">
      <formula>$H$3=33</formula>
    </cfRule>
    <cfRule type="expression" dxfId="138" priority="14">
      <formula>$H$3=20</formula>
    </cfRule>
    <cfRule type="expression" dxfId="137" priority="15">
      <formula>$H$3=18</formula>
    </cfRule>
    <cfRule type="expression" dxfId="136" priority="16">
      <formula>$H$3=12</formula>
    </cfRule>
    <cfRule type="expression" dxfId="135" priority="17">
      <formula>$H$3=10</formula>
    </cfRule>
  </conditionalFormatting>
  <conditionalFormatting sqref="P21">
    <cfRule type="expression" dxfId="134" priority="8">
      <formula>$H$3=33</formula>
    </cfRule>
    <cfRule type="expression" dxfId="133" priority="9">
      <formula>$H$3=20</formula>
    </cfRule>
    <cfRule type="expression" dxfId="132" priority="10">
      <formula>$H$3=18</formula>
    </cfRule>
    <cfRule type="expression" dxfId="131" priority="11">
      <formula>$H$3=12</formula>
    </cfRule>
    <cfRule type="expression" dxfId="130" priority="12">
      <formula>$H$3=10</formula>
    </cfRule>
  </conditionalFormatting>
  <conditionalFormatting sqref="Q21">
    <cfRule type="expression" dxfId="129" priority="3">
      <formula>$H$3=33</formula>
    </cfRule>
    <cfRule type="expression" dxfId="128" priority="4">
      <formula>$H$3=20</formula>
    </cfRule>
    <cfRule type="expression" dxfId="127" priority="5">
      <formula>$H$3=18</formula>
    </cfRule>
    <cfRule type="expression" dxfId="126" priority="6">
      <formula>$H$3=12</formula>
    </cfRule>
    <cfRule type="expression" dxfId="125" priority="7">
      <formula>$H$3=10</formula>
    </cfRule>
  </conditionalFormatting>
  <conditionalFormatting sqref="N27">
    <cfRule type="cellIs" dxfId="124" priority="1" operator="greaterThanOrEqual">
      <formula>52.5</formula>
    </cfRule>
    <cfRule type="cellIs" dxfId="123" priority="2" operator="greaterThanOrEqual">
      <formula>47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18</v>
      </c>
      <c r="G12" s="135" t="s">
        <v>262</v>
      </c>
      <c r="H12" s="47">
        <f>$J$3-55-7-7</f>
        <v>2681</v>
      </c>
      <c r="I12" s="117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70.746228000000002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18</v>
      </c>
      <c r="G13" s="59" t="s">
        <v>94</v>
      </c>
      <c r="H13" s="47">
        <f>($I$3-18-9.5-(8*7)-58-9.5-18)/9</f>
        <v>481.22222222222223</v>
      </c>
      <c r="I13" s="117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18</v>
      </c>
      <c r="G16" s="117" t="s">
        <v>19</v>
      </c>
      <c r="H16" s="47">
        <f>$H$12-80-80</f>
        <v>2521</v>
      </c>
      <c r="I16" s="117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12.932729999999999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18</v>
      </c>
      <c r="G17" s="117" t="s">
        <v>56</v>
      </c>
      <c r="H17" s="47">
        <f>$H$13-60-60</f>
        <v>361.22222222222223</v>
      </c>
      <c r="I17" s="117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128.46600000000001</v>
      </c>
      <c r="Q22" s="45">
        <f>$J$1*P22</f>
        <v>128.46600000000001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52.24</v>
      </c>
      <c r="Q23" s="45">
        <f t="shared" ref="Q23:Q24" si="6">$J$1*P23</f>
        <v>52.24</v>
      </c>
      <c r="S23" s="6">
        <f>O28*P28*6*Q28*2.5/1000000</f>
        <v>120.955665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52.24</v>
      </c>
      <c r="Q24" s="45">
        <f t="shared" si="6"/>
        <v>52.24</v>
      </c>
      <c r="S24" s="18">
        <f>SUM(S12:S23)</f>
        <v>204.63462299999998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22.737180333333331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204.63462299999998</v>
      </c>
      <c r="O28" s="41">
        <f>$H$12-130</f>
        <v>2551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122" priority="13">
      <formula>$H$3=33</formula>
    </cfRule>
    <cfRule type="expression" dxfId="121" priority="14">
      <formula>$H$3=20</formula>
    </cfRule>
    <cfRule type="expression" dxfId="120" priority="15">
      <formula>$H$3=18</formula>
    </cfRule>
    <cfRule type="expression" dxfId="119" priority="16">
      <formula>$H$3=12</formula>
    </cfRule>
    <cfRule type="expression" dxfId="118" priority="17">
      <formula>$H$3=10</formula>
    </cfRule>
  </conditionalFormatting>
  <conditionalFormatting sqref="P21">
    <cfRule type="expression" dxfId="117" priority="8">
      <formula>$H$3=33</formula>
    </cfRule>
    <cfRule type="expression" dxfId="116" priority="9">
      <formula>$H$3=20</formula>
    </cfRule>
    <cfRule type="expression" dxfId="115" priority="10">
      <formula>$H$3=18</formula>
    </cfRule>
    <cfRule type="expression" dxfId="114" priority="11">
      <formula>$H$3=12</formula>
    </cfRule>
    <cfRule type="expression" dxfId="113" priority="12">
      <formula>$H$3=10</formula>
    </cfRule>
  </conditionalFormatting>
  <conditionalFormatting sqref="Q21">
    <cfRule type="expression" dxfId="112" priority="3">
      <formula>$H$3=33</formula>
    </cfRule>
    <cfRule type="expression" dxfId="111" priority="4">
      <formula>$H$3=20</formula>
    </cfRule>
    <cfRule type="expression" dxfId="110" priority="5">
      <formula>$H$3=18</formula>
    </cfRule>
    <cfRule type="expression" dxfId="109" priority="6">
      <formula>$H$3=12</formula>
    </cfRule>
    <cfRule type="expression" dxfId="108" priority="7">
      <formula>$H$3=10</formula>
    </cfRule>
  </conditionalFormatting>
  <conditionalFormatting sqref="N27">
    <cfRule type="cellIs" dxfId="107" priority="1" operator="greaterThanOrEqual">
      <formula>45.5</formula>
    </cfRule>
    <cfRule type="cellIs" dxfId="106" priority="2" operator="greaterThanOrEqual">
      <formula>40</formula>
    </cfRule>
  </conditionalFormatting>
  <dataValidations disablePrompts="1"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18</v>
      </c>
      <c r="G12" s="122" t="s">
        <v>262</v>
      </c>
      <c r="H12" s="47">
        <f>$J$3-55-7-7</f>
        <v>2681</v>
      </c>
      <c r="I12" s="117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70.746228000000002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18</v>
      </c>
      <c r="G13" s="59" t="s">
        <v>94</v>
      </c>
      <c r="H13" s="47">
        <f>($I$3-18-9.5-(8*7)-58-9.5-18)/9</f>
        <v>481.22222222222223</v>
      </c>
      <c r="I13" s="117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18</v>
      </c>
      <c r="G16" s="117" t="s">
        <v>19</v>
      </c>
      <c r="H16" s="47">
        <f>$H$12-80-80</f>
        <v>2521</v>
      </c>
      <c r="I16" s="117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12.932729999999999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18</v>
      </c>
      <c r="G17" s="117" t="s">
        <v>56</v>
      </c>
      <c r="H17" s="47">
        <f>$H$13-60-60</f>
        <v>361.22222222222223</v>
      </c>
      <c r="I17" s="117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128.46600000000001</v>
      </c>
      <c r="Q22" s="45">
        <f>$J$1*P22</f>
        <v>128.46600000000001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52.24</v>
      </c>
      <c r="Q23" s="45">
        <f t="shared" ref="Q23:Q24" si="6">$J$1*P23</f>
        <v>52.24</v>
      </c>
      <c r="S23" s="6">
        <f>O28*P28*6*Q28*2.5/1000000</f>
        <v>120.955665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52.24</v>
      </c>
      <c r="Q24" s="45">
        <f t="shared" si="6"/>
        <v>52.24</v>
      </c>
      <c r="S24" s="18">
        <f>SUM(S12:S23)</f>
        <v>204.63462299999998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22.737180333333331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204.63462299999998</v>
      </c>
      <c r="O28" s="41">
        <f>$H$12-130</f>
        <v>2551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105" priority="13">
      <formula>$H$3=33</formula>
    </cfRule>
    <cfRule type="expression" dxfId="104" priority="14">
      <formula>$H$3=20</formula>
    </cfRule>
    <cfRule type="expression" dxfId="103" priority="15">
      <formula>$H$3=18</formula>
    </cfRule>
    <cfRule type="expression" dxfId="102" priority="16">
      <formula>$H$3=12</formula>
    </cfRule>
    <cfRule type="expression" dxfId="101" priority="17">
      <formula>$H$3=10</formula>
    </cfRule>
  </conditionalFormatting>
  <conditionalFormatting sqref="P21">
    <cfRule type="expression" dxfId="100" priority="8">
      <formula>$H$3=33</formula>
    </cfRule>
    <cfRule type="expression" dxfId="99" priority="9">
      <formula>$H$3=20</formula>
    </cfRule>
    <cfRule type="expression" dxfId="98" priority="10">
      <formula>$H$3=18</formula>
    </cfRule>
    <cfRule type="expression" dxfId="97" priority="11">
      <formula>$H$3=12</formula>
    </cfRule>
    <cfRule type="expression" dxfId="96" priority="12">
      <formula>$H$3=10</formula>
    </cfRule>
  </conditionalFormatting>
  <conditionalFormatting sqref="Q21">
    <cfRule type="expression" dxfId="95" priority="3">
      <formula>$H$3=33</formula>
    </cfRule>
    <cfRule type="expression" dxfId="94" priority="4">
      <formula>$H$3=20</formula>
    </cfRule>
    <cfRule type="expression" dxfId="93" priority="5">
      <formula>$H$3=18</formula>
    </cfRule>
    <cfRule type="expression" dxfId="92" priority="6">
      <formula>$H$3=12</formula>
    </cfRule>
    <cfRule type="expression" dxfId="91" priority="7">
      <formula>$H$3=10</formula>
    </cfRule>
  </conditionalFormatting>
  <conditionalFormatting sqref="N27">
    <cfRule type="cellIs" dxfId="90" priority="1" operator="greaterThanOrEqual">
      <formula>45.5</formula>
    </cfRule>
    <cfRule type="cellIs" dxfId="89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4" tint="-0.249977111117893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4500</v>
      </c>
      <c r="J3" s="52">
        <v>2750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4464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4464</v>
      </c>
      <c r="I7" s="25">
        <f t="shared" ref="I7:I15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IF($J$3&lt;=2700,22,32)</f>
        <v>32</v>
      </c>
      <c r="Q7" s="25">
        <f t="shared" ref="Q7:Q13" si="3">$J$1*P7</f>
        <v>32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2750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2675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2675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4460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18</v>
      </c>
      <c r="G12" s="122" t="s">
        <v>262</v>
      </c>
      <c r="H12" s="47">
        <f>$J$3-55-7-7</f>
        <v>2681</v>
      </c>
      <c r="I12" s="117">
        <f t="shared" si="0"/>
        <v>18</v>
      </c>
      <c r="J12" s="159">
        <f>ROUNDUP(((H12*I12)+(H13*I13))/6400,0)</f>
        <v>9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70.746228000000002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18</v>
      </c>
      <c r="G13" s="59" t="s">
        <v>94</v>
      </c>
      <c r="H13" s="47">
        <f>($I$3-18-9.5-(8*7)-58-9.5-18)/9</f>
        <v>481.22222222222223</v>
      </c>
      <c r="I13" s="117">
        <f t="shared" si="0"/>
        <v>18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36</v>
      </c>
      <c r="Q13" s="25">
        <f t="shared" si="3"/>
        <v>36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1</v>
      </c>
      <c r="G14" s="25" t="s">
        <v>261</v>
      </c>
      <c r="H14" s="27">
        <f>$H$12</f>
        <v>2681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108</v>
      </c>
      <c r="Q14" s="25">
        <f>$J$1*P14</f>
        <v>108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90</v>
      </c>
      <c r="C15" s="26"/>
      <c r="D15" s="25" t="s">
        <v>89</v>
      </c>
      <c r="E15" s="25">
        <v>0.874</v>
      </c>
      <c r="F15" s="25">
        <v>1</v>
      </c>
      <c r="G15" s="132" t="s">
        <v>261</v>
      </c>
      <c r="H15" s="27">
        <f>$H$12</f>
        <v>2681</v>
      </c>
      <c r="I15" s="25">
        <f t="shared" si="0"/>
        <v>1</v>
      </c>
      <c r="J15" s="25">
        <f t="shared" si="1"/>
        <v>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18</v>
      </c>
      <c r="G16" s="117" t="s">
        <v>19</v>
      </c>
      <c r="H16" s="47">
        <f>$H$12-80-80</f>
        <v>2521</v>
      </c>
      <c r="I16" s="117">
        <f>F16*$J$1</f>
        <v>18</v>
      </c>
      <c r="J16" s="159">
        <f>ROUNDUP(((H16*I16)+(H17*I17))/6400,0)</f>
        <v>9</v>
      </c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((H16*I16)/1000)*E16</f>
        <v>12.932729999999999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IF($H$3&lt;=12,V15,IF($H$3&lt;=20,V17,V22))</f>
        <v>คิ้วกระจก5-12มิล (นอน)</v>
      </c>
      <c r="C17" s="143"/>
      <c r="D17" s="143"/>
      <c r="E17" s="143"/>
      <c r="F17" s="117">
        <v>18</v>
      </c>
      <c r="G17" s="117" t="s">
        <v>56</v>
      </c>
      <c r="H17" s="47">
        <f>$H$13-60-60</f>
        <v>361.22222222222223</v>
      </c>
      <c r="I17" s="117">
        <f>F17*$J$1</f>
        <v>18</v>
      </c>
      <c r="J17" s="160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12" t="s">
        <v>113</v>
      </c>
      <c r="N19" s="60"/>
      <c r="O19" s="57" t="s">
        <v>1</v>
      </c>
      <c r="P19" s="25">
        <f>IF($J$3&lt;=2700,3,4)</f>
        <v>4</v>
      </c>
      <c r="Q19" s="25">
        <f>$J$1*P19</f>
        <v>4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110</v>
      </c>
      <c r="N20" s="60"/>
      <c r="O20" s="57"/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68" t="s">
        <v>111</v>
      </c>
      <c r="N21" s="60"/>
      <c r="O21" s="57"/>
      <c r="P21" s="69">
        <f>ROUNDDOWN($H$12/1000,1)</f>
        <v>2.6</v>
      </c>
      <c r="Q21" s="69">
        <f>$J$1*P21</f>
        <v>2.6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117">
        <v>21</v>
      </c>
      <c r="M22" s="43" t="s">
        <v>67</v>
      </c>
      <c r="N22" s="58"/>
      <c r="O22" s="117" t="s">
        <v>1</v>
      </c>
      <c r="P22" s="45">
        <f>(($H$6*$I$6)+($H$8*1)+($H$9*$I$9)+($H$12*$I$12*2)+($H$13*$I$13)+($H$14*$I$14)+($H$15*3))/1000</f>
        <v>128.46600000000001</v>
      </c>
      <c r="Q22" s="45">
        <f>$J$1*P22</f>
        <v>128.46600000000001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65</v>
      </c>
      <c r="N23" s="58"/>
      <c r="O23" s="117" t="s">
        <v>1</v>
      </c>
      <c r="P23" s="45">
        <f>(($O$28+$P$28)*2)*$Q$28/1000</f>
        <v>52.24</v>
      </c>
      <c r="Q23" s="45">
        <f t="shared" ref="Q23:Q24" si="6">$J$1*P23</f>
        <v>52.24</v>
      </c>
      <c r="S23" s="6">
        <f>O28*P28*6*Q28*2.5/1000000</f>
        <v>120.955665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66</v>
      </c>
      <c r="N24" s="58"/>
      <c r="O24" s="117" t="s">
        <v>1</v>
      </c>
      <c r="P24" s="45">
        <f>(($O$28+$P$28)*2)*$Q$28/1000</f>
        <v>52.24</v>
      </c>
      <c r="Q24" s="45">
        <f t="shared" si="6"/>
        <v>52.24</v>
      </c>
      <c r="S24" s="18">
        <f>SUM(S12:S23)</f>
        <v>204.63462299999998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28"/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((($H$12*$F$12*$E$12/1000)+($H$13*$F$13*$E$13/1000)+($H$16*$F$16*$E$16/1000)+($H$17*$F$17*$E$17/1000))+($O$28*$P$28*$H$3*2.5*9/1000000))/9</f>
        <v>22.737180333333331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$N$27*9</f>
        <v>204.63462299999998</v>
      </c>
      <c r="O28" s="41">
        <f>$H$12-130</f>
        <v>2551</v>
      </c>
      <c r="P28" s="41">
        <f>$H$13-130</f>
        <v>351.22222222222223</v>
      </c>
      <c r="Q28" s="41">
        <f>9*$J$1</f>
        <v>9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M23:Q24">
    <cfRule type="expression" dxfId="88" priority="13">
      <formula>$H$3=33</formula>
    </cfRule>
    <cfRule type="expression" dxfId="87" priority="14">
      <formula>$H$3=20</formula>
    </cfRule>
    <cfRule type="expression" dxfId="86" priority="15">
      <formula>$H$3=18</formula>
    </cfRule>
    <cfRule type="expression" dxfId="85" priority="16">
      <formula>$H$3=12</formula>
    </cfRule>
    <cfRule type="expression" dxfId="84" priority="17">
      <formula>$H$3=10</formula>
    </cfRule>
  </conditionalFormatting>
  <conditionalFormatting sqref="P21">
    <cfRule type="expression" dxfId="83" priority="8">
      <formula>$H$3=33</formula>
    </cfRule>
    <cfRule type="expression" dxfId="82" priority="9">
      <formula>$H$3=20</formula>
    </cfRule>
    <cfRule type="expression" dxfId="81" priority="10">
      <formula>$H$3=18</formula>
    </cfRule>
    <cfRule type="expression" dxfId="80" priority="11">
      <formula>$H$3=12</formula>
    </cfRule>
    <cfRule type="expression" dxfId="79" priority="12">
      <formula>$H$3=10</formula>
    </cfRule>
  </conditionalFormatting>
  <conditionalFormatting sqref="Q21">
    <cfRule type="expression" dxfId="78" priority="3">
      <formula>$H$3=33</formula>
    </cfRule>
    <cfRule type="expression" dxfId="77" priority="4">
      <formula>$H$3=20</formula>
    </cfRule>
    <cfRule type="expression" dxfId="76" priority="5">
      <formula>$H$3=18</formula>
    </cfRule>
    <cfRule type="expression" dxfId="75" priority="6">
      <formula>$H$3=12</formula>
    </cfRule>
    <cfRule type="expression" dxfId="74" priority="7">
      <formula>$H$3=10</formula>
    </cfRule>
  </conditionalFormatting>
  <conditionalFormatting sqref="N27">
    <cfRule type="cellIs" dxfId="73" priority="1" operator="greaterThanOrEqual">
      <formula>45.5</formula>
    </cfRule>
    <cfRule type="cellIs" dxfId="72" priority="2" operator="greaterThanOrEqual">
      <formula>40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rgb="FFFFFF00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7" si="0">F7*$J$1</f>
        <v>1</v>
      </c>
      <c r="J7" s="25">
        <f t="shared" ref="J7:J15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IF($J$3&lt;=2700,23,34)</f>
        <v>34</v>
      </c>
      <c r="Q7" s="25">
        <f t="shared" ref="Q7:Q13" si="3">$J$1*P7</f>
        <v>34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22" t="s">
        <v>262</v>
      </c>
      <c r="H12" s="47">
        <f>$J$3-55-7-7</f>
        <v>2931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85.936920000000001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117" t="s">
        <v>78</v>
      </c>
      <c r="H13" s="47">
        <f>($I$3-18-9.5-(8*9)-50-18)/10</f>
        <v>583.25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1</v>
      </c>
      <c r="G14" s="25" t="s">
        <v>261</v>
      </c>
      <c r="H14" s="27">
        <f>$H$12</f>
        <v>2931</v>
      </c>
      <c r="I14" s="25">
        <f t="shared" si="0"/>
        <v>1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25">
        <v>10</v>
      </c>
      <c r="B15" s="26" t="s">
        <v>71</v>
      </c>
      <c r="C15" s="26"/>
      <c r="D15" s="25" t="s">
        <v>70</v>
      </c>
      <c r="E15" s="25">
        <v>0.496</v>
      </c>
      <c r="F15" s="25">
        <v>1</v>
      </c>
      <c r="G15" s="25" t="s">
        <v>72</v>
      </c>
      <c r="H15" s="27">
        <f>$J$3-55-25</f>
        <v>2920</v>
      </c>
      <c r="I15" s="25">
        <f t="shared" si="0"/>
        <v>1</v>
      </c>
      <c r="J15" s="25">
        <f t="shared" si="1"/>
        <v>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(($H$6*$I$6)+($H$8*1)+($H$9*$I$9)+($H$12*$I$12*2)+($H$14*$I$13*2)+($H$13*3)+($H$15*$I$15))/1000</f>
        <v>253.96375</v>
      </c>
      <c r="Q15" s="45">
        <f t="shared" ref="Q15" si="4">$J$1*P15</f>
        <v>253.96375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11</v>
      </c>
      <c r="B16" s="46" t="str">
        <f>IF($H$3&lt;=12,V14,IF($H$3&lt;=20,V16,V18))</f>
        <v>คิ้วกระจก5-12มิล (ตั้ง)</v>
      </c>
      <c r="C16" s="141"/>
      <c r="D16" s="141" t="str">
        <f>IF($H$3&lt;=12,X14,IF($H$3&lt;=20,X16,X18))</f>
        <v>F7935</v>
      </c>
      <c r="E16" s="141">
        <f>IF($H$3&lt;=12,Y14,IF($H$3&lt;=20,Y16,Y18))</f>
        <v>0.28499999999999998</v>
      </c>
      <c r="F16" s="117">
        <v>20</v>
      </c>
      <c r="G16" s="117" t="s">
        <v>19</v>
      </c>
      <c r="H16" s="47">
        <f>$H$12-80-80</f>
        <v>2771</v>
      </c>
      <c r="I16" s="117">
        <f t="shared" si="0"/>
        <v>20</v>
      </c>
      <c r="J16" s="159">
        <f>ROUNDUP(((H16*I16)+(H17*I17))/6400,0)</f>
        <v>11</v>
      </c>
      <c r="K16" s="28"/>
      <c r="L16" s="117">
        <v>15</v>
      </c>
      <c r="M16" s="43" t="s">
        <v>75</v>
      </c>
      <c r="N16" s="44"/>
      <c r="O16" s="117" t="s">
        <v>1</v>
      </c>
      <c r="P16" s="45">
        <f>(($H$14*2)+($H$15*2))/1000</f>
        <v>11.702</v>
      </c>
      <c r="Q16" s="45">
        <f>$J$1*P16</f>
        <v>11.702</v>
      </c>
      <c r="S16" s="6">
        <f>((H16*I16)/1000)*E16</f>
        <v>15.794699999999999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117">
        <v>12</v>
      </c>
      <c r="B17" s="46" t="str">
        <f>IF($H$3&lt;=12,V15,IF($H$3&lt;=20,V17,V19))</f>
        <v>คิ้วกระจก5-12มิล (นอน)</v>
      </c>
      <c r="C17" s="143"/>
      <c r="D17" s="143"/>
      <c r="E17" s="143"/>
      <c r="F17" s="117">
        <v>20</v>
      </c>
      <c r="G17" s="117" t="s">
        <v>56</v>
      </c>
      <c r="H17" s="47">
        <f>$H$13-60-60</f>
        <v>463.25</v>
      </c>
      <c r="I17" s="117">
        <f t="shared" si="0"/>
        <v>20</v>
      </c>
      <c r="J17" s="160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65.084999999999994</v>
      </c>
      <c r="Q17" s="45">
        <f>$J$1*P17</f>
        <v>65.084999999999994</v>
      </c>
      <c r="S17" s="6">
        <f>((H17*I17)/1000)*E17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65.084999999999994</v>
      </c>
      <c r="Q18" s="45">
        <f>$J$1*P18</f>
        <v>65.084999999999994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190.4329875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292.16460749999999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((($H$12*$F$12*$E$12/1000)+($H$13*$F$13*$E$13/1000)+($H$16*$F$16*$E$16/1000)+($H$17*$F$17*$E$17/1000))+($O$25*$P$25*$H$3*2.5*10/1000000))/10</f>
        <v>29.21646075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292.16460749999999</v>
      </c>
      <c r="O25" s="41">
        <f>$H$12-130</f>
        <v>2801</v>
      </c>
      <c r="P25" s="41">
        <f>$H$13-130</f>
        <v>453.25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6:C17"/>
    <mergeCell ref="D16:D17"/>
    <mergeCell ref="E16:E17"/>
    <mergeCell ref="J16:J17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71" priority="3">
      <formula>$H$3=33</formula>
    </cfRule>
    <cfRule type="expression" dxfId="70" priority="4">
      <formula>$H$3=20</formula>
    </cfRule>
    <cfRule type="expression" dxfId="69" priority="5">
      <formula>$H$3=18</formula>
    </cfRule>
    <cfRule type="expression" dxfId="68" priority="6">
      <formula>$H$3=12</formula>
    </cfRule>
    <cfRule type="expression" dxfId="67" priority="7">
      <formula>$H$3=10</formula>
    </cfRule>
  </conditionalFormatting>
  <conditionalFormatting sqref="N24">
    <cfRule type="cellIs" dxfId="66" priority="1" operator="greaterThanOrEqual">
      <formula>50.5</formula>
    </cfRule>
    <cfRule type="cellIs" dxfId="65" priority="2" operator="greaterThanOrEqual">
      <formula>45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rgb="FFFFFF00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IF($J$3&lt;=2700,20,30)</f>
        <v>30</v>
      </c>
      <c r="Q7" s="25">
        <f t="shared" ref="Q7:Q13" si="3">$J$1*P7</f>
        <v>30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35" t="s">
        <v>262</v>
      </c>
      <c r="H12" s="47">
        <f>$J$3-55-7-7</f>
        <v>2931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85.936920000000001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59" t="s">
        <v>99</v>
      </c>
      <c r="H13" s="47">
        <f>($I$3-18-9.5-(8*8)-23-9.5-18)/10</f>
        <v>585.79999999999995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2931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20</v>
      </c>
      <c r="G15" s="117" t="s">
        <v>19</v>
      </c>
      <c r="H15" s="47">
        <f>$H$12-80-80</f>
        <v>2771</v>
      </c>
      <c r="I15" s="117">
        <f>F15*$J$1</f>
        <v>20</v>
      </c>
      <c r="J15" s="159">
        <f>ROUNDUP(((H15*I15)+(H16*I16))/6400,0)</f>
        <v>11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20</v>
      </c>
      <c r="G16" s="117" t="s">
        <v>56</v>
      </c>
      <c r="H16" s="47">
        <f>$H$13-60-60</f>
        <v>465.79999999999995</v>
      </c>
      <c r="I16" s="117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15.794699999999999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18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19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20</v>
      </c>
      <c r="M22" s="68" t="s">
        <v>111</v>
      </c>
      <c r="N22" s="60"/>
      <c r="O22" s="57"/>
      <c r="P22" s="69">
        <f>ROUNDDOWN($H$12/1000,1)</f>
        <v>2.9</v>
      </c>
      <c r="Q22" s="69">
        <f>$J$1*P22</f>
        <v>2.9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19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137.90799999999999</v>
      </c>
      <c r="Q23" s="45">
        <f>$J$1*P23</f>
        <v>137.90799999999999</v>
      </c>
      <c r="S23" s="6">
        <f>O28*P28*6*Q28*2.5/1000000</f>
        <v>191.50436999999997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20</v>
      </c>
      <c r="M24" s="43" t="s">
        <v>65</v>
      </c>
      <c r="N24" s="58"/>
      <c r="O24" s="117" t="s">
        <v>1</v>
      </c>
      <c r="P24" s="45">
        <f>(($O$28+$P$28)*2)*$Q$28/1000</f>
        <v>65.135999999999996</v>
      </c>
      <c r="Q24" s="45">
        <f t="shared" ref="Q24:Q25" si="7">$J$1*P24</f>
        <v>65.135999999999996</v>
      </c>
      <c r="S24" s="18">
        <f>SUM(S12:S23)</f>
        <v>293.23598999999996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21</v>
      </c>
      <c r="M25" s="43" t="s">
        <v>66</v>
      </c>
      <c r="N25" s="58"/>
      <c r="O25" s="117" t="s">
        <v>1</v>
      </c>
      <c r="P25" s="45">
        <f>(($O$28+$P$28)*2)*$Q$28/1000</f>
        <v>65.135999999999996</v>
      </c>
      <c r="Q25" s="45">
        <f t="shared" si="7"/>
        <v>65.135999999999996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29.323598999999994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293.23598999999996</v>
      </c>
      <c r="O28" s="41">
        <f>$H$12-130</f>
        <v>2801</v>
      </c>
      <c r="P28" s="41">
        <f>$H$13-130</f>
        <v>455.79999999999995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24:Q25">
    <cfRule type="expression" dxfId="64" priority="13">
      <formula>$H$3=33</formula>
    </cfRule>
    <cfRule type="expression" dxfId="63" priority="14">
      <formula>$H$3=20</formula>
    </cfRule>
    <cfRule type="expression" dxfId="62" priority="15">
      <formula>$H$3=18</formula>
    </cfRule>
    <cfRule type="expression" dxfId="61" priority="16">
      <formula>$H$3=12</formula>
    </cfRule>
    <cfRule type="expression" dxfId="60" priority="17">
      <formula>$H$3=10</formula>
    </cfRule>
  </conditionalFormatting>
  <conditionalFormatting sqref="P22">
    <cfRule type="expression" dxfId="59" priority="8">
      <formula>$H$3=33</formula>
    </cfRule>
    <cfRule type="expression" dxfId="58" priority="9">
      <formula>$H$3=20</formula>
    </cfRule>
    <cfRule type="expression" dxfId="57" priority="10">
      <formula>$H$3=18</formula>
    </cfRule>
    <cfRule type="expression" dxfId="56" priority="11">
      <formula>$H$3=12</formula>
    </cfRule>
    <cfRule type="expression" dxfId="55" priority="12">
      <formula>$H$3=10</formula>
    </cfRule>
  </conditionalFormatting>
  <conditionalFormatting sqref="Q22">
    <cfRule type="expression" dxfId="54" priority="3">
      <formula>$H$3=33</formula>
    </cfRule>
    <cfRule type="expression" dxfId="53" priority="4">
      <formula>$H$3=20</formula>
    </cfRule>
    <cfRule type="expression" dxfId="52" priority="5">
      <formula>$H$3=18</formula>
    </cfRule>
    <cfRule type="expression" dxfId="51" priority="6">
      <formula>$H$3=12</formula>
    </cfRule>
    <cfRule type="expression" dxfId="50" priority="7">
      <formula>$H$3=10</formula>
    </cfRule>
  </conditionalFormatting>
  <conditionalFormatting sqref="N27">
    <cfRule type="cellIs" dxfId="49" priority="1" operator="greaterThanOrEqual">
      <formula>45.5</formula>
    </cfRule>
    <cfRule type="cellIs" dxfId="48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rgb="FFFFFF00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IF($J$3&lt;=2700,26,38)</f>
        <v>38</v>
      </c>
      <c r="Q7" s="25">
        <f t="shared" ref="Q7:Q13" si="3">$J$1*P7</f>
        <v>38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22" t="s">
        <v>262</v>
      </c>
      <c r="H12" s="47">
        <f>$J$3-55-7-7</f>
        <v>2931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85.936920000000001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59" t="s">
        <v>120</v>
      </c>
      <c r="H13" s="47">
        <f>($I$3-18-9.5-(8*8)-71-9.5-18)/10</f>
        <v>581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20</v>
      </c>
      <c r="G15" s="117" t="s">
        <v>19</v>
      </c>
      <c r="H15" s="47">
        <f>$H$12-80-80</f>
        <v>2771</v>
      </c>
      <c r="I15" s="117">
        <f t="shared" si="0"/>
        <v>20</v>
      </c>
      <c r="J15" s="159">
        <f>ROUNDUP(((H15*I15)+(H16*I16))/6400,0)</f>
        <v>11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175.88</v>
      </c>
      <c r="Q15" s="45">
        <f>$J$1*P15</f>
        <v>175.88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20</v>
      </c>
      <c r="G16" s="117" t="s">
        <v>56</v>
      </c>
      <c r="H16" s="47">
        <f>$H$13-60-60</f>
        <v>461</v>
      </c>
      <c r="I16" s="117">
        <f t="shared" si="0"/>
        <v>20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11.724</v>
      </c>
      <c r="Q16" s="45">
        <f>$J$1*P16</f>
        <v>11.724</v>
      </c>
      <c r="S16" s="6">
        <f>((H15*I15)/1000)*E15</f>
        <v>15.794699999999999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65.040000000000006</v>
      </c>
      <c r="Q17" s="45">
        <f t="shared" ref="Q17:Q18" si="4">$J$1*P17</f>
        <v>65.040000000000006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65.040000000000006</v>
      </c>
      <c r="Q18" s="45">
        <f t="shared" si="4"/>
        <v>65.040000000000006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189.48765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291.21926999999999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((($H$12*$F$12*$E$12/1000)+($H$13*$F$13*$E$13/1000)+($H$15*$F$15*$E$15/1000)+($H$16*$F$16*$E$16/1000))+($O$25*$P$25*$H$3*2.5*10/1000000))/10</f>
        <v>29.121926999999999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291.21926999999999</v>
      </c>
      <c r="O25" s="41">
        <f>$H$12-130</f>
        <v>2801</v>
      </c>
      <c r="P25" s="41">
        <f>$H$13-130</f>
        <v>451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47" priority="3">
      <formula>$H$3=33</formula>
    </cfRule>
    <cfRule type="expression" dxfId="46" priority="4">
      <formula>$H$3=20</formula>
    </cfRule>
    <cfRule type="expression" dxfId="45" priority="5">
      <formula>$H$3=18</formula>
    </cfRule>
    <cfRule type="expression" dxfId="44" priority="6">
      <formula>$H$3=12</formula>
    </cfRule>
    <cfRule type="expression" dxfId="43" priority="7">
      <formula>$H$3=10</formula>
    </cfRule>
  </conditionalFormatting>
  <conditionalFormatting sqref="N24">
    <cfRule type="cellIs" dxfId="42" priority="1" operator="greaterThanOrEqual">
      <formula>52.5</formula>
    </cfRule>
    <cfRule type="cellIs" dxfId="41" priority="2" operator="greaterThanOrEqual">
      <formula>47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rgb="FFFFFF00"/>
  </sheetPr>
  <dimension ref="A1:AE40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3200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3125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3125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3360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35" t="s">
        <v>262</v>
      </c>
      <c r="H12" s="47">
        <f>$J$3-55-7-7</f>
        <v>3131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91.800919999999991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59" t="s">
        <v>99</v>
      </c>
      <c r="H13" s="47">
        <f>($I$3-18-9.5-(8*8)-23-9.5-18)/10</f>
        <v>325.8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20</v>
      </c>
      <c r="G15" s="117" t="s">
        <v>19</v>
      </c>
      <c r="H15" s="47">
        <f>$H$12-80-80</f>
        <v>2971</v>
      </c>
      <c r="I15" s="117">
        <f>F15*$J$1</f>
        <v>20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20</v>
      </c>
      <c r="G16" s="117" t="s">
        <v>56</v>
      </c>
      <c r="H16" s="47">
        <f>$H$13-60-60</f>
        <v>205.8</v>
      </c>
      <c r="I16" s="117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16.934699999999999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138.30799999999999</v>
      </c>
      <c r="Q23" s="45">
        <f>$J$1*P23</f>
        <v>138.30799999999999</v>
      </c>
      <c r="S23" s="6">
        <f>O28*P28*6*Q28*2.5/1000000</f>
        <v>88.13937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63.936</v>
      </c>
      <c r="Q24" s="45">
        <f t="shared" ref="Q24:Q25" si="8">$J$1*P24</f>
        <v>63.936</v>
      </c>
      <c r="S24" s="18">
        <f>SUM(S12:S23)</f>
        <v>196.87498999999997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63.936</v>
      </c>
      <c r="Q25" s="45">
        <f t="shared" si="8"/>
        <v>63.936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19.687498999999999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196.87499</v>
      </c>
      <c r="O28" s="41">
        <f>$H$12-130</f>
        <v>3001</v>
      </c>
      <c r="P28" s="41">
        <f>$H$13-130</f>
        <v>195.8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40" priority="13">
      <formula>$H$3=33</formula>
    </cfRule>
    <cfRule type="expression" dxfId="39" priority="14">
      <formula>$H$3=20</formula>
    </cfRule>
    <cfRule type="expression" dxfId="38" priority="15">
      <formula>$H$3=18</formula>
    </cfRule>
    <cfRule type="expression" dxfId="37" priority="16">
      <formula>$H$3=12</formula>
    </cfRule>
    <cfRule type="expression" dxfId="36" priority="17">
      <formula>$H$3=10</formula>
    </cfRule>
  </conditionalFormatting>
  <conditionalFormatting sqref="P22">
    <cfRule type="expression" dxfId="35" priority="8">
      <formula>$H$3=33</formula>
    </cfRule>
    <cfRule type="expression" dxfId="34" priority="9">
      <formula>$H$3=20</formula>
    </cfRule>
    <cfRule type="expression" dxfId="33" priority="10">
      <formula>$H$3=18</formula>
    </cfRule>
    <cfRule type="expression" dxfId="32" priority="11">
      <formula>$H$3=12</formula>
    </cfRule>
    <cfRule type="expression" dxfId="31" priority="12">
      <formula>$H$3=10</formula>
    </cfRule>
  </conditionalFormatting>
  <conditionalFormatting sqref="Q22">
    <cfRule type="expression" dxfId="30" priority="3">
      <formula>$H$3=33</formula>
    </cfRule>
    <cfRule type="expression" dxfId="29" priority="4">
      <formula>$H$3=20</formula>
    </cfRule>
    <cfRule type="expression" dxfId="28" priority="5">
      <formula>$H$3=18</formula>
    </cfRule>
    <cfRule type="expression" dxfId="27" priority="6">
      <formula>$H$3=12</formula>
    </cfRule>
    <cfRule type="expression" dxfId="26" priority="7">
      <formula>$H$3=10</formula>
    </cfRule>
  </conditionalFormatting>
  <conditionalFormatting sqref="N27">
    <cfRule type="cellIs" dxfId="25" priority="1" operator="greaterThanOrEqual">
      <formula>45.5</formula>
    </cfRule>
    <cfRule type="cellIs" dxfId="24" priority="2" operator="greaterThanOrEqual">
      <formula>40</formula>
    </cfRule>
  </conditionalFormatting>
  <dataValidations count="2">
    <dataValidation type="list" allowBlank="1" showInputMessage="1" showErrorMessage="1" sqref="G3">
      <formula1>"ขาว,ดำ"</formula1>
    </dataValidation>
    <dataValidation type="list" allowBlank="1" showInputMessage="1" showErrorMessage="1" sqref="H3">
      <formula1>"5,6,8,10,12,14,16,18,20,29,30,33"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rgb="FFFFFF00"/>
  </sheetPr>
  <dimension ref="A1:AE37"/>
  <sheetViews>
    <sheetView view="pageBreakPreview" zoomScale="70" zoomScaleNormal="55" zoomScaleSheetLayoutView="70" workbookViewId="0">
      <selection activeCell="H13" sqref="H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6000</v>
      </c>
      <c r="J3" s="52">
        <v>3000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4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5964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5</v>
      </c>
      <c r="Q6" s="25">
        <f>$J$1*P6</f>
        <v>5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5964</v>
      </c>
      <c r="I7" s="25">
        <f t="shared" ref="I7:I16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IF($J$3&lt;=2700,26,38)</f>
        <v>38</v>
      </c>
      <c r="Q7" s="25">
        <f t="shared" ref="Q7:Q13" si="3">$J$1*P7</f>
        <v>38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3000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5</v>
      </c>
      <c r="Q8" s="25">
        <f t="shared" si="3"/>
        <v>5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2925</v>
      </c>
      <c r="I9" s="117">
        <f>F9*$J$1</f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5</v>
      </c>
      <c r="Q9" s="25">
        <f t="shared" si="3"/>
        <v>5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2925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5</v>
      </c>
      <c r="Q10" s="25">
        <f t="shared" si="3"/>
        <v>5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5960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5</v>
      </c>
      <c r="Q11" s="25">
        <f t="shared" si="3"/>
        <v>5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35" t="s">
        <v>262</v>
      </c>
      <c r="H12" s="47">
        <f>$J$3-55-7-7</f>
        <v>2931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10</v>
      </c>
      <c r="Q12" s="25">
        <f>$J$1*P12</f>
        <v>10</v>
      </c>
      <c r="R12" s="13">
        <v>73</v>
      </c>
      <c r="S12" s="6">
        <f>((H12*I12)/1000)*E12</f>
        <v>85.936920000000001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59" t="s">
        <v>120</v>
      </c>
      <c r="H13" s="47">
        <f>($I$3-18-9.5-(8*8)-71-9.5-18)/10</f>
        <v>581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69</v>
      </c>
      <c r="C14" s="26"/>
      <c r="D14" s="25" t="s">
        <v>68</v>
      </c>
      <c r="E14" s="25">
        <v>0.79900000000000004</v>
      </c>
      <c r="F14" s="25">
        <v>2</v>
      </c>
      <c r="G14" s="25" t="s">
        <v>261</v>
      </c>
      <c r="H14" s="27">
        <f>$H$12</f>
        <v>2931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20</v>
      </c>
      <c r="G15" s="117" t="s">
        <v>19</v>
      </c>
      <c r="H15" s="47">
        <f>$H$12-80-80</f>
        <v>2771</v>
      </c>
      <c r="I15" s="117">
        <f t="shared" si="0"/>
        <v>20</v>
      </c>
      <c r="J15" s="159">
        <f>ROUNDUP(((H15*I15)+(H16*I16))/6400,0)</f>
        <v>11</v>
      </c>
      <c r="K15" s="28"/>
      <c r="L15" s="117">
        <v>14</v>
      </c>
      <c r="M15" s="43" t="s">
        <v>67</v>
      </c>
      <c r="N15" s="44"/>
      <c r="O15" s="117" t="s">
        <v>1</v>
      </c>
      <c r="P15" s="45">
        <f>(($H$6*$I$6)+($H$8*I8)+($H$9*$I$9)+($H$12*$I$12*2)+($H$14*$I$14*3)+($H$13*$I$13*2))/1000</f>
        <v>175.88</v>
      </c>
      <c r="Q15" s="45">
        <f>$J$1*P15</f>
        <v>175.88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IF($H$3&lt;=12,V15,IF($H$3&lt;=20,V17,V19))</f>
        <v>คิ้วกระจก5-12มิล (นอน)</v>
      </c>
      <c r="C16" s="143"/>
      <c r="D16" s="143"/>
      <c r="E16" s="143"/>
      <c r="F16" s="117">
        <v>20</v>
      </c>
      <c r="G16" s="117" t="s">
        <v>56</v>
      </c>
      <c r="H16" s="47">
        <f>$H$13-60-60</f>
        <v>461</v>
      </c>
      <c r="I16" s="117">
        <f t="shared" si="0"/>
        <v>20</v>
      </c>
      <c r="J16" s="160"/>
      <c r="K16" s="28"/>
      <c r="L16" s="117">
        <v>15</v>
      </c>
      <c r="M16" s="43" t="s">
        <v>75</v>
      </c>
      <c r="N16" s="44"/>
      <c r="O16" s="117" t="s">
        <v>1</v>
      </c>
      <c r="P16" s="45">
        <f>($H$14*$I$14*2)/1000</f>
        <v>11.724</v>
      </c>
      <c r="Q16" s="45">
        <f>$J$1*P16</f>
        <v>11.724</v>
      </c>
      <c r="S16" s="6">
        <f>((H15*I15)/1000)*E15</f>
        <v>15.794699999999999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117">
        <v>16</v>
      </c>
      <c r="M17" s="43" t="s">
        <v>65</v>
      </c>
      <c r="N17" s="58"/>
      <c r="O17" s="117" t="s">
        <v>1</v>
      </c>
      <c r="P17" s="45">
        <f>(($O$25+$P$25)*2)*$Q$25/1000</f>
        <v>65.040000000000006</v>
      </c>
      <c r="Q17" s="45">
        <f t="shared" ref="Q17:Q18" si="4">$J$1*P17</f>
        <v>65.040000000000006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117">
        <v>17</v>
      </c>
      <c r="M18" s="43" t="s">
        <v>66</v>
      </c>
      <c r="N18" s="58"/>
      <c r="O18" s="117" t="s">
        <v>1</v>
      </c>
      <c r="P18" s="45">
        <f>(($O$25+$P$25)*2)*$Q$25/1000</f>
        <v>65.040000000000006</v>
      </c>
      <c r="Q18" s="45">
        <f t="shared" si="4"/>
        <v>65.040000000000006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28"/>
      <c r="B19" s="35"/>
      <c r="C19" s="35"/>
      <c r="D19" s="36"/>
      <c r="E19" s="36"/>
      <c r="F19" s="37"/>
      <c r="G19" s="36"/>
      <c r="H19" s="38"/>
      <c r="I19" s="33"/>
      <c r="J19" s="33"/>
      <c r="K19" s="28"/>
      <c r="L19" s="28"/>
      <c r="M19" s="28"/>
      <c r="N19" s="28"/>
      <c r="V19" s="12" t="s">
        <v>64</v>
      </c>
      <c r="W19" s="14"/>
      <c r="X19" s="11" t="s">
        <v>62</v>
      </c>
      <c r="Y19" s="11">
        <v>0.22</v>
      </c>
    </row>
    <row r="20" spans="1:25" ht="34.950000000000003" customHeight="1" x14ac:dyDescent="0.25">
      <c r="A20" s="28"/>
      <c r="B20" s="35"/>
      <c r="C20" s="35"/>
      <c r="D20" s="36"/>
      <c r="E20" s="36"/>
      <c r="F20" s="37"/>
      <c r="G20" s="36"/>
      <c r="H20" s="38"/>
      <c r="I20" s="33"/>
      <c r="J20" s="33"/>
      <c r="K20" s="28"/>
      <c r="L20" s="28"/>
      <c r="M20" s="28"/>
      <c r="N20" s="28"/>
      <c r="S20" s="6">
        <f>O25*P25*6*Q25*2.5/1000000</f>
        <v>189.48765</v>
      </c>
    </row>
    <row r="21" spans="1:25" ht="34.950000000000003" customHeight="1" x14ac:dyDescent="0.25">
      <c r="A21" s="28"/>
      <c r="B21" s="35"/>
      <c r="C21" s="35"/>
      <c r="D21" s="36"/>
      <c r="E21" s="36"/>
      <c r="F21" s="37"/>
      <c r="G21" s="36"/>
      <c r="H21" s="38"/>
      <c r="I21" s="33"/>
      <c r="J21" s="33"/>
      <c r="K21" s="28"/>
      <c r="L21" s="28"/>
      <c r="M21" s="28"/>
      <c r="N21" s="28"/>
      <c r="S21" s="18">
        <f>SUM(S12:S20)</f>
        <v>291.21926999999999</v>
      </c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8"/>
      <c r="M22" s="28"/>
      <c r="N22" s="28"/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28"/>
      <c r="M23" s="28"/>
      <c r="N23" s="70" t="s">
        <v>114</v>
      </c>
      <c r="O23" s="154" t="s">
        <v>39</v>
      </c>
      <c r="P23" s="154"/>
      <c r="Q23" s="154"/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28"/>
      <c r="M24" s="28"/>
      <c r="N24" s="71">
        <f>((($H$12*$F$12*$E$12/1000)+($H$13*$F$13*$E$13/1000)+($H$15*$F$15*$E$15/1000)+($H$16*$F$16*$E$16/1000))+($O$25*$P$25*$H$3*2.5*10/1000000))/10</f>
        <v>29.121926999999999</v>
      </c>
      <c r="O24" s="39" t="s">
        <v>40</v>
      </c>
      <c r="P24" s="39" t="s">
        <v>41</v>
      </c>
      <c r="Q24" s="40" t="s">
        <v>20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28"/>
      <c r="M25" s="28"/>
      <c r="N25" s="72">
        <f>$N$24*10</f>
        <v>291.21926999999999</v>
      </c>
      <c r="O25" s="41">
        <f>$H$12-130</f>
        <v>2801</v>
      </c>
      <c r="P25" s="41">
        <f>$H$13-130</f>
        <v>451</v>
      </c>
      <c r="Q25" s="41">
        <f>10*$J$1</f>
        <v>10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28"/>
      <c r="O26" s="28"/>
      <c r="P26" s="28"/>
      <c r="Q26" s="28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28"/>
      <c r="O27" s="28"/>
      <c r="P27" s="28"/>
      <c r="Q27" s="28"/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28"/>
      <c r="O28" s="28"/>
      <c r="P28" s="28"/>
      <c r="Q28" s="28"/>
    </row>
    <row r="29" spans="1:25" ht="34.950000000000003" customHeight="1" x14ac:dyDescent="0.25">
      <c r="A29" s="31"/>
      <c r="B29" s="32"/>
      <c r="C29" s="32"/>
      <c r="D29" s="31"/>
      <c r="E29" s="31"/>
      <c r="F29" s="33"/>
      <c r="G29" s="31"/>
      <c r="H29" s="34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31"/>
      <c r="B30" s="32"/>
      <c r="C30" s="35"/>
      <c r="D30" s="36"/>
      <c r="E30" s="36"/>
      <c r="F30" s="33"/>
      <c r="G30" s="31"/>
      <c r="H30" s="34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15"/>
      <c r="B31" s="16"/>
      <c r="F31" s="17"/>
      <c r="G31" s="6"/>
      <c r="H31" s="13"/>
      <c r="I31" s="17"/>
      <c r="J31" s="17"/>
    </row>
    <row r="32" spans="1:25" ht="34.950000000000003" customHeight="1" x14ac:dyDescent="0.25">
      <c r="G32" s="6"/>
    </row>
    <row r="33" ht="34.950000000000003" customHeight="1" x14ac:dyDescent="0.25"/>
    <row r="34" ht="34.950000000000003" customHeight="1" x14ac:dyDescent="0.25"/>
    <row r="35" ht="34.950000000000003" customHeight="1" x14ac:dyDescent="0.25"/>
    <row r="36" ht="34.950000000000003" customHeight="1" x14ac:dyDescent="0.25"/>
    <row r="37" ht="34.950000000000003" customHeight="1" x14ac:dyDescent="0.25"/>
  </sheetData>
  <sheetProtection sheet="1" objects="1" scenarios="1" formatCells="0" formatColumns="0"/>
  <dataConsolidate/>
  <mergeCells count="16">
    <mergeCell ref="O23:Q23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L17:Q18">
    <cfRule type="expression" dxfId="23" priority="3">
      <formula>$H$3=33</formula>
    </cfRule>
    <cfRule type="expression" dxfId="22" priority="4">
      <formula>$H$3=20</formula>
    </cfRule>
    <cfRule type="expression" dxfId="21" priority="5">
      <formula>$H$3=18</formula>
    </cfRule>
    <cfRule type="expression" dxfId="20" priority="6">
      <formula>$H$3=12</formula>
    </cfRule>
    <cfRule type="expression" dxfId="19" priority="7">
      <formula>$H$3=10</formula>
    </cfRule>
  </conditionalFormatting>
  <conditionalFormatting sqref="N24">
    <cfRule type="cellIs" dxfId="18" priority="1" operator="greaterThanOrEqual">
      <formula>54.5</formula>
    </cfRule>
    <cfRule type="cellIs" dxfId="17" priority="2" operator="greaterThanOrEqual">
      <formula>49</formula>
    </cfRule>
  </conditionalFormatting>
  <dataValidations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54" orientation="landscape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rgb="FFFFFF00"/>
  </sheetPr>
  <dimension ref="A1:AE40"/>
  <sheetViews>
    <sheetView view="pageBreakPreview" zoomScale="70" zoomScaleNormal="55" zoomScaleSheetLayoutView="70" workbookViewId="0">
      <selection activeCell="G13" sqref="G13"/>
    </sheetView>
  </sheetViews>
  <sheetFormatPr defaultColWidth="8.8984375" defaultRowHeight="13.8" outlineLevelCol="1" x14ac:dyDescent="0.25"/>
  <cols>
    <col min="1" max="1" width="8.69921875" style="6" customWidth="1"/>
    <col min="2" max="2" width="22.09765625" style="2" bestFit="1" customWidth="1"/>
    <col min="3" max="3" width="16" style="2" customWidth="1"/>
    <col min="4" max="4" width="15.69921875" style="3" customWidth="1"/>
    <col min="5" max="5" width="8.69921875" style="3" customWidth="1"/>
    <col min="6" max="6" width="8.69921875" style="4" customWidth="1"/>
    <col min="7" max="7" width="25.69921875" style="3" customWidth="1"/>
    <col min="8" max="8" width="15.69921875" style="5" customWidth="1"/>
    <col min="9" max="10" width="8.69921875" style="4" customWidth="1"/>
    <col min="11" max="11" width="8.8984375" style="6"/>
    <col min="12" max="12" width="8.69921875" style="6" customWidth="1"/>
    <col min="13" max="13" width="32" style="6" bestFit="1" customWidth="1"/>
    <col min="14" max="14" width="15.69921875" style="6" customWidth="1"/>
    <col min="15" max="17" width="8.69921875" style="6" customWidth="1"/>
    <col min="18" max="18" width="8.8984375" style="6"/>
    <col min="19" max="19" width="9.3984375" style="6" bestFit="1" customWidth="1"/>
    <col min="20" max="21" width="8.8984375" style="6"/>
    <col min="22" max="22" width="22.09765625" style="6" hidden="1" customWidth="1" outlineLevel="1"/>
    <col min="23" max="23" width="8.8984375" style="6" hidden="1" customWidth="1" outlineLevel="1"/>
    <col min="24" max="25" width="10.69921875" style="6" hidden="1" customWidth="1" outlineLevel="1"/>
    <col min="26" max="26" width="5.69921875" style="6" hidden="1" customWidth="1" outlineLevel="1"/>
    <col min="27" max="27" width="40.69921875" style="6" hidden="1" customWidth="1" outlineLevel="1"/>
    <col min="28" max="28" width="10.69921875" style="6" hidden="1" customWidth="1" outlineLevel="1"/>
    <col min="29" max="29" width="5.69921875" style="6" hidden="1" customWidth="1" outlineLevel="1"/>
    <col min="30" max="30" width="7" style="6" hidden="1" customWidth="1" outlineLevel="1"/>
    <col min="31" max="31" width="8.8984375" style="6" collapsed="1"/>
    <col min="32" max="16384" width="8.8984375" style="6"/>
  </cols>
  <sheetData>
    <row r="1" spans="1:25" ht="19.95" customHeight="1" x14ac:dyDescent="0.35">
      <c r="A1" s="1"/>
      <c r="H1" s="48"/>
      <c r="I1" s="11" t="s">
        <v>2</v>
      </c>
      <c r="J1" s="11">
        <v>1</v>
      </c>
    </row>
    <row r="2" spans="1:25" ht="19.95" customHeight="1" x14ac:dyDescent="0.35">
      <c r="A2" s="7"/>
      <c r="C2" s="157" t="s">
        <v>118</v>
      </c>
      <c r="D2" s="157"/>
      <c r="E2" s="157"/>
      <c r="F2" s="158"/>
      <c r="G2" s="118" t="s">
        <v>82</v>
      </c>
      <c r="H2" s="118" t="s">
        <v>53</v>
      </c>
      <c r="I2" s="50" t="s">
        <v>3</v>
      </c>
      <c r="J2" s="50" t="s">
        <v>0</v>
      </c>
    </row>
    <row r="3" spans="1:25" ht="19.95" customHeight="1" x14ac:dyDescent="0.25">
      <c r="G3" s="51" t="s">
        <v>30</v>
      </c>
      <c r="H3" s="51">
        <v>6</v>
      </c>
      <c r="I3" s="52">
        <v>3400</v>
      </c>
      <c r="J3" s="52">
        <v>3200</v>
      </c>
    </row>
    <row r="4" spans="1:25" s="9" customFormat="1" ht="19.95" customHeight="1" x14ac:dyDescent="0.25">
      <c r="A4" s="148" t="s">
        <v>54</v>
      </c>
      <c r="B4" s="148"/>
      <c r="C4" s="148"/>
      <c r="D4" s="148"/>
      <c r="E4" s="148"/>
      <c r="F4" s="148"/>
      <c r="G4" s="148"/>
      <c r="H4" s="148"/>
      <c r="I4" s="148"/>
      <c r="J4" s="148"/>
      <c r="K4" s="19"/>
      <c r="L4" s="148" t="s">
        <v>84</v>
      </c>
      <c r="M4" s="148"/>
      <c r="N4" s="148"/>
      <c r="O4" s="148"/>
      <c r="P4" s="148"/>
      <c r="Q4" s="148"/>
    </row>
    <row r="5" spans="1:25" ht="40.200000000000003" customHeight="1" x14ac:dyDescent="0.25">
      <c r="A5" s="20" t="s">
        <v>8</v>
      </c>
      <c r="B5" s="20" t="s">
        <v>5</v>
      </c>
      <c r="C5" s="20" t="s">
        <v>12</v>
      </c>
      <c r="D5" s="20" t="s">
        <v>9</v>
      </c>
      <c r="E5" s="20" t="s">
        <v>14</v>
      </c>
      <c r="F5" s="22" t="s">
        <v>50</v>
      </c>
      <c r="G5" s="20" t="s">
        <v>6</v>
      </c>
      <c r="H5" s="21" t="s">
        <v>4</v>
      </c>
      <c r="I5" s="22" t="s">
        <v>87</v>
      </c>
      <c r="J5" s="22" t="s">
        <v>51</v>
      </c>
      <c r="K5" s="23"/>
      <c r="L5" s="20" t="s">
        <v>8</v>
      </c>
      <c r="M5" s="20" t="s">
        <v>5</v>
      </c>
      <c r="N5" s="20" t="s">
        <v>52</v>
      </c>
      <c r="O5" s="20" t="s">
        <v>21</v>
      </c>
      <c r="P5" s="22" t="s">
        <v>50</v>
      </c>
      <c r="Q5" s="20" t="s">
        <v>7</v>
      </c>
      <c r="R5" s="10" t="s">
        <v>42</v>
      </c>
    </row>
    <row r="6" spans="1:25" ht="34.950000000000003" customHeight="1" x14ac:dyDescent="0.25">
      <c r="A6" s="25">
        <v>1</v>
      </c>
      <c r="B6" s="26" t="s">
        <v>32</v>
      </c>
      <c r="C6" s="26"/>
      <c r="D6" s="25" t="s">
        <v>43</v>
      </c>
      <c r="E6" s="25">
        <v>2.7669999999999999</v>
      </c>
      <c r="F6" s="25">
        <v>1</v>
      </c>
      <c r="G6" s="25" t="s">
        <v>10</v>
      </c>
      <c r="H6" s="27">
        <f>$I$3-18-18</f>
        <v>3364</v>
      </c>
      <c r="I6" s="25">
        <f>F6*$J$1</f>
        <v>1</v>
      </c>
      <c r="J6" s="25">
        <f>ROUNDUP((H6*I6)/6400,0)</f>
        <v>1</v>
      </c>
      <c r="K6" s="28"/>
      <c r="L6" s="25">
        <v>1</v>
      </c>
      <c r="M6" s="29" t="s">
        <v>24</v>
      </c>
      <c r="N6" s="25"/>
      <c r="O6" s="25" t="str">
        <f>IF($G$3="ขาว","ขาว","ดำ")</f>
        <v>ดำ</v>
      </c>
      <c r="P6" s="25">
        <v>4</v>
      </c>
      <c r="Q6" s="25">
        <f>$J$1*P6</f>
        <v>4</v>
      </c>
      <c r="R6" s="13">
        <v>299</v>
      </c>
    </row>
    <row r="7" spans="1:25" ht="34.950000000000003" customHeight="1" x14ac:dyDescent="0.25">
      <c r="A7" s="25">
        <v>2</v>
      </c>
      <c r="B7" s="26" t="s">
        <v>138</v>
      </c>
      <c r="C7" s="26"/>
      <c r="D7" s="25" t="s">
        <v>139</v>
      </c>
      <c r="E7" s="25">
        <v>0.30299999999999999</v>
      </c>
      <c r="F7" s="25">
        <v>1</v>
      </c>
      <c r="G7" s="25" t="s">
        <v>10</v>
      </c>
      <c r="H7" s="27">
        <f>$I$3-18-18</f>
        <v>3364</v>
      </c>
      <c r="I7" s="25">
        <f t="shared" ref="I7:I14" si="0">F7*$J$1</f>
        <v>1</v>
      </c>
      <c r="J7" s="25">
        <f t="shared" ref="J7:J14" si="1">ROUNDUP((H7*I7)/6400,0)</f>
        <v>1</v>
      </c>
      <c r="K7" s="28"/>
      <c r="L7" s="25">
        <v>2</v>
      </c>
      <c r="M7" s="29" t="s">
        <v>25</v>
      </c>
      <c r="N7" s="25"/>
      <c r="O7" s="25" t="str">
        <f t="shared" ref="O7:O12" si="2">IF($G$3="ขาว","ขาว","ดำ")</f>
        <v>ดำ</v>
      </c>
      <c r="P7" s="25">
        <f>IF($J$3&lt;=2700,22,28)</f>
        <v>28</v>
      </c>
      <c r="Q7" s="25">
        <f t="shared" ref="Q7:Q13" si="3">$J$1*P7</f>
        <v>28</v>
      </c>
      <c r="R7" s="13">
        <v>72</v>
      </c>
    </row>
    <row r="8" spans="1:25" ht="34.950000000000003" customHeight="1" x14ac:dyDescent="0.25">
      <c r="A8" s="117">
        <v>3</v>
      </c>
      <c r="B8" s="46" t="s">
        <v>34</v>
      </c>
      <c r="C8" s="46"/>
      <c r="D8" s="117" t="s">
        <v>45</v>
      </c>
      <c r="E8" s="117">
        <v>0.93400000000000005</v>
      </c>
      <c r="F8" s="117">
        <v>2</v>
      </c>
      <c r="G8" s="117" t="s">
        <v>0</v>
      </c>
      <c r="H8" s="47">
        <f>$J$3</f>
        <v>3200</v>
      </c>
      <c r="I8" s="117">
        <f t="shared" si="0"/>
        <v>2</v>
      </c>
      <c r="J8" s="117">
        <f t="shared" si="1"/>
        <v>1</v>
      </c>
      <c r="K8" s="28"/>
      <c r="L8" s="25">
        <v>3</v>
      </c>
      <c r="M8" s="29" t="s">
        <v>26</v>
      </c>
      <c r="N8" s="25"/>
      <c r="O8" s="25" t="str">
        <f t="shared" si="2"/>
        <v>ดำ</v>
      </c>
      <c r="P8" s="25">
        <v>4</v>
      </c>
      <c r="Q8" s="25">
        <f t="shared" si="3"/>
        <v>4</v>
      </c>
      <c r="R8" s="13">
        <v>109</v>
      </c>
    </row>
    <row r="9" spans="1:25" ht="34.950000000000003" customHeight="1" x14ac:dyDescent="0.25">
      <c r="A9" s="117">
        <v>4</v>
      </c>
      <c r="B9" s="46" t="s">
        <v>31</v>
      </c>
      <c r="C9" s="46"/>
      <c r="D9" s="117" t="s">
        <v>46</v>
      </c>
      <c r="E9" s="117">
        <v>0.4</v>
      </c>
      <c r="F9" s="117">
        <v>2</v>
      </c>
      <c r="G9" s="122" t="s">
        <v>140</v>
      </c>
      <c r="H9" s="47">
        <f>$J$3-75</f>
        <v>3125</v>
      </c>
      <c r="I9" s="117">
        <f t="shared" si="0"/>
        <v>2</v>
      </c>
      <c r="J9" s="117">
        <f t="shared" si="1"/>
        <v>1</v>
      </c>
      <c r="K9" s="28"/>
      <c r="L9" s="25">
        <v>4</v>
      </c>
      <c r="M9" s="29" t="s">
        <v>27</v>
      </c>
      <c r="N9" s="25"/>
      <c r="O9" s="25" t="str">
        <f t="shared" si="2"/>
        <v>ดำ</v>
      </c>
      <c r="P9" s="25">
        <v>4</v>
      </c>
      <c r="Q9" s="25">
        <f t="shared" si="3"/>
        <v>4</v>
      </c>
      <c r="R9" s="13">
        <v>199</v>
      </c>
    </row>
    <row r="10" spans="1:25" ht="34.950000000000003" customHeight="1" x14ac:dyDescent="0.25">
      <c r="A10" s="25">
        <v>5</v>
      </c>
      <c r="B10" s="26" t="s">
        <v>15</v>
      </c>
      <c r="C10" s="151"/>
      <c r="D10" s="151" t="s">
        <v>48</v>
      </c>
      <c r="E10" s="151">
        <v>0.19</v>
      </c>
      <c r="F10" s="25">
        <v>2</v>
      </c>
      <c r="G10" s="25" t="s">
        <v>140</v>
      </c>
      <c r="H10" s="27">
        <f>$J$3-75</f>
        <v>3125</v>
      </c>
      <c r="I10" s="25">
        <f t="shared" si="0"/>
        <v>2</v>
      </c>
      <c r="J10" s="151">
        <f>ROUNDUP(((H10*I10)+(H11*I11))/6400,0)</f>
        <v>2</v>
      </c>
      <c r="K10" s="28"/>
      <c r="L10" s="25">
        <v>5</v>
      </c>
      <c r="M10" s="29" t="s">
        <v>22</v>
      </c>
      <c r="N10" s="25"/>
      <c r="O10" s="25" t="str">
        <f t="shared" si="2"/>
        <v>ดำ</v>
      </c>
      <c r="P10" s="25">
        <v>4</v>
      </c>
      <c r="Q10" s="25">
        <f t="shared" si="3"/>
        <v>4</v>
      </c>
      <c r="R10" s="13">
        <v>85</v>
      </c>
    </row>
    <row r="11" spans="1:25" ht="34.950000000000003" customHeight="1" x14ac:dyDescent="0.25">
      <c r="A11" s="25">
        <v>6</v>
      </c>
      <c r="B11" s="26" t="s">
        <v>16</v>
      </c>
      <c r="C11" s="152"/>
      <c r="D11" s="152"/>
      <c r="E11" s="152"/>
      <c r="F11" s="25">
        <v>1</v>
      </c>
      <c r="G11" s="25" t="s">
        <v>17</v>
      </c>
      <c r="H11" s="27">
        <f>$I$3-20-20</f>
        <v>3360</v>
      </c>
      <c r="I11" s="25">
        <f t="shared" si="0"/>
        <v>1</v>
      </c>
      <c r="J11" s="152"/>
      <c r="K11" s="28"/>
      <c r="L11" s="25">
        <v>6</v>
      </c>
      <c r="M11" s="29" t="s">
        <v>23</v>
      </c>
      <c r="N11" s="25"/>
      <c r="O11" s="25" t="str">
        <f t="shared" si="2"/>
        <v>ดำ</v>
      </c>
      <c r="P11" s="25">
        <v>4</v>
      </c>
      <c r="Q11" s="25">
        <f t="shared" si="3"/>
        <v>4</v>
      </c>
      <c r="R11" s="13">
        <v>88</v>
      </c>
    </row>
    <row r="12" spans="1:25" ht="34.950000000000003" customHeight="1" x14ac:dyDescent="0.25">
      <c r="A12" s="117">
        <v>7</v>
      </c>
      <c r="B12" s="46" t="s">
        <v>61</v>
      </c>
      <c r="C12" s="141"/>
      <c r="D12" s="141" t="s">
        <v>47</v>
      </c>
      <c r="E12" s="141">
        <v>1.466</v>
      </c>
      <c r="F12" s="117">
        <v>20</v>
      </c>
      <c r="G12" s="122" t="s">
        <v>262</v>
      </c>
      <c r="H12" s="47">
        <f>$J$3-55-7-7</f>
        <v>3131</v>
      </c>
      <c r="I12" s="117">
        <f t="shared" si="0"/>
        <v>20</v>
      </c>
      <c r="J12" s="159">
        <f>ROUNDUP(((H12*I12)+(H13*I13))/6400,0)</f>
        <v>11</v>
      </c>
      <c r="K12" s="28"/>
      <c r="L12" s="25">
        <v>7</v>
      </c>
      <c r="M12" s="29" t="s">
        <v>29</v>
      </c>
      <c r="N12" s="25"/>
      <c r="O12" s="25" t="str">
        <f t="shared" si="2"/>
        <v>ดำ</v>
      </c>
      <c r="P12" s="25">
        <v>8</v>
      </c>
      <c r="Q12" s="25">
        <f t="shared" si="3"/>
        <v>8</v>
      </c>
      <c r="R12" s="13">
        <v>73</v>
      </c>
      <c r="S12" s="6">
        <f>((H12*I12)/1000)*E12</f>
        <v>91.800919999999991</v>
      </c>
    </row>
    <row r="13" spans="1:25" ht="34.950000000000003" customHeight="1" x14ac:dyDescent="0.25">
      <c r="A13" s="117">
        <v>8</v>
      </c>
      <c r="B13" s="46" t="s">
        <v>49</v>
      </c>
      <c r="C13" s="143"/>
      <c r="D13" s="143"/>
      <c r="E13" s="143"/>
      <c r="F13" s="117">
        <v>20</v>
      </c>
      <c r="G13" s="59" t="s">
        <v>99</v>
      </c>
      <c r="H13" s="47">
        <f>($I$3-18-9.5-(8*8)-23-9.5-18)/10</f>
        <v>325.8</v>
      </c>
      <c r="I13" s="117">
        <f t="shared" si="0"/>
        <v>20</v>
      </c>
      <c r="J13" s="160"/>
      <c r="K13" s="28"/>
      <c r="L13" s="25">
        <v>12</v>
      </c>
      <c r="M13" s="29" t="s">
        <v>35</v>
      </c>
      <c r="N13" s="30"/>
      <c r="O13" s="25" t="s">
        <v>1</v>
      </c>
      <c r="P13" s="25">
        <v>40</v>
      </c>
      <c r="Q13" s="25">
        <f t="shared" si="3"/>
        <v>40</v>
      </c>
      <c r="R13" s="13">
        <v>15</v>
      </c>
      <c r="S13" s="6">
        <f>((H13*I13)/1000)*E13</f>
        <v>0</v>
      </c>
      <c r="V13" s="8" t="s">
        <v>5</v>
      </c>
      <c r="W13" s="8" t="s">
        <v>12</v>
      </c>
      <c r="X13" s="8" t="s">
        <v>9</v>
      </c>
      <c r="Y13" s="8" t="s">
        <v>14</v>
      </c>
    </row>
    <row r="14" spans="1:25" ht="34.950000000000003" customHeight="1" x14ac:dyDescent="0.25">
      <c r="A14" s="25">
        <v>9</v>
      </c>
      <c r="B14" s="26" t="s">
        <v>80</v>
      </c>
      <c r="C14" s="26"/>
      <c r="D14" s="25" t="s">
        <v>79</v>
      </c>
      <c r="E14" s="25">
        <v>0.45200000000000001</v>
      </c>
      <c r="F14" s="25">
        <v>2</v>
      </c>
      <c r="G14" s="25" t="s">
        <v>261</v>
      </c>
      <c r="H14" s="27">
        <f>$H$12</f>
        <v>3131</v>
      </c>
      <c r="I14" s="25">
        <f t="shared" si="0"/>
        <v>2</v>
      </c>
      <c r="J14" s="25">
        <f t="shared" si="1"/>
        <v>1</v>
      </c>
      <c r="K14" s="28"/>
      <c r="L14" s="25">
        <v>13</v>
      </c>
      <c r="M14" s="29" t="s">
        <v>36</v>
      </c>
      <c r="N14" s="30"/>
      <c r="O14" s="25" t="s">
        <v>1</v>
      </c>
      <c r="P14" s="25">
        <v>120</v>
      </c>
      <c r="Q14" s="25">
        <f>$J$1*P14</f>
        <v>120</v>
      </c>
      <c r="R14" s="13">
        <v>1.5</v>
      </c>
      <c r="V14" s="12" t="s">
        <v>59</v>
      </c>
      <c r="W14" s="12"/>
      <c r="X14" s="11" t="s">
        <v>13</v>
      </c>
      <c r="Y14" s="11">
        <v>0.28499999999999998</v>
      </c>
    </row>
    <row r="15" spans="1:25" ht="34.950000000000003" customHeight="1" x14ac:dyDescent="0.25">
      <c r="A15" s="117">
        <v>11</v>
      </c>
      <c r="B15" s="46" t="str">
        <f>IF($H$3&lt;=12,V14,IF($H$3&lt;=20,V16,V18))</f>
        <v>คิ้วกระจก5-12มิล (ตั้ง)</v>
      </c>
      <c r="C15" s="141"/>
      <c r="D15" s="141" t="str">
        <f>IF($H$3&lt;=12,X14,IF($H$3&lt;=20,X16,X18))</f>
        <v>F7935</v>
      </c>
      <c r="E15" s="141">
        <f>IF($H$3&lt;=12,Y14,IF($H$3&lt;=20,Y16,Y18))</f>
        <v>0.28499999999999998</v>
      </c>
      <c r="F15" s="117">
        <v>20</v>
      </c>
      <c r="G15" s="117" t="s">
        <v>19</v>
      </c>
      <c r="H15" s="47">
        <f>$H$12-80-80</f>
        <v>2971</v>
      </c>
      <c r="I15" s="117">
        <f>F15*$J$1</f>
        <v>20</v>
      </c>
      <c r="J15" s="159">
        <f>ROUNDUP(((H15*I15)+(H16*I16))/6400,0)</f>
        <v>10</v>
      </c>
      <c r="K15" s="28"/>
      <c r="L15" s="25">
        <v>14</v>
      </c>
      <c r="M15" s="12" t="s">
        <v>28</v>
      </c>
      <c r="N15" s="57"/>
      <c r="O15" s="25" t="str">
        <f t="shared" ref="O15" si="4">IF($G$3="ขาว","ขาว","ดำ")</f>
        <v>ดำ</v>
      </c>
      <c r="P15" s="25">
        <v>1</v>
      </c>
      <c r="Q15" s="25">
        <f t="shared" ref="Q15:Q18" si="5">$J$1*P15</f>
        <v>1</v>
      </c>
      <c r="V15" s="12" t="s">
        <v>60</v>
      </c>
      <c r="W15" s="12"/>
      <c r="X15" s="11" t="s">
        <v>13</v>
      </c>
      <c r="Y15" s="11">
        <v>0.28499999999999998</v>
      </c>
    </row>
    <row r="16" spans="1:25" ht="34.950000000000003" customHeight="1" x14ac:dyDescent="0.25">
      <c r="A16" s="117">
        <v>12</v>
      </c>
      <c r="B16" s="46" t="str">
        <f>IF($H$3&lt;=12,V15,IF($H$3&lt;=20,V17,V22))</f>
        <v>คิ้วกระจก5-12มิล (นอน)</v>
      </c>
      <c r="C16" s="143"/>
      <c r="D16" s="143"/>
      <c r="E16" s="143"/>
      <c r="F16" s="117">
        <v>20</v>
      </c>
      <c r="G16" s="117" t="s">
        <v>56</v>
      </c>
      <c r="H16" s="47">
        <f>$H$13-60-60</f>
        <v>205.8</v>
      </c>
      <c r="I16" s="117">
        <f>F16*$J$1</f>
        <v>20</v>
      </c>
      <c r="J16" s="160"/>
      <c r="K16" s="28"/>
      <c r="L16" s="25">
        <v>15</v>
      </c>
      <c r="M16" s="12" t="s">
        <v>100</v>
      </c>
      <c r="N16" s="57"/>
      <c r="O16" s="57" t="s">
        <v>1</v>
      </c>
      <c r="P16" s="25">
        <v>1</v>
      </c>
      <c r="Q16" s="25">
        <f t="shared" si="5"/>
        <v>1</v>
      </c>
      <c r="S16" s="6">
        <f>((H15*I15)/1000)*E15</f>
        <v>16.934699999999999</v>
      </c>
      <c r="V16" s="12" t="s">
        <v>57</v>
      </c>
      <c r="W16" s="12"/>
      <c r="X16" s="11" t="s">
        <v>55</v>
      </c>
      <c r="Y16" s="11">
        <v>0.252</v>
      </c>
    </row>
    <row r="17" spans="1:25" ht="34.950000000000003" customHeight="1" x14ac:dyDescent="0.25">
      <c r="A17" s="53"/>
      <c r="B17" s="54"/>
      <c r="C17" s="54"/>
      <c r="D17" s="53"/>
      <c r="E17" s="53"/>
      <c r="F17" s="53"/>
      <c r="G17" s="53"/>
      <c r="H17" s="55"/>
      <c r="I17" s="53"/>
      <c r="J17" s="53"/>
      <c r="K17" s="28"/>
      <c r="L17" s="25">
        <v>16</v>
      </c>
      <c r="M17" s="12" t="s">
        <v>37</v>
      </c>
      <c r="N17" s="57"/>
      <c r="O17" s="57" t="s">
        <v>1</v>
      </c>
      <c r="P17" s="25">
        <v>1</v>
      </c>
      <c r="Q17" s="25">
        <f t="shared" si="5"/>
        <v>1</v>
      </c>
      <c r="S17" s="6">
        <f>((H16*I16)/1000)*E16</f>
        <v>0</v>
      </c>
      <c r="V17" s="12" t="s">
        <v>58</v>
      </c>
      <c r="W17" s="12"/>
      <c r="X17" s="11" t="s">
        <v>55</v>
      </c>
      <c r="Y17" s="11">
        <v>0.252</v>
      </c>
    </row>
    <row r="18" spans="1:25" ht="34.950000000000003" customHeight="1" x14ac:dyDescent="0.25">
      <c r="A18" s="31"/>
      <c r="B18" s="32"/>
      <c r="C18" s="32"/>
      <c r="D18" s="31"/>
      <c r="E18" s="31"/>
      <c r="F18" s="33"/>
      <c r="G18" s="31"/>
      <c r="H18" s="34"/>
      <c r="I18" s="33"/>
      <c r="J18" s="33"/>
      <c r="K18" s="28"/>
      <c r="L18" s="25">
        <v>17</v>
      </c>
      <c r="M18" s="56" t="s">
        <v>38</v>
      </c>
      <c r="N18" s="57"/>
      <c r="O18" s="57" t="s">
        <v>1</v>
      </c>
      <c r="P18" s="25">
        <v>1</v>
      </c>
      <c r="Q18" s="25">
        <f t="shared" si="5"/>
        <v>1</v>
      </c>
      <c r="V18" s="12" t="s">
        <v>63</v>
      </c>
      <c r="W18" s="14"/>
      <c r="X18" s="11" t="s">
        <v>62</v>
      </c>
      <c r="Y18" s="11">
        <v>0.22</v>
      </c>
    </row>
    <row r="19" spans="1:25" ht="34.950000000000003" customHeight="1" x14ac:dyDescent="0.25">
      <c r="A19" s="31"/>
      <c r="B19" s="32"/>
      <c r="C19" s="32"/>
      <c r="D19" s="31"/>
      <c r="E19" s="31"/>
      <c r="F19" s="33"/>
      <c r="G19" s="31"/>
      <c r="H19" s="34"/>
      <c r="I19" s="33"/>
      <c r="J19" s="33"/>
      <c r="K19" s="28"/>
      <c r="L19" s="25">
        <v>18</v>
      </c>
      <c r="M19" s="61" t="s">
        <v>96</v>
      </c>
      <c r="N19" s="60"/>
      <c r="O19" s="25" t="str">
        <f t="shared" ref="O19" si="6">IF($G$3="ขาว","ขาว","ดำ")</f>
        <v>ดำ</v>
      </c>
      <c r="P19" s="25">
        <v>2</v>
      </c>
      <c r="Q19" s="25">
        <f>$J$1*P19</f>
        <v>2</v>
      </c>
      <c r="V19" s="12"/>
      <c r="W19" s="14"/>
      <c r="X19" s="11"/>
      <c r="Y19" s="11"/>
    </row>
    <row r="20" spans="1:25" ht="34.950000000000003" customHeight="1" x14ac:dyDescent="0.25">
      <c r="A20" s="31"/>
      <c r="B20" s="32"/>
      <c r="C20" s="32"/>
      <c r="D20" s="31"/>
      <c r="E20" s="31"/>
      <c r="F20" s="33"/>
      <c r="G20" s="31"/>
      <c r="H20" s="34"/>
      <c r="I20" s="33"/>
      <c r="J20" s="33"/>
      <c r="K20" s="28"/>
      <c r="L20" s="25">
        <v>19</v>
      </c>
      <c r="M20" s="12" t="s">
        <v>113</v>
      </c>
      <c r="N20" s="60"/>
      <c r="O20" s="57" t="s">
        <v>1</v>
      </c>
      <c r="P20" s="25">
        <f>IF($J$3&lt;=2700,3,4)</f>
        <v>4</v>
      </c>
      <c r="Q20" s="25">
        <f>$J$1*P20</f>
        <v>4</v>
      </c>
      <c r="V20" s="12"/>
      <c r="W20" s="14"/>
      <c r="X20" s="11"/>
      <c r="Y20" s="11"/>
    </row>
    <row r="21" spans="1:25" ht="34.950000000000003" customHeight="1" x14ac:dyDescent="0.25">
      <c r="A21" s="31"/>
      <c r="B21" s="32"/>
      <c r="C21" s="32"/>
      <c r="D21" s="31"/>
      <c r="E21" s="31"/>
      <c r="F21" s="33"/>
      <c r="G21" s="31"/>
      <c r="H21" s="34"/>
      <c r="I21" s="33"/>
      <c r="J21" s="33"/>
      <c r="K21" s="28"/>
      <c r="L21" s="25">
        <v>20</v>
      </c>
      <c r="M21" s="12" t="s">
        <v>110</v>
      </c>
      <c r="N21" s="60"/>
      <c r="O21" s="57"/>
      <c r="P21" s="25">
        <f>IF($J$3&lt;=2700,3,4)</f>
        <v>4</v>
      </c>
      <c r="Q21" s="25">
        <f>$J$1*P21</f>
        <v>4</v>
      </c>
      <c r="V21" s="12"/>
      <c r="W21" s="14"/>
      <c r="X21" s="11"/>
      <c r="Y21" s="11"/>
    </row>
    <row r="22" spans="1:25" ht="34.950000000000003" customHeight="1" x14ac:dyDescent="0.25">
      <c r="A22" s="28"/>
      <c r="B22" s="35"/>
      <c r="C22" s="35"/>
      <c r="D22" s="36"/>
      <c r="E22" s="36"/>
      <c r="F22" s="37"/>
      <c r="G22" s="36"/>
      <c r="H22" s="38"/>
      <c r="I22" s="33"/>
      <c r="J22" s="33"/>
      <c r="K22" s="28"/>
      <c r="L22" s="25">
        <v>21</v>
      </c>
      <c r="M22" s="68" t="s">
        <v>111</v>
      </c>
      <c r="N22" s="60"/>
      <c r="O22" s="57"/>
      <c r="P22" s="69">
        <f>ROUNDDOWN($H$12/1000,1)</f>
        <v>3.1</v>
      </c>
      <c r="Q22" s="69">
        <f t="shared" ref="Q22" si="7">$J$1*P22</f>
        <v>3.1</v>
      </c>
      <c r="V22" s="12" t="s">
        <v>64</v>
      </c>
      <c r="W22" s="14"/>
      <c r="X22" s="11" t="s">
        <v>62</v>
      </c>
      <c r="Y22" s="11">
        <v>0.22</v>
      </c>
    </row>
    <row r="23" spans="1:25" ht="34.950000000000003" customHeight="1" x14ac:dyDescent="0.25">
      <c r="A23" s="28"/>
      <c r="B23" s="35"/>
      <c r="C23" s="35"/>
      <c r="D23" s="36"/>
      <c r="E23" s="36"/>
      <c r="F23" s="37"/>
      <c r="G23" s="36"/>
      <c r="H23" s="38"/>
      <c r="I23" s="33"/>
      <c r="J23" s="33"/>
      <c r="K23" s="28"/>
      <c r="L23" s="117">
        <v>22</v>
      </c>
      <c r="M23" s="43" t="s">
        <v>67</v>
      </c>
      <c r="N23" s="58"/>
      <c r="O23" s="117" t="s">
        <v>1</v>
      </c>
      <c r="P23" s="45">
        <f>(($H$6*$I$6)+($H$8*1)+($H$9*$I$9)+($H$12*$I$12*2)+($H$13*$I$13)+($H$14*$I$14)-($H$12*4))/1000</f>
        <v>138.30799999999999</v>
      </c>
      <c r="Q23" s="45">
        <f>$J$1*P23</f>
        <v>138.30799999999999</v>
      </c>
      <c r="S23" s="6">
        <f>O28*P28*6*Q28*2.5/1000000</f>
        <v>88.13937</v>
      </c>
    </row>
    <row r="24" spans="1:25" ht="34.950000000000003" customHeight="1" x14ac:dyDescent="0.25">
      <c r="A24" s="28"/>
      <c r="B24" s="35"/>
      <c r="C24" s="35"/>
      <c r="D24" s="36"/>
      <c r="E24" s="36"/>
      <c r="F24" s="37"/>
      <c r="G24" s="36"/>
      <c r="H24" s="38"/>
      <c r="I24" s="33"/>
      <c r="J24" s="33"/>
      <c r="K24" s="28"/>
      <c r="L24" s="117">
        <v>23</v>
      </c>
      <c r="M24" s="43" t="s">
        <v>65</v>
      </c>
      <c r="N24" s="58"/>
      <c r="O24" s="117" t="s">
        <v>1</v>
      </c>
      <c r="P24" s="45">
        <f>(($O$28+$P$28)*2)*$Q$28/1000</f>
        <v>63.936</v>
      </c>
      <c r="Q24" s="45">
        <f t="shared" ref="Q24:Q25" si="8">$J$1*P24</f>
        <v>63.936</v>
      </c>
      <c r="S24" s="18">
        <f>SUM(S12:S23)</f>
        <v>196.87498999999997</v>
      </c>
    </row>
    <row r="25" spans="1:25" ht="34.950000000000003" customHeight="1" x14ac:dyDescent="0.25">
      <c r="A25" s="28"/>
      <c r="B25" s="35"/>
      <c r="C25" s="35"/>
      <c r="D25" s="36"/>
      <c r="E25" s="36"/>
      <c r="F25" s="37"/>
      <c r="G25" s="36"/>
      <c r="H25" s="38"/>
      <c r="I25" s="33"/>
      <c r="J25" s="33"/>
      <c r="K25" s="28"/>
      <c r="L25" s="117">
        <v>24</v>
      </c>
      <c r="M25" s="43" t="s">
        <v>66</v>
      </c>
      <c r="N25" s="58"/>
      <c r="O25" s="117" t="s">
        <v>1</v>
      </c>
      <c r="P25" s="45">
        <f>(($O$28+$P$28)*2)*$Q$28/1000</f>
        <v>63.936</v>
      </c>
      <c r="Q25" s="45">
        <f t="shared" si="8"/>
        <v>63.936</v>
      </c>
    </row>
    <row r="26" spans="1:25" ht="34.950000000000003" customHeight="1" x14ac:dyDescent="0.25">
      <c r="A26" s="28"/>
      <c r="B26" s="35"/>
      <c r="C26" s="35"/>
      <c r="D26" s="36"/>
      <c r="E26" s="36"/>
      <c r="F26" s="37"/>
      <c r="G26" s="36"/>
      <c r="H26" s="38"/>
      <c r="I26" s="33"/>
      <c r="J26" s="33"/>
      <c r="K26" s="28"/>
      <c r="L26" s="28"/>
      <c r="M26" s="28"/>
      <c r="N26" s="70" t="s">
        <v>114</v>
      </c>
      <c r="O26" s="154" t="s">
        <v>39</v>
      </c>
      <c r="P26" s="154"/>
      <c r="Q26" s="154"/>
    </row>
    <row r="27" spans="1:25" ht="34.950000000000003" customHeight="1" x14ac:dyDescent="0.25">
      <c r="A27" s="28"/>
      <c r="B27" s="35"/>
      <c r="C27" s="35"/>
      <c r="D27" s="36"/>
      <c r="E27" s="36"/>
      <c r="F27" s="37"/>
      <c r="G27" s="36"/>
      <c r="H27" s="38"/>
      <c r="I27" s="33"/>
      <c r="J27" s="33"/>
      <c r="K27" s="28"/>
      <c r="L27" s="28"/>
      <c r="M27" s="28"/>
      <c r="N27" s="71">
        <f>((($H$12*$F$12*$E$12/1000)+($H$13*$F$13*$E$13/1000)+($H$15*$F$15*$E$15/1000)+($H$16*$F$16*$E$16/1000))+($O$28*$P$28*$H$3*2.5*10/1000000))/10</f>
        <v>19.687498999999999</v>
      </c>
      <c r="O27" s="39" t="s">
        <v>40</v>
      </c>
      <c r="P27" s="39" t="s">
        <v>41</v>
      </c>
      <c r="Q27" s="40" t="s">
        <v>20</v>
      </c>
    </row>
    <row r="28" spans="1:25" ht="34.950000000000003" customHeight="1" x14ac:dyDescent="0.25">
      <c r="A28" s="28"/>
      <c r="B28" s="35"/>
      <c r="C28" s="35"/>
      <c r="D28" s="36"/>
      <c r="E28" s="36"/>
      <c r="F28" s="37"/>
      <c r="G28" s="36"/>
      <c r="H28" s="38"/>
      <c r="I28" s="33"/>
      <c r="J28" s="33"/>
      <c r="K28" s="28"/>
      <c r="L28" s="28"/>
      <c r="M28" s="28"/>
      <c r="N28" s="72">
        <f>$N$27*10</f>
        <v>196.87499</v>
      </c>
      <c r="O28" s="41">
        <f>$H$12-130</f>
        <v>3001</v>
      </c>
      <c r="P28" s="41">
        <f>$H$13-130</f>
        <v>195.8</v>
      </c>
      <c r="Q28" s="41">
        <f>10*$J$1</f>
        <v>10</v>
      </c>
    </row>
    <row r="29" spans="1:25" ht="34.950000000000003" customHeight="1" x14ac:dyDescent="0.25">
      <c r="A29" s="28"/>
      <c r="B29" s="35"/>
      <c r="C29" s="35"/>
      <c r="D29" s="36"/>
      <c r="E29" s="36"/>
      <c r="F29" s="37"/>
      <c r="G29" s="36"/>
      <c r="H29" s="38"/>
      <c r="I29" s="33"/>
      <c r="J29" s="33"/>
      <c r="K29" s="28"/>
      <c r="L29" s="28"/>
      <c r="M29" s="28"/>
      <c r="N29" s="28"/>
      <c r="O29" s="28"/>
      <c r="P29" s="28"/>
      <c r="Q29" s="28"/>
    </row>
    <row r="30" spans="1:25" ht="34.950000000000003" customHeight="1" x14ac:dyDescent="0.25">
      <c r="A30" s="28"/>
      <c r="B30" s="35"/>
      <c r="C30" s="35"/>
      <c r="D30" s="36"/>
      <c r="E30" s="36"/>
      <c r="F30" s="37"/>
      <c r="G30" s="36"/>
      <c r="H30" s="38"/>
      <c r="I30" s="33"/>
      <c r="J30" s="33"/>
      <c r="K30" s="28"/>
      <c r="L30" s="28"/>
      <c r="M30" s="28"/>
      <c r="N30" s="28"/>
      <c r="O30" s="28"/>
      <c r="P30" s="28"/>
      <c r="Q30" s="28"/>
    </row>
    <row r="31" spans="1:25" ht="34.950000000000003" customHeight="1" x14ac:dyDescent="0.25">
      <c r="A31" s="28"/>
      <c r="B31" s="35"/>
      <c r="C31" s="35"/>
      <c r="D31" s="36"/>
      <c r="E31" s="36"/>
      <c r="F31" s="37"/>
      <c r="G31" s="36"/>
      <c r="H31" s="38"/>
      <c r="I31" s="33"/>
      <c r="J31" s="33"/>
      <c r="K31" s="28"/>
      <c r="L31" s="28"/>
      <c r="M31" s="28"/>
      <c r="N31" s="28"/>
      <c r="O31" s="28"/>
      <c r="P31" s="28"/>
      <c r="Q31" s="28"/>
    </row>
    <row r="32" spans="1:25" ht="34.950000000000003" customHeight="1" x14ac:dyDescent="0.25">
      <c r="A32" s="31"/>
      <c r="B32" s="32"/>
      <c r="C32" s="32"/>
      <c r="D32" s="31"/>
      <c r="E32" s="31"/>
      <c r="F32" s="33"/>
      <c r="G32" s="31"/>
      <c r="H32" s="34"/>
      <c r="I32" s="33"/>
      <c r="J32" s="33"/>
      <c r="K32" s="28"/>
      <c r="L32" s="28"/>
      <c r="M32" s="28"/>
      <c r="N32" s="28"/>
      <c r="O32" s="28"/>
      <c r="P32" s="28"/>
      <c r="Q32" s="28"/>
    </row>
    <row r="33" spans="1:17" ht="34.950000000000003" customHeight="1" x14ac:dyDescent="0.25">
      <c r="A33" s="31"/>
      <c r="B33" s="32"/>
      <c r="C33" s="35"/>
      <c r="D33" s="36"/>
      <c r="E33" s="36"/>
      <c r="F33" s="33"/>
      <c r="G33" s="31"/>
      <c r="H33" s="34"/>
      <c r="I33" s="33"/>
      <c r="J33" s="33"/>
      <c r="K33" s="28"/>
      <c r="L33" s="28"/>
      <c r="M33" s="28"/>
      <c r="N33" s="28"/>
      <c r="O33" s="28"/>
      <c r="P33" s="28"/>
      <c r="Q33" s="28"/>
    </row>
    <row r="34" spans="1:17" ht="34.950000000000003" customHeight="1" x14ac:dyDescent="0.25">
      <c r="A34" s="15"/>
      <c r="B34" s="16"/>
      <c r="F34" s="17"/>
      <c r="G34" s="6"/>
      <c r="H34" s="13"/>
      <c r="I34" s="17"/>
      <c r="J34" s="17"/>
    </row>
    <row r="35" spans="1:17" ht="34.950000000000003" customHeight="1" x14ac:dyDescent="0.25">
      <c r="G35" s="6"/>
    </row>
    <row r="36" spans="1:17" ht="34.950000000000003" customHeight="1" x14ac:dyDescent="0.25"/>
    <row r="37" spans="1:17" ht="34.950000000000003" customHeight="1" x14ac:dyDescent="0.25"/>
    <row r="38" spans="1:17" ht="34.950000000000003" customHeight="1" x14ac:dyDescent="0.25"/>
    <row r="39" spans="1:17" ht="34.950000000000003" customHeight="1" x14ac:dyDescent="0.25"/>
    <row r="40" spans="1:17" ht="34.950000000000003" customHeight="1" x14ac:dyDescent="0.25"/>
  </sheetData>
  <sheetProtection sheet="1" objects="1" scenarios="1" formatCells="0" formatColumns="0"/>
  <dataConsolidate/>
  <mergeCells count="16">
    <mergeCell ref="O26:Q26"/>
    <mergeCell ref="C12:C13"/>
    <mergeCell ref="D12:D13"/>
    <mergeCell ref="E12:E13"/>
    <mergeCell ref="J12:J13"/>
    <mergeCell ref="C15:C16"/>
    <mergeCell ref="D15:D16"/>
    <mergeCell ref="E15:E16"/>
    <mergeCell ref="J15:J16"/>
    <mergeCell ref="C2:F2"/>
    <mergeCell ref="A4:J4"/>
    <mergeCell ref="L4:Q4"/>
    <mergeCell ref="C10:C11"/>
    <mergeCell ref="D10:D11"/>
    <mergeCell ref="E10:E11"/>
    <mergeCell ref="J10:J11"/>
  </mergeCells>
  <conditionalFormatting sqref="M24:Q25">
    <cfRule type="expression" dxfId="16" priority="13">
      <formula>$H$3=33</formula>
    </cfRule>
    <cfRule type="expression" dxfId="15" priority="14">
      <formula>$H$3=20</formula>
    </cfRule>
    <cfRule type="expression" dxfId="14" priority="15">
      <formula>$H$3=18</formula>
    </cfRule>
    <cfRule type="expression" dxfId="13" priority="16">
      <formula>$H$3=12</formula>
    </cfRule>
    <cfRule type="expression" dxfId="12" priority="17">
      <formula>$H$3=10</formula>
    </cfRule>
  </conditionalFormatting>
  <conditionalFormatting sqref="P22">
    <cfRule type="expression" dxfId="11" priority="8">
      <formula>$H$3=33</formula>
    </cfRule>
    <cfRule type="expression" dxfId="10" priority="9">
      <formula>$H$3=20</formula>
    </cfRule>
    <cfRule type="expression" dxfId="9" priority="10">
      <formula>$H$3=18</formula>
    </cfRule>
    <cfRule type="expression" dxfId="8" priority="11">
      <formula>$H$3=12</formula>
    </cfRule>
    <cfRule type="expression" dxfId="7" priority="12">
      <formula>$H$3=10</formula>
    </cfRule>
  </conditionalFormatting>
  <conditionalFormatting sqref="Q22">
    <cfRule type="expression" dxfId="6" priority="3">
      <formula>$H$3=33</formula>
    </cfRule>
    <cfRule type="expression" dxfId="5" priority="4">
      <formula>$H$3=20</formula>
    </cfRule>
    <cfRule type="expression" dxfId="4" priority="5">
      <formula>$H$3=18</formula>
    </cfRule>
    <cfRule type="expression" dxfId="3" priority="6">
      <formula>$H$3=12</formula>
    </cfRule>
    <cfRule type="expression" dxfId="2" priority="7">
      <formula>$H$3=10</formula>
    </cfRule>
  </conditionalFormatting>
  <conditionalFormatting sqref="N27">
    <cfRule type="cellIs" dxfId="1" priority="1" operator="greaterThanOrEqual">
      <formula>45.5</formula>
    </cfRule>
    <cfRule type="cellIs" dxfId="0" priority="2" operator="greaterThanOrEqual">
      <formula>40</formula>
    </cfRule>
  </conditionalFormatting>
  <dataValidations disablePrompts="1" count="2">
    <dataValidation type="list" allowBlank="1" showInputMessage="1" showErrorMessage="1" sqref="H3">
      <formula1>"5,6,8,10,12,14,16,18,20,29,30,33"</formula1>
    </dataValidation>
    <dataValidation type="list" allowBlank="1" showInputMessage="1" showErrorMessage="1" sqref="G3">
      <formula1>"ขาว,ดำ"</formula1>
    </dataValidation>
  </dataValidations>
  <printOptions horizontalCentered="1"/>
  <pageMargins left="0" right="0" top="0.59055118110236227" bottom="0" header="0.31496062992125984" footer="0.31496062992125984"/>
  <pageSetup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75</vt:i4>
      </vt:variant>
      <vt:variant>
        <vt:lpstr>Named Ranges</vt:lpstr>
      </vt:variant>
      <vt:variant>
        <vt:i4>71</vt:i4>
      </vt:variant>
    </vt:vector>
  </HeadingPairs>
  <TitlesOfParts>
    <vt:vector size="146" baseType="lpstr">
      <vt:lpstr>INDEX</vt:lpstr>
      <vt:lpstr>INDEX เฟรมล่าง</vt:lpstr>
      <vt:lpstr>INDEX รางยู</vt:lpstr>
      <vt:lpstr>CORNER คู่+คู่</vt:lpstr>
      <vt:lpstr>CORNER คี่+คู่</vt:lpstr>
      <vt:lpstr>CORNER คี่+คี่</vt:lpstr>
      <vt:lpstr>2P 2-0</vt:lpstr>
      <vt:lpstr>3P 3-0</vt:lpstr>
      <vt:lpstr>3P 2-1</vt:lpstr>
      <vt:lpstr>4P 4-0</vt:lpstr>
      <vt:lpstr>4P 3-1</vt:lpstr>
      <vt:lpstr>4P 2-2</vt:lpstr>
      <vt:lpstr>5P 5-0</vt:lpstr>
      <vt:lpstr>5P 4-1</vt:lpstr>
      <vt:lpstr>5P 3-2</vt:lpstr>
      <vt:lpstr>6P 6-0</vt:lpstr>
      <vt:lpstr>6P 5-1</vt:lpstr>
      <vt:lpstr>6P 4-2</vt:lpstr>
      <vt:lpstr>6P 3-3</vt:lpstr>
      <vt:lpstr>7P 7-0</vt:lpstr>
      <vt:lpstr>7P 6-1</vt:lpstr>
      <vt:lpstr>7P 5-2</vt:lpstr>
      <vt:lpstr>7P 4-3</vt:lpstr>
      <vt:lpstr>8P 8-0</vt:lpstr>
      <vt:lpstr>8P 7-1</vt:lpstr>
      <vt:lpstr>8P 4-4</vt:lpstr>
      <vt:lpstr>8P 5-3</vt:lpstr>
      <vt:lpstr>8P 6-2</vt:lpstr>
      <vt:lpstr>9P 9-0</vt:lpstr>
      <vt:lpstr>9P 8-1</vt:lpstr>
      <vt:lpstr>9P 7-2</vt:lpstr>
      <vt:lpstr>9P 6-3</vt:lpstr>
      <vt:lpstr>9P 5-4</vt:lpstr>
      <vt:lpstr>10P 10-0</vt:lpstr>
      <vt:lpstr>10P 9-1</vt:lpstr>
      <vt:lpstr>10P 8-2</vt:lpstr>
      <vt:lpstr>10P 7-3</vt:lpstr>
      <vt:lpstr>10P 6-4</vt:lpstr>
      <vt:lpstr>10P 5-5</vt:lpstr>
      <vt:lpstr>CORNER คู่+คู่ (U)</vt:lpstr>
      <vt:lpstr>CORNER คี่+คู่ (U)</vt:lpstr>
      <vt:lpstr>CORNER คี่+คี่  (U)</vt:lpstr>
      <vt:lpstr>2P 2-0 (U)</vt:lpstr>
      <vt:lpstr>3P 3-0 (U)</vt:lpstr>
      <vt:lpstr>3P 2-1 (U)</vt:lpstr>
      <vt:lpstr>4P 4-0 (U)</vt:lpstr>
      <vt:lpstr>4P 3-1 (U)</vt:lpstr>
      <vt:lpstr>4P 2-2 (U)</vt:lpstr>
      <vt:lpstr>5P 5-0 (U)</vt:lpstr>
      <vt:lpstr>5P 4-1 (U)</vt:lpstr>
      <vt:lpstr>5P 3-2 (U)</vt:lpstr>
      <vt:lpstr>6P 6-0 (U)</vt:lpstr>
      <vt:lpstr>6P 5-1 (U)</vt:lpstr>
      <vt:lpstr>6P 4-2 (U)</vt:lpstr>
      <vt:lpstr>6P 3-3 (U)</vt:lpstr>
      <vt:lpstr>7P 7-0 (U)</vt:lpstr>
      <vt:lpstr>7P 6-1 (U)</vt:lpstr>
      <vt:lpstr>7P 5-2  (U)</vt:lpstr>
      <vt:lpstr>7P 4-3 (U)</vt:lpstr>
      <vt:lpstr>8P 8-0 (U)</vt:lpstr>
      <vt:lpstr>8P 7-1 (U)</vt:lpstr>
      <vt:lpstr>8P 4-4 (U)</vt:lpstr>
      <vt:lpstr>8P 5-3 (U)</vt:lpstr>
      <vt:lpstr>8P 6-2 (U)</vt:lpstr>
      <vt:lpstr>9P 9-0 (U)</vt:lpstr>
      <vt:lpstr>9P 8-1 (U)</vt:lpstr>
      <vt:lpstr>9P 7-2 (U)</vt:lpstr>
      <vt:lpstr>9P 6-3 (U)</vt:lpstr>
      <vt:lpstr>9P 5-4 (U)</vt:lpstr>
      <vt:lpstr>10P 10-0 (U)</vt:lpstr>
      <vt:lpstr>10P 9-1 (U)</vt:lpstr>
      <vt:lpstr>10P 8-2 (U)</vt:lpstr>
      <vt:lpstr>10P 7-3 (U)</vt:lpstr>
      <vt:lpstr>10P 6-4 (U)</vt:lpstr>
      <vt:lpstr>10P 5-5 (U)</vt:lpstr>
      <vt:lpstr>'10P 10-0'!Print_Area</vt:lpstr>
      <vt:lpstr>'10P 10-0 (U)'!Print_Area</vt:lpstr>
      <vt:lpstr>'10P 5-5'!Print_Area</vt:lpstr>
      <vt:lpstr>'10P 5-5 (U)'!Print_Area</vt:lpstr>
      <vt:lpstr>'10P 6-4'!Print_Area</vt:lpstr>
      <vt:lpstr>'10P 6-4 (U)'!Print_Area</vt:lpstr>
      <vt:lpstr>'10P 7-3'!Print_Area</vt:lpstr>
      <vt:lpstr>'10P 7-3 (U)'!Print_Area</vt:lpstr>
      <vt:lpstr>'10P 8-2'!Print_Area</vt:lpstr>
      <vt:lpstr>'10P 8-2 (U)'!Print_Area</vt:lpstr>
      <vt:lpstr>'10P 9-1'!Print_Area</vt:lpstr>
      <vt:lpstr>'10P 9-1 (U)'!Print_Area</vt:lpstr>
      <vt:lpstr>'2P 2-0'!Print_Area</vt:lpstr>
      <vt:lpstr>'2P 2-0 (U)'!Print_Area</vt:lpstr>
      <vt:lpstr>'3P 2-1'!Print_Area</vt:lpstr>
      <vt:lpstr>'3P 2-1 (U)'!Print_Area</vt:lpstr>
      <vt:lpstr>'3P 3-0 (U)'!Print_Area</vt:lpstr>
      <vt:lpstr>'4P 2-2'!Print_Area</vt:lpstr>
      <vt:lpstr>'4P 2-2 (U)'!Print_Area</vt:lpstr>
      <vt:lpstr>'4P 3-1'!Print_Area</vt:lpstr>
      <vt:lpstr>'4P 3-1 (U)'!Print_Area</vt:lpstr>
      <vt:lpstr>'4P 4-0'!Print_Area</vt:lpstr>
      <vt:lpstr>'4P 4-0 (U)'!Print_Area</vt:lpstr>
      <vt:lpstr>'5P 3-2'!Print_Area</vt:lpstr>
      <vt:lpstr>'5P 3-2 (U)'!Print_Area</vt:lpstr>
      <vt:lpstr>'5P 4-1'!Print_Area</vt:lpstr>
      <vt:lpstr>'5P 4-1 (U)'!Print_Area</vt:lpstr>
      <vt:lpstr>'5P 5-0'!Print_Area</vt:lpstr>
      <vt:lpstr>'5P 5-0 (U)'!Print_Area</vt:lpstr>
      <vt:lpstr>'6P 3-3'!Print_Area</vt:lpstr>
      <vt:lpstr>'6P 3-3 (U)'!Print_Area</vt:lpstr>
      <vt:lpstr>'6P 4-2'!Print_Area</vt:lpstr>
      <vt:lpstr>'6P 4-2 (U)'!Print_Area</vt:lpstr>
      <vt:lpstr>'6P 5-1'!Print_Area</vt:lpstr>
      <vt:lpstr>'6P 5-1 (U)'!Print_Area</vt:lpstr>
      <vt:lpstr>'6P 6-0'!Print_Area</vt:lpstr>
      <vt:lpstr>'6P 6-0 (U)'!Print_Area</vt:lpstr>
      <vt:lpstr>'7P 4-3'!Print_Area</vt:lpstr>
      <vt:lpstr>'7P 4-3 (U)'!Print_Area</vt:lpstr>
      <vt:lpstr>'7P 5-2'!Print_Area</vt:lpstr>
      <vt:lpstr>'7P 5-2  (U)'!Print_Area</vt:lpstr>
      <vt:lpstr>'7P 6-1'!Print_Area</vt:lpstr>
      <vt:lpstr>'7P 6-1 (U)'!Print_Area</vt:lpstr>
      <vt:lpstr>'7P 7-0'!Print_Area</vt:lpstr>
      <vt:lpstr>'7P 7-0 (U)'!Print_Area</vt:lpstr>
      <vt:lpstr>'8P 4-4'!Print_Area</vt:lpstr>
      <vt:lpstr>'8P 4-4 (U)'!Print_Area</vt:lpstr>
      <vt:lpstr>'8P 5-3'!Print_Area</vt:lpstr>
      <vt:lpstr>'8P 5-3 (U)'!Print_Area</vt:lpstr>
      <vt:lpstr>'8P 6-2'!Print_Area</vt:lpstr>
      <vt:lpstr>'8P 6-2 (U)'!Print_Area</vt:lpstr>
      <vt:lpstr>'8P 7-1'!Print_Area</vt:lpstr>
      <vt:lpstr>'8P 7-1 (U)'!Print_Area</vt:lpstr>
      <vt:lpstr>'8P 8-0'!Print_Area</vt:lpstr>
      <vt:lpstr>'8P 8-0 (U)'!Print_Area</vt:lpstr>
      <vt:lpstr>'9P 5-4'!Print_Area</vt:lpstr>
      <vt:lpstr>'9P 5-4 (U)'!Print_Area</vt:lpstr>
      <vt:lpstr>'9P 6-3'!Print_Area</vt:lpstr>
      <vt:lpstr>'9P 6-3 (U)'!Print_Area</vt:lpstr>
      <vt:lpstr>'9P 7-2'!Print_Area</vt:lpstr>
      <vt:lpstr>'9P 7-2 (U)'!Print_Area</vt:lpstr>
      <vt:lpstr>'9P 8-1'!Print_Area</vt:lpstr>
      <vt:lpstr>'9P 8-1 (U)'!Print_Area</vt:lpstr>
      <vt:lpstr>'9P 9-0'!Print_Area</vt:lpstr>
      <vt:lpstr>'9P 9-0 (U)'!Print_Area</vt:lpstr>
      <vt:lpstr>'CORNER คี่+คี่'!Print_Area</vt:lpstr>
      <vt:lpstr>'CORNER คี่+คี่  (U)'!Print_Area</vt:lpstr>
      <vt:lpstr>'CORNER คี่+คู่'!Print_Area</vt:lpstr>
      <vt:lpstr>'CORNER คี่+คู่ (U)'!Print_Area</vt:lpstr>
      <vt:lpstr>'CORNER คู่+คู่'!Print_Area</vt:lpstr>
      <vt:lpstr>'CORNER คู่+คู่ (U)'!Print_Area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สายใจ ไกเล็ก</dc:creator>
  <cp:lastModifiedBy>ASUS</cp:lastModifiedBy>
  <cp:lastPrinted>2024-02-19T04:04:02Z</cp:lastPrinted>
  <dcterms:created xsi:type="dcterms:W3CDTF">2017-09-08T09:03:00Z</dcterms:created>
  <dcterms:modified xsi:type="dcterms:W3CDTF">2024-03-04T03:01:21Z</dcterms:modified>
</cp:coreProperties>
</file>