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Default Extension="tiff" ContentType="image/tiff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drawings/drawing9.xml" ContentType="application/vnd.openxmlformats-officedocument.drawing+xml"/>
  <Override PartName="/xl/comments7.xml" ContentType="application/vnd.openxmlformats-officedocument.spreadsheetml.comments+xml"/>
  <Override PartName="/xl/drawings/drawing10.xml" ContentType="application/vnd.openxmlformats-officedocument.drawing+xml"/>
  <Override PartName="/xl/comments8.xml" ContentType="application/vnd.openxmlformats-officedocument.spreadsheetml.comments+xml"/>
  <Override PartName="/xl/drawings/drawing11.xml" ContentType="application/vnd.openxmlformats-officedocument.drawing+xml"/>
  <Override PartName="/xl/comments9.xml" ContentType="application/vnd.openxmlformats-officedocument.spreadsheetml.comments+xml"/>
  <Override PartName="/xl/drawings/drawing12.xml" ContentType="application/vnd.openxmlformats-officedocument.drawing+xml"/>
  <Override PartName="/xl/comments10.xml" ContentType="application/vnd.openxmlformats-officedocument.spreadsheetml.comments+xml"/>
  <Override PartName="/xl/drawings/drawing13.xml" ContentType="application/vnd.openxmlformats-officedocument.drawing+xml"/>
  <Override PartName="/xl/comments11.xml" ContentType="application/vnd.openxmlformats-officedocument.spreadsheetml.comments+xml"/>
  <Override PartName="/xl/drawings/drawing14.xml" ContentType="application/vnd.openxmlformats-officedocument.drawing+xml"/>
  <Override PartName="/xl/comments12.xml" ContentType="application/vnd.openxmlformats-officedocument.spreadsheetml.comments+xml"/>
  <Override PartName="/xl/drawings/drawing15.xml" ContentType="application/vnd.openxmlformats-officedocument.drawing+xml"/>
  <Override PartName="/xl/comments13.xml" ContentType="application/vnd.openxmlformats-officedocument.spreadsheetml.comments+xml"/>
  <Override PartName="/xl/drawings/drawing16.xml" ContentType="application/vnd.openxmlformats-officedocument.drawing+xml"/>
  <Override PartName="/xl/comments14.xml" ContentType="application/vnd.openxmlformats-officedocument.spreadsheetml.comments+xml"/>
  <Override PartName="/xl/drawings/drawing17.xml" ContentType="application/vnd.openxmlformats-officedocument.drawing+xml"/>
  <Override PartName="/xl/comments15.xml" ContentType="application/vnd.openxmlformats-officedocument.spreadsheetml.comments+xml"/>
  <Override PartName="/xl/drawings/drawing18.xml" ContentType="application/vnd.openxmlformats-officedocument.drawing+xml"/>
  <Override PartName="/xl/comments16.xml" ContentType="application/vnd.openxmlformats-officedocument.spreadsheetml.comments+xml"/>
  <Override PartName="/xl/drawings/drawing19.xml" ContentType="application/vnd.openxmlformats-officedocument.drawing+xml"/>
  <Override PartName="/xl/comments17.xml" ContentType="application/vnd.openxmlformats-officedocument.spreadsheetml.comments+xml"/>
  <Override PartName="/xl/drawings/drawing20.xml" ContentType="application/vnd.openxmlformats-officedocument.drawing+xml"/>
  <Override PartName="/xl/comments18.xml" ContentType="application/vnd.openxmlformats-officedocument.spreadsheetml.comments+xml"/>
  <Override PartName="/xl/drawings/drawing21.xml" ContentType="application/vnd.openxmlformats-officedocument.drawing+xml"/>
  <Override PartName="/xl/comments19.xml" ContentType="application/vnd.openxmlformats-officedocument.spreadsheetml.comments+xml"/>
  <Override PartName="/xl/drawings/drawing22.xml" ContentType="application/vnd.openxmlformats-officedocument.drawing+xml"/>
  <Override PartName="/xl/comments20.xml" ContentType="application/vnd.openxmlformats-officedocument.spreadsheetml.comments+xml"/>
  <Override PartName="/xl/drawings/drawing23.xml" ContentType="application/vnd.openxmlformats-officedocument.drawing+xml"/>
  <Override PartName="/xl/comments21.xml" ContentType="application/vnd.openxmlformats-officedocument.spreadsheetml.comments+xml"/>
  <Override PartName="/xl/drawings/drawing24.xml" ContentType="application/vnd.openxmlformats-officedocument.drawing+xml"/>
  <Override PartName="/xl/comments22.xml" ContentType="application/vnd.openxmlformats-officedocument.spreadsheetml.comments+xml"/>
  <Override PartName="/xl/drawings/drawing25.xml" ContentType="application/vnd.openxmlformats-officedocument.drawing+xml"/>
  <Override PartName="/xl/comments23.xml" ContentType="application/vnd.openxmlformats-officedocument.spreadsheetml.comments+xml"/>
  <Override PartName="/xl/drawings/drawing26.xml" ContentType="application/vnd.openxmlformats-officedocument.drawing+xml"/>
  <Override PartName="/xl/comments24.xml" ContentType="application/vnd.openxmlformats-officedocument.spreadsheetml.comments+xml"/>
  <Override PartName="/xl/drawings/drawing27.xml" ContentType="application/vnd.openxmlformats-officedocument.drawing+xml"/>
  <Override PartName="/xl/comments25.xml" ContentType="application/vnd.openxmlformats-officedocument.spreadsheetml.comments+xml"/>
  <Override PartName="/xl/drawings/drawing28.xml" ContentType="application/vnd.openxmlformats-officedocument.drawing+xml"/>
  <Override PartName="/xl/comments26.xml" ContentType="application/vnd.openxmlformats-officedocument.spreadsheetml.comments+xml"/>
  <Override PartName="/xl/drawings/drawing29.xml" ContentType="application/vnd.openxmlformats-officedocument.drawing+xml"/>
  <Override PartName="/xl/comments27.xml" ContentType="application/vnd.openxmlformats-officedocument.spreadsheetml.comments+xml"/>
  <Override PartName="/xl/drawings/drawing30.xml" ContentType="application/vnd.openxmlformats-officedocument.drawing+xml"/>
  <Override PartName="/xl/comments28.xml" ContentType="application/vnd.openxmlformats-officedocument.spreadsheetml.comments+xml"/>
  <Override PartName="/xl/drawings/drawing31.xml" ContentType="application/vnd.openxmlformats-officedocument.drawing+xml"/>
  <Override PartName="/xl/comments29.xml" ContentType="application/vnd.openxmlformats-officedocument.spreadsheetml.comments+xml"/>
  <Override PartName="/xl/drawings/drawing32.xml" ContentType="application/vnd.openxmlformats-officedocument.drawing+xml"/>
  <Override PartName="/xl/comments30.xml" ContentType="application/vnd.openxmlformats-officedocument.spreadsheetml.comments+xml"/>
  <Override PartName="/xl/drawings/drawing33.xml" ContentType="application/vnd.openxmlformats-officedocument.drawing+xml"/>
  <Override PartName="/xl/comments31.xml" ContentType="application/vnd.openxmlformats-officedocument.spreadsheetml.comments+xml"/>
  <Override PartName="/xl/drawings/drawing34.xml" ContentType="application/vnd.openxmlformats-officedocument.drawing+xml"/>
  <Override PartName="/xl/comments32.xml" ContentType="application/vnd.openxmlformats-officedocument.spreadsheetml.comments+xml"/>
  <Override PartName="/xl/drawings/drawing35.xml" ContentType="application/vnd.openxmlformats-officedocument.drawing+xml"/>
  <Override PartName="/xl/comments33.xml" ContentType="application/vnd.openxmlformats-officedocument.spreadsheetml.comments+xml"/>
  <Override PartName="/xl/drawings/drawing36.xml" ContentType="application/vnd.openxmlformats-officedocument.drawing+xml"/>
  <Override PartName="/xl/comments34.xml" ContentType="application/vnd.openxmlformats-officedocument.spreadsheetml.comments+xml"/>
  <Override PartName="/xl/drawings/drawing37.xml" ContentType="application/vnd.openxmlformats-officedocument.drawing+xml"/>
  <Override PartName="/xl/comments35.xml" ContentType="application/vnd.openxmlformats-officedocument.spreadsheetml.comments+xml"/>
  <Override PartName="/xl/drawings/drawing38.xml" ContentType="application/vnd.openxmlformats-officedocument.drawing+xml"/>
  <Override PartName="/xl/comments36.xml" ContentType="application/vnd.openxmlformats-officedocument.spreadsheetml.comments+xml"/>
  <Override PartName="/xl/drawings/drawing39.xml" ContentType="application/vnd.openxmlformats-officedocument.drawing+xml"/>
  <Override PartName="/xl/comments37.xml" ContentType="application/vnd.openxmlformats-officedocument.spreadsheetml.comments+xml"/>
  <Override PartName="/xl/drawings/drawing40.xml" ContentType="application/vnd.openxmlformats-officedocument.drawing+xml"/>
  <Override PartName="/xl/comments38.xml" ContentType="application/vnd.openxmlformats-officedocument.spreadsheetml.comments+xml"/>
  <Override PartName="/xl/drawings/drawing41.xml" ContentType="application/vnd.openxmlformats-officedocument.drawing+xml"/>
  <Override PartName="/xl/comments39.xml" ContentType="application/vnd.openxmlformats-officedocument.spreadsheetml.comments+xml"/>
  <Override PartName="/xl/drawings/drawing42.xml" ContentType="application/vnd.openxmlformats-officedocument.drawing+xml"/>
  <Override PartName="/xl/comments40.xml" ContentType="application/vnd.openxmlformats-officedocument.spreadsheetml.comments+xml"/>
  <Override PartName="/xl/drawings/drawing43.xml" ContentType="application/vnd.openxmlformats-officedocument.drawing+xml"/>
  <Override PartName="/xl/comments41.xml" ContentType="application/vnd.openxmlformats-officedocument.spreadsheetml.comments+xml"/>
  <Override PartName="/xl/drawings/drawing44.xml" ContentType="application/vnd.openxmlformats-officedocument.drawing+xml"/>
  <Override PartName="/xl/comments42.xml" ContentType="application/vnd.openxmlformats-officedocument.spreadsheetml.comments+xml"/>
  <Override PartName="/xl/drawings/drawing45.xml" ContentType="application/vnd.openxmlformats-officedocument.drawing+xml"/>
  <Override PartName="/xl/comments43.xml" ContentType="application/vnd.openxmlformats-officedocument.spreadsheetml.comments+xml"/>
  <Override PartName="/xl/drawings/drawing46.xml" ContentType="application/vnd.openxmlformats-officedocument.drawing+xml"/>
  <Override PartName="/xl/comments44.xml" ContentType="application/vnd.openxmlformats-officedocument.spreadsheetml.comments+xml"/>
  <Override PartName="/xl/drawings/drawing47.xml" ContentType="application/vnd.openxmlformats-officedocument.drawing+xml"/>
  <Override PartName="/xl/comments45.xml" ContentType="application/vnd.openxmlformats-officedocument.spreadsheetml.comments+xml"/>
  <Override PartName="/xl/drawings/drawing48.xml" ContentType="application/vnd.openxmlformats-officedocument.drawing+xml"/>
  <Override PartName="/xl/comments46.xml" ContentType="application/vnd.openxmlformats-officedocument.spreadsheetml.comments+xml"/>
  <Override PartName="/xl/drawings/drawing49.xml" ContentType="application/vnd.openxmlformats-officedocument.drawing+xml"/>
  <Override PartName="/xl/comments4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05_Quick start fabricators guide\"/>
    </mc:Choice>
  </mc:AlternateContent>
  <bookViews>
    <workbookView xWindow="0" yWindow="0" windowWidth="28800" windowHeight="12432" tabRatio="930" activeTab="7"/>
  </bookViews>
  <sheets>
    <sheet name="BI-FOLD" sheetId="23" r:id="rId1"/>
    <sheet name="อ้างอิง" sheetId="55" r:id="rId2"/>
    <sheet name="240_2Panel(L)" sheetId="1" r:id="rId3"/>
    <sheet name="240_2Panel(R)" sheetId="5" r:id="rId4"/>
    <sheet name="240_3Panel(2L1R)" sheetId="56" r:id="rId5"/>
    <sheet name="240_3Panel(1L2R)" sheetId="57" r:id="rId6"/>
    <sheet name="240_3Panel(L)" sheetId="6" r:id="rId7"/>
    <sheet name="240_3Panel(R)" sheetId="7" r:id="rId8"/>
    <sheet name="240_4Panel(1L3R)" sheetId="8" r:id="rId9"/>
    <sheet name="240_4Panel(2L2R)" sheetId="9" r:id="rId10"/>
    <sheet name="240_4Panel(2L2R) (แบ่งบาน)" sheetId="51" r:id="rId11"/>
    <sheet name="240_4Panel(3L1R)" sheetId="10" r:id="rId12"/>
    <sheet name="240_4Panel(4L)" sheetId="11" r:id="rId13"/>
    <sheet name="240_4Panel(4R)" sheetId="12" r:id="rId14"/>
    <sheet name="240_5Panel(1L4R)" sheetId="13" r:id="rId15"/>
    <sheet name="240_5Panel(2L3R)" sheetId="14" r:id="rId16"/>
    <sheet name="240_5Panel(3L2R)" sheetId="15" r:id="rId17"/>
    <sheet name="240_5Panel(4L1R)" sheetId="17" r:id="rId18"/>
    <sheet name="240_5Panel(5L)" sheetId="18" r:id="rId19"/>
    <sheet name="240_5Panel(5R)" sheetId="19" r:id="rId20"/>
    <sheet name="240_6Panel(1L5R)" sheetId="21" r:id="rId21"/>
    <sheet name="240_6Panel(3L3R)" sheetId="22" r:id="rId22"/>
    <sheet name="240_6Panel(3L3R) (แบ่งบาน)" sheetId="52" r:id="rId23"/>
    <sheet name="240_6Panel(5L1R)" sheetId="24" r:id="rId24"/>
    <sheet name="240_6Panel(6L)" sheetId="25" r:id="rId25"/>
    <sheet name="240_6Panel(6R)" sheetId="26" r:id="rId26"/>
    <sheet name="240_7Panel(1L6R)" sheetId="28" r:id="rId27"/>
    <sheet name="240_7Panel(2L5R)" sheetId="29" r:id="rId28"/>
    <sheet name="240_7Panel(3L4R)" sheetId="32" r:id="rId29"/>
    <sheet name="240_7Panel(4L3R)" sheetId="33" r:id="rId30"/>
    <sheet name="240_7Panel(5L2R)" sheetId="34" r:id="rId31"/>
    <sheet name="240_7Panel(6L1R)" sheetId="35" r:id="rId32"/>
    <sheet name="240_7Panel(7L)" sheetId="59" r:id="rId33"/>
    <sheet name="240_7Panel(7R)" sheetId="58" r:id="rId34"/>
    <sheet name="240_8Panel(8R)" sheetId="54" r:id="rId35"/>
    <sheet name="240_8Panel(3L5R)" sheetId="37" r:id="rId36"/>
    <sheet name="240_8Panel(4L4R)" sheetId="50" r:id="rId37"/>
    <sheet name="240_8Panel(5L3R)" sheetId="38" r:id="rId38"/>
    <sheet name="240_9Panel(3L6R)" sheetId="39" r:id="rId39"/>
    <sheet name="240_9Panel(4L5R)" sheetId="40" r:id="rId40"/>
    <sheet name="240_9Panel(5L4R)" sheetId="41" r:id="rId41"/>
    <sheet name="240_9Panel(6L3R)" sheetId="42" r:id="rId42"/>
    <sheet name="240_10Panel(5L5R)" sheetId="43" r:id="rId43"/>
    <sheet name="240_11Panel(5L6R)" sheetId="44" r:id="rId44"/>
    <sheet name="240_11Panel(6L5R)" sheetId="45" r:id="rId45"/>
    <sheet name="240_12Panel(5L7R)" sheetId="46" r:id="rId46"/>
    <sheet name="240_12Panel(6L6R)" sheetId="53" r:id="rId47"/>
    <sheet name="240_14Panel(7L7R)" sheetId="48" r:id="rId48"/>
    <sheet name="240_15Panel(7L8R)" sheetId="49" r:id="rId49"/>
  </sheets>
  <definedNames>
    <definedName name="_xlnm.Print_Area" localSheetId="42">'240_10Panel(5L5R)'!$A$1:$J$526</definedName>
    <definedName name="_xlnm.Print_Area" localSheetId="43">'240_11Panel(5L6R)'!$A$1:$J$525</definedName>
    <definedName name="_xlnm.Print_Area" localSheetId="44">'240_11Panel(6L5R)'!$A$1:$J$526</definedName>
    <definedName name="_xlnm.Print_Area" localSheetId="45">'240_12Panel(5L7R)'!$A$1:$J$526</definedName>
    <definedName name="_xlnm.Print_Area" localSheetId="46">'240_12Panel(6L6R)'!$A$1:$J$526</definedName>
    <definedName name="_xlnm.Print_Area" localSheetId="47">'240_14Panel(7L7R)'!$A$1:$J$526</definedName>
    <definedName name="_xlnm.Print_Area" localSheetId="48">'240_15Panel(7L8R)'!$A$1:$J$525</definedName>
    <definedName name="_xlnm.Print_Area" localSheetId="2">'240_2Panel(L)'!$A$1:$J$524</definedName>
    <definedName name="_xlnm.Print_Area" localSheetId="3">'240_2Panel(R)'!$A$1:$J$524</definedName>
    <definedName name="_xlnm.Print_Area" localSheetId="5">'240_3Panel(1L2R)'!$A$1:$J$527</definedName>
    <definedName name="_xlnm.Print_Area" localSheetId="4">'240_3Panel(2L1R)'!$A$1:$J$527</definedName>
    <definedName name="_xlnm.Print_Area" localSheetId="6">'240_3Panel(L)'!$A$1:$J$526</definedName>
    <definedName name="_xlnm.Print_Area" localSheetId="7">'240_3Panel(R)'!$A$1:$J$526</definedName>
    <definedName name="_xlnm.Print_Area" localSheetId="8">'240_4Panel(1L3R)'!$A$1:$J$527</definedName>
    <definedName name="_xlnm.Print_Area" localSheetId="9">'240_4Panel(2L2R)'!$A$1:$J$526</definedName>
    <definedName name="_xlnm.Print_Area" localSheetId="10">'240_4Panel(2L2R) (แบ่งบาน)'!$A$1:$J$527</definedName>
    <definedName name="_xlnm.Print_Area" localSheetId="11">'240_4Panel(3L1R)'!$A$1:$J$526</definedName>
    <definedName name="_xlnm.Print_Area" localSheetId="12">'240_4Panel(4L)'!$A$1:$J$526</definedName>
    <definedName name="_xlnm.Print_Area" localSheetId="13">'240_4Panel(4R)'!$A$1:$J$525</definedName>
    <definedName name="_xlnm.Print_Area" localSheetId="14">'240_5Panel(1L4R)'!$A$1:$J$527</definedName>
    <definedName name="_xlnm.Print_Area" localSheetId="15">'240_5Panel(2L3R)'!$A$1:$J$527</definedName>
    <definedName name="_xlnm.Print_Area" localSheetId="16">'240_5Panel(3L2R)'!$A$1:$J$527</definedName>
    <definedName name="_xlnm.Print_Area" localSheetId="17">'240_5Panel(4L1R)'!$A$1:$J$527</definedName>
    <definedName name="_xlnm.Print_Area" localSheetId="18">'240_5Panel(5L)'!$A$1:$J$526</definedName>
    <definedName name="_xlnm.Print_Area" localSheetId="19">'240_5Panel(5R)'!$A$1:$J$525</definedName>
    <definedName name="_xlnm.Print_Area" localSheetId="20">'240_6Panel(1L5R)'!$A$1:$J$527</definedName>
    <definedName name="_xlnm.Print_Area" localSheetId="21">'240_6Panel(3L3R)'!$A$1:$J$526</definedName>
    <definedName name="_xlnm.Print_Area" localSheetId="22">'240_6Panel(3L3R) (แบ่งบาน)'!$A$1:$J$526</definedName>
    <definedName name="_xlnm.Print_Area" localSheetId="23">'240_6Panel(5L1R)'!$A$1:$J$527</definedName>
    <definedName name="_xlnm.Print_Area" localSheetId="24">'240_6Panel(6L)'!$A$1:$J$526</definedName>
    <definedName name="_xlnm.Print_Area" localSheetId="25">'240_6Panel(6R)'!$A$1:$J$526</definedName>
    <definedName name="_xlnm.Print_Area" localSheetId="26">'240_7Panel(1L6R)'!$A$1:$J$526</definedName>
    <definedName name="_xlnm.Print_Area" localSheetId="27">'240_7Panel(2L5R)'!$A$1:$J$526</definedName>
    <definedName name="_xlnm.Print_Area" localSheetId="28">'240_7Panel(3L4R)'!$A$1:$J$526</definedName>
    <definedName name="_xlnm.Print_Area" localSheetId="29">'240_7Panel(4L3R)'!$A$1:$J$526</definedName>
    <definedName name="_xlnm.Print_Area" localSheetId="30">'240_7Panel(5L2R)'!$A$1:$J$527</definedName>
    <definedName name="_xlnm.Print_Area" localSheetId="31">'240_7Panel(6L1R)'!$A$1:$J$526</definedName>
    <definedName name="_xlnm.Print_Area" localSheetId="32">'240_7Panel(7L)'!$A$1:$J$526</definedName>
    <definedName name="_xlnm.Print_Area" localSheetId="33">'240_7Panel(7R)'!$A$1:$J$526</definedName>
    <definedName name="_xlnm.Print_Area" localSheetId="35">'240_8Panel(3L5R)'!$A$1:$J$527</definedName>
    <definedName name="_xlnm.Print_Area" localSheetId="36">'240_8Panel(4L4R)'!$A$1:$J$526</definedName>
    <definedName name="_xlnm.Print_Area" localSheetId="37">'240_8Panel(5L3R)'!$A$1:$J$526</definedName>
    <definedName name="_xlnm.Print_Area" localSheetId="34">'240_8Panel(8R)'!$A$1:$J$525</definedName>
    <definedName name="_xlnm.Print_Area" localSheetId="38">'240_9Panel(3L6R)'!$A$1:$J$526</definedName>
    <definedName name="_xlnm.Print_Area" localSheetId="39">'240_9Panel(4L5R)'!$A$1:$J$527</definedName>
    <definedName name="_xlnm.Print_Area" localSheetId="40">'240_9Panel(5L4R)'!$A$1:$J$525</definedName>
    <definedName name="_xlnm.Print_Area" localSheetId="41">'240_9Panel(6L3R)'!$A$1:$J$526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2" i="45" l="1"/>
  <c r="I182" i="11" l="1"/>
  <c r="I183" i="11"/>
  <c r="I184" i="11"/>
  <c r="I181" i="11"/>
  <c r="I180" i="11"/>
  <c r="I179" i="11"/>
  <c r="I178" i="11"/>
  <c r="I175" i="11"/>
  <c r="I174" i="11"/>
  <c r="I173" i="11"/>
  <c r="I172" i="11"/>
  <c r="I185" i="9"/>
  <c r="I184" i="9"/>
  <c r="I182" i="9"/>
  <c r="I183" i="9"/>
  <c r="I181" i="9"/>
  <c r="I180" i="9"/>
  <c r="I179" i="9"/>
  <c r="I176" i="9"/>
  <c r="I175" i="9"/>
  <c r="I174" i="9"/>
  <c r="I173" i="9"/>
  <c r="M528" i="59" l="1"/>
  <c r="M527" i="59"/>
  <c r="M526" i="59"/>
  <c r="J526" i="59"/>
  <c r="M525" i="59"/>
  <c r="M524" i="59"/>
  <c r="A524" i="59"/>
  <c r="M523" i="59"/>
  <c r="A523" i="59"/>
  <c r="M522" i="59"/>
  <c r="M521" i="59"/>
  <c r="M520" i="59"/>
  <c r="J520" i="59"/>
  <c r="I520" i="59"/>
  <c r="D520" i="59"/>
  <c r="C520" i="59"/>
  <c r="A520" i="59" s="1"/>
  <c r="B520" i="59"/>
  <c r="A440" i="59"/>
  <c r="A439" i="59"/>
  <c r="J425" i="59"/>
  <c r="J424" i="59"/>
  <c r="J423" i="59"/>
  <c r="J421" i="59"/>
  <c r="A333" i="59"/>
  <c r="A332" i="59"/>
  <c r="J318" i="59"/>
  <c r="J317" i="59"/>
  <c r="J316" i="59"/>
  <c r="J314" i="59"/>
  <c r="J211" i="59"/>
  <c r="J210" i="59"/>
  <c r="J209" i="59"/>
  <c r="J207" i="59"/>
  <c r="J205" i="59"/>
  <c r="A205" i="59"/>
  <c r="J204" i="59"/>
  <c r="A204" i="59"/>
  <c r="J203" i="59"/>
  <c r="A203" i="59"/>
  <c r="J202" i="59"/>
  <c r="A202" i="59"/>
  <c r="J201" i="59"/>
  <c r="A201" i="59"/>
  <c r="J200" i="59"/>
  <c r="A200" i="59"/>
  <c r="J199" i="59"/>
  <c r="A199" i="59"/>
  <c r="J198" i="59"/>
  <c r="A198" i="59"/>
  <c r="J197" i="59"/>
  <c r="A197" i="59"/>
  <c r="J196" i="59"/>
  <c r="A196" i="59"/>
  <c r="J195" i="59"/>
  <c r="A195" i="59"/>
  <c r="A194" i="59"/>
  <c r="I193" i="59"/>
  <c r="G193" i="59"/>
  <c r="F193" i="59"/>
  <c r="E193" i="59"/>
  <c r="D193" i="59"/>
  <c r="C193" i="59"/>
  <c r="B193" i="59"/>
  <c r="I192" i="59"/>
  <c r="G192" i="59"/>
  <c r="F192" i="59"/>
  <c r="E192" i="59"/>
  <c r="D192" i="59"/>
  <c r="C192" i="59"/>
  <c r="B192" i="59"/>
  <c r="I191" i="59"/>
  <c r="G191" i="59"/>
  <c r="F191" i="59"/>
  <c r="E191" i="59"/>
  <c r="D191" i="59"/>
  <c r="C191" i="59"/>
  <c r="B191" i="59"/>
  <c r="I190" i="59"/>
  <c r="G190" i="59"/>
  <c r="F190" i="59"/>
  <c r="E190" i="59"/>
  <c r="D190" i="59"/>
  <c r="C190" i="59"/>
  <c r="B190" i="59"/>
  <c r="J187" i="59"/>
  <c r="J186" i="59"/>
  <c r="J185" i="59"/>
  <c r="J184" i="59"/>
  <c r="J183" i="59"/>
  <c r="J182" i="59"/>
  <c r="J181" i="59"/>
  <c r="J180" i="59"/>
  <c r="J179" i="59"/>
  <c r="J178" i="59"/>
  <c r="W177" i="59"/>
  <c r="J177" i="59"/>
  <c r="W176" i="59"/>
  <c r="J176" i="59"/>
  <c r="W175" i="59"/>
  <c r="J175" i="59"/>
  <c r="W174" i="59"/>
  <c r="J174" i="59"/>
  <c r="A174" i="59"/>
  <c r="A175" i="59" s="1"/>
  <c r="A176" i="59" s="1"/>
  <c r="A177" i="59" s="1"/>
  <c r="A178" i="59" s="1"/>
  <c r="A179" i="59" s="1"/>
  <c r="A180" i="59" s="1"/>
  <c r="A181" i="59" s="1"/>
  <c r="A182" i="59" s="1"/>
  <c r="A183" i="59" s="1"/>
  <c r="A184" i="59" s="1"/>
  <c r="A185" i="59" s="1"/>
  <c r="A186" i="59" s="1"/>
  <c r="A187" i="59" s="1"/>
  <c r="A188" i="59" s="1"/>
  <c r="A189" i="59" s="1"/>
  <c r="A190" i="59" s="1"/>
  <c r="A191" i="59" s="1"/>
  <c r="C171" i="59"/>
  <c r="B171" i="59"/>
  <c r="C170" i="59"/>
  <c r="B170" i="59"/>
  <c r="C167" i="59"/>
  <c r="E167" i="59" s="1"/>
  <c r="B167" i="59"/>
  <c r="C166" i="59"/>
  <c r="B166" i="59"/>
  <c r="C165" i="59"/>
  <c r="G165" i="59" s="1"/>
  <c r="B165" i="59"/>
  <c r="C164" i="59"/>
  <c r="G164" i="59" s="1"/>
  <c r="B164" i="59"/>
  <c r="C163" i="59"/>
  <c r="G163" i="59" s="1"/>
  <c r="B163" i="59"/>
  <c r="C162" i="59"/>
  <c r="E162" i="59" s="1"/>
  <c r="B162" i="59"/>
  <c r="C161" i="59"/>
  <c r="D161" i="59" s="1"/>
  <c r="B161" i="59"/>
  <c r="C160" i="59"/>
  <c r="B160" i="59"/>
  <c r="C159" i="59"/>
  <c r="B159" i="59"/>
  <c r="C158" i="59"/>
  <c r="G158" i="59" s="1"/>
  <c r="B158" i="59"/>
  <c r="C157" i="59"/>
  <c r="G157" i="59" s="1"/>
  <c r="B157" i="59"/>
  <c r="C156" i="59"/>
  <c r="B156" i="59"/>
  <c r="C155" i="59"/>
  <c r="G155" i="59" s="1"/>
  <c r="B155" i="59"/>
  <c r="A155" i="59"/>
  <c r="A156" i="59" s="1"/>
  <c r="J153" i="59"/>
  <c r="A153" i="59"/>
  <c r="J152" i="59"/>
  <c r="A152" i="59"/>
  <c r="A151" i="59"/>
  <c r="A150" i="59"/>
  <c r="H188" i="59"/>
  <c r="J188" i="59" s="1"/>
  <c r="H147" i="59"/>
  <c r="G147" i="59"/>
  <c r="J147" i="59" s="1"/>
  <c r="C305" i="59" s="1"/>
  <c r="F147" i="59"/>
  <c r="E147" i="59"/>
  <c r="D147" i="59"/>
  <c r="C147" i="59"/>
  <c r="C169" i="59" s="1"/>
  <c r="B147" i="59"/>
  <c r="B169" i="59" s="1"/>
  <c r="H146" i="59"/>
  <c r="G146" i="59"/>
  <c r="J146" i="59" s="1"/>
  <c r="C303" i="59" s="1"/>
  <c r="F146" i="59"/>
  <c r="E146" i="59"/>
  <c r="D146" i="59"/>
  <c r="C146" i="59"/>
  <c r="C168" i="59" s="1"/>
  <c r="B146" i="59"/>
  <c r="B168" i="59" s="1"/>
  <c r="J145" i="59"/>
  <c r="I145" i="59"/>
  <c r="F167" i="59" s="1"/>
  <c r="J144" i="59"/>
  <c r="I144" i="59"/>
  <c r="J143" i="59"/>
  <c r="I143" i="59"/>
  <c r="C292" i="59" s="1"/>
  <c r="J142" i="59"/>
  <c r="I142" i="59"/>
  <c r="F164" i="59" s="1"/>
  <c r="J141" i="59"/>
  <c r="C291" i="59" s="1"/>
  <c r="I141" i="59"/>
  <c r="J140" i="59"/>
  <c r="C280" i="59" s="1"/>
  <c r="I140" i="59"/>
  <c r="J139" i="59"/>
  <c r="I139" i="59"/>
  <c r="C279" i="59" s="1"/>
  <c r="W138" i="59"/>
  <c r="V138" i="59"/>
  <c r="J138" i="59"/>
  <c r="I138" i="59"/>
  <c r="W137" i="59"/>
  <c r="V137" i="59"/>
  <c r="J137" i="59"/>
  <c r="I137" i="59"/>
  <c r="C268" i="59" s="1"/>
  <c r="W136" i="59"/>
  <c r="V136" i="59"/>
  <c r="J136" i="59"/>
  <c r="C259" i="59" s="1"/>
  <c r="I136" i="59"/>
  <c r="C258" i="59" s="1"/>
  <c r="W135" i="59"/>
  <c r="V135" i="59"/>
  <c r="J135" i="59"/>
  <c r="C247" i="59" s="1"/>
  <c r="I135" i="59"/>
  <c r="C246" i="59" s="1"/>
  <c r="W134" i="59"/>
  <c r="V134" i="59"/>
  <c r="J134" i="59"/>
  <c r="C237" i="59" s="1"/>
  <c r="I134" i="59"/>
  <c r="C236" i="59" s="1"/>
  <c r="A134" i="59"/>
  <c r="A135" i="59" s="1"/>
  <c r="A136" i="59" s="1"/>
  <c r="A137" i="59" s="1"/>
  <c r="A138" i="59" s="1"/>
  <c r="A139" i="59" s="1"/>
  <c r="A140" i="59" s="1"/>
  <c r="A141" i="59" s="1"/>
  <c r="A142" i="59" s="1"/>
  <c r="A143" i="59" s="1"/>
  <c r="A144" i="59" s="1"/>
  <c r="A145" i="59" s="1"/>
  <c r="W133" i="59"/>
  <c r="V133" i="59"/>
  <c r="I146" i="59" s="1"/>
  <c r="C302" i="59" s="1"/>
  <c r="J133" i="59"/>
  <c r="C224" i="59" s="1"/>
  <c r="I133" i="59"/>
  <c r="C223" i="59" s="1"/>
  <c r="A133" i="59"/>
  <c r="A130" i="59"/>
  <c r="A129" i="59"/>
  <c r="J115" i="59"/>
  <c r="J114" i="59"/>
  <c r="J113" i="59"/>
  <c r="J526" i="58"/>
  <c r="J421" i="58"/>
  <c r="J314" i="58"/>
  <c r="J207" i="58"/>
  <c r="A196" i="58"/>
  <c r="J196" i="58"/>
  <c r="A197" i="58"/>
  <c r="J197" i="58"/>
  <c r="A198" i="58"/>
  <c r="J198" i="58"/>
  <c r="A199" i="58"/>
  <c r="J199" i="58"/>
  <c r="A200" i="58"/>
  <c r="J200" i="58"/>
  <c r="A201" i="58"/>
  <c r="J201" i="58"/>
  <c r="A194" i="58"/>
  <c r="A195" i="58"/>
  <c r="A202" i="58"/>
  <c r="A203" i="58"/>
  <c r="A204" i="58"/>
  <c r="M528" i="58"/>
  <c r="M527" i="58"/>
  <c r="M526" i="58"/>
  <c r="M525" i="58"/>
  <c r="M524" i="58"/>
  <c r="A524" i="58"/>
  <c r="M523" i="58"/>
  <c r="A523" i="58"/>
  <c r="M522" i="58"/>
  <c r="M521" i="58"/>
  <c r="M520" i="58"/>
  <c r="J520" i="58"/>
  <c r="I520" i="58"/>
  <c r="D520" i="58"/>
  <c r="C520" i="58"/>
  <c r="A520" i="58" s="1"/>
  <c r="B520" i="58"/>
  <c r="A440" i="58"/>
  <c r="A439" i="58"/>
  <c r="J425" i="58"/>
  <c r="J424" i="58"/>
  <c r="J423" i="58"/>
  <c r="A333" i="58"/>
  <c r="A332" i="58"/>
  <c r="J318" i="58"/>
  <c r="J317" i="58"/>
  <c r="J316" i="58"/>
  <c r="J211" i="58"/>
  <c r="J210" i="58"/>
  <c r="J209" i="58"/>
  <c r="J205" i="58"/>
  <c r="A205" i="58"/>
  <c r="J204" i="58"/>
  <c r="J203" i="58"/>
  <c r="J202" i="58"/>
  <c r="J195" i="58"/>
  <c r="I193" i="58"/>
  <c r="G193" i="58"/>
  <c r="F193" i="58"/>
  <c r="E193" i="58"/>
  <c r="D193" i="58"/>
  <c r="C193" i="58"/>
  <c r="B193" i="58"/>
  <c r="I192" i="58"/>
  <c r="G192" i="58"/>
  <c r="F192" i="58"/>
  <c r="E192" i="58"/>
  <c r="D192" i="58"/>
  <c r="C192" i="58"/>
  <c r="B192" i="58"/>
  <c r="I191" i="58"/>
  <c r="G191" i="58"/>
  <c r="F191" i="58"/>
  <c r="E191" i="58"/>
  <c r="D191" i="58"/>
  <c r="C191" i="58"/>
  <c r="B191" i="58"/>
  <c r="I190" i="58"/>
  <c r="G190" i="58"/>
  <c r="F190" i="58"/>
  <c r="E190" i="58"/>
  <c r="D190" i="58"/>
  <c r="C190" i="58"/>
  <c r="B190" i="58"/>
  <c r="J187" i="58"/>
  <c r="J186" i="58"/>
  <c r="J185" i="58"/>
  <c r="J184" i="58"/>
  <c r="J183" i="58"/>
  <c r="J182" i="58"/>
  <c r="J181" i="58"/>
  <c r="J180" i="58"/>
  <c r="J179" i="58"/>
  <c r="J178" i="58"/>
  <c r="W177" i="58"/>
  <c r="J177" i="58"/>
  <c r="W176" i="58"/>
  <c r="J176" i="58"/>
  <c r="W175" i="58"/>
  <c r="J175" i="58"/>
  <c r="W174" i="58"/>
  <c r="J174" i="58"/>
  <c r="A174" i="58"/>
  <c r="A175" i="58" s="1"/>
  <c r="A176" i="58" s="1"/>
  <c r="A177" i="58" s="1"/>
  <c r="A178" i="58" s="1"/>
  <c r="A179" i="58" s="1"/>
  <c r="A180" i="58" s="1"/>
  <c r="A181" i="58" s="1"/>
  <c r="A182" i="58" s="1"/>
  <c r="A183" i="58" s="1"/>
  <c r="A184" i="58" s="1"/>
  <c r="A185" i="58" s="1"/>
  <c r="A186" i="58" s="1"/>
  <c r="A187" i="58" s="1"/>
  <c r="A188" i="58" s="1"/>
  <c r="A189" i="58" s="1"/>
  <c r="A190" i="58" s="1"/>
  <c r="A191" i="58" s="1"/>
  <c r="A192" i="58" s="1"/>
  <c r="A193" i="58" s="1"/>
  <c r="C171" i="58"/>
  <c r="B171" i="58"/>
  <c r="C170" i="58"/>
  <c r="B170" i="58"/>
  <c r="C167" i="58"/>
  <c r="B167" i="58"/>
  <c r="C166" i="58"/>
  <c r="G166" i="58" s="1"/>
  <c r="B166" i="58"/>
  <c r="C165" i="58"/>
  <c r="G165" i="58" s="1"/>
  <c r="B165" i="58"/>
  <c r="C164" i="58"/>
  <c r="B164" i="58"/>
  <c r="C163" i="58"/>
  <c r="B163" i="58"/>
  <c r="C162" i="58"/>
  <c r="B162" i="58"/>
  <c r="C161" i="58"/>
  <c r="E161" i="58" s="1"/>
  <c r="B161" i="58"/>
  <c r="C160" i="58"/>
  <c r="B160" i="58"/>
  <c r="C159" i="58"/>
  <c r="E159" i="58" s="1"/>
  <c r="B159" i="58"/>
  <c r="C158" i="58"/>
  <c r="E158" i="58" s="1"/>
  <c r="B158" i="58"/>
  <c r="C157" i="58"/>
  <c r="E157" i="58" s="1"/>
  <c r="B157" i="58"/>
  <c r="D156" i="58"/>
  <c r="C156" i="58"/>
  <c r="E156" i="58" s="1"/>
  <c r="B156" i="58"/>
  <c r="C155" i="58"/>
  <c r="E155" i="58" s="1"/>
  <c r="B155" i="58"/>
  <c r="A155" i="58" s="1"/>
  <c r="J153" i="58"/>
  <c r="A153" i="58"/>
  <c r="J152" i="58"/>
  <c r="A152" i="58"/>
  <c r="A151" i="58"/>
  <c r="A150" i="58"/>
  <c r="H147" i="58"/>
  <c r="G147" i="58"/>
  <c r="J147" i="58" s="1"/>
  <c r="C305" i="58" s="1"/>
  <c r="F147" i="58"/>
  <c r="E147" i="58"/>
  <c r="D147" i="58"/>
  <c r="C147" i="58"/>
  <c r="C169" i="58" s="1"/>
  <c r="B147" i="58"/>
  <c r="B169" i="58" s="1"/>
  <c r="H146" i="58"/>
  <c r="G146" i="58"/>
  <c r="J146" i="58" s="1"/>
  <c r="C303" i="58" s="1"/>
  <c r="F146" i="58"/>
  <c r="E146" i="58"/>
  <c r="D146" i="58"/>
  <c r="C146" i="58"/>
  <c r="C168" i="58" s="1"/>
  <c r="B146" i="58"/>
  <c r="B168" i="58" s="1"/>
  <c r="J145" i="58"/>
  <c r="I145" i="58"/>
  <c r="J144" i="58"/>
  <c r="I144" i="58"/>
  <c r="J143" i="58"/>
  <c r="I143" i="58"/>
  <c r="J142" i="58"/>
  <c r="I142" i="58"/>
  <c r="J141" i="58"/>
  <c r="I141" i="58"/>
  <c r="J140" i="58"/>
  <c r="I140" i="58"/>
  <c r="J139" i="58"/>
  <c r="I139" i="58"/>
  <c r="C279" i="58" s="1"/>
  <c r="W138" i="58"/>
  <c r="V138" i="58"/>
  <c r="J138" i="58"/>
  <c r="I138" i="58"/>
  <c r="W137" i="58"/>
  <c r="V137" i="58"/>
  <c r="J137" i="58"/>
  <c r="I137" i="58"/>
  <c r="C268" i="58" s="1"/>
  <c r="W136" i="58"/>
  <c r="V136" i="58"/>
  <c r="I147" i="58" s="1"/>
  <c r="J136" i="58"/>
  <c r="C259" i="58" s="1"/>
  <c r="I136" i="58"/>
  <c r="C258" i="58" s="1"/>
  <c r="W135" i="58"/>
  <c r="V135" i="58"/>
  <c r="J135" i="58"/>
  <c r="C247" i="58" s="1"/>
  <c r="I135" i="58"/>
  <c r="C246" i="58" s="1"/>
  <c r="W134" i="58"/>
  <c r="V134" i="58"/>
  <c r="J134" i="58"/>
  <c r="C237" i="58" s="1"/>
  <c r="I134" i="58"/>
  <c r="W133" i="58"/>
  <c r="V133" i="58"/>
  <c r="I146" i="58" s="1"/>
  <c r="C302" i="58" s="1"/>
  <c r="J133" i="58"/>
  <c r="C224" i="58" s="1"/>
  <c r="I133" i="58"/>
  <c r="C223" i="58" s="1"/>
  <c r="A133" i="58"/>
  <c r="A134" i="58" s="1"/>
  <c r="A135" i="58" s="1"/>
  <c r="A136" i="58" s="1"/>
  <c r="A137" i="58" s="1"/>
  <c r="A138" i="58" s="1"/>
  <c r="A139" i="58" s="1"/>
  <c r="A140" i="58" s="1"/>
  <c r="A141" i="58" s="1"/>
  <c r="A142" i="58" s="1"/>
  <c r="A143" i="58" s="1"/>
  <c r="A144" i="58" s="1"/>
  <c r="A145" i="58" s="1"/>
  <c r="A130" i="58"/>
  <c r="A129" i="58"/>
  <c r="J115" i="58"/>
  <c r="J114" i="58"/>
  <c r="J113" i="58"/>
  <c r="G166" i="59" l="1"/>
  <c r="G159" i="59"/>
  <c r="G160" i="59"/>
  <c r="A157" i="59"/>
  <c r="A158" i="59" s="1"/>
  <c r="A159" i="59" s="1"/>
  <c r="A160" i="59" s="1"/>
  <c r="A161" i="59" s="1"/>
  <c r="A162" i="59" s="1"/>
  <c r="A163" i="59" s="1"/>
  <c r="A164" i="59" s="1"/>
  <c r="A165" i="59" s="1"/>
  <c r="A166" i="59" s="1"/>
  <c r="A167" i="59" s="1"/>
  <c r="A168" i="59" s="1"/>
  <c r="A169" i="59" s="1"/>
  <c r="A170" i="59" s="1"/>
  <c r="A171" i="59" s="1"/>
  <c r="F165" i="58"/>
  <c r="E163" i="59"/>
  <c r="G156" i="59"/>
  <c r="C269" i="59"/>
  <c r="C293" i="59"/>
  <c r="I147" i="59"/>
  <c r="C304" i="59" s="1"/>
  <c r="A146" i="59"/>
  <c r="A147" i="59" s="1"/>
  <c r="A148" i="59" s="1"/>
  <c r="A149" i="59" s="1"/>
  <c r="A192" i="59"/>
  <c r="A193" i="59" s="1"/>
  <c r="H189" i="59"/>
  <c r="J189" i="59" s="1"/>
  <c r="F163" i="59"/>
  <c r="U188" i="59"/>
  <c r="W188" i="59" s="1"/>
  <c r="U185" i="59"/>
  <c r="H190" i="59" s="1"/>
  <c r="J190" i="59" s="1"/>
  <c r="G170" i="59"/>
  <c r="G171" i="59"/>
  <c r="E171" i="58"/>
  <c r="A146" i="58"/>
  <c r="F170" i="58"/>
  <c r="G169" i="59"/>
  <c r="F169" i="59"/>
  <c r="E169" i="59"/>
  <c r="F168" i="59"/>
  <c r="E168" i="59"/>
  <c r="D168" i="59"/>
  <c r="G168" i="59"/>
  <c r="U187" i="59"/>
  <c r="D155" i="59"/>
  <c r="D156" i="59"/>
  <c r="D157" i="59"/>
  <c r="D158" i="59"/>
  <c r="D159" i="59"/>
  <c r="E160" i="59"/>
  <c r="F161" i="59"/>
  <c r="G162" i="59"/>
  <c r="E166" i="59"/>
  <c r="G167" i="59"/>
  <c r="C290" i="59"/>
  <c r="E161" i="59"/>
  <c r="E155" i="59"/>
  <c r="E156" i="59"/>
  <c r="E157" i="59"/>
  <c r="E158" i="59"/>
  <c r="F160" i="59"/>
  <c r="G161" i="59"/>
  <c r="F166" i="59"/>
  <c r="U176" i="59"/>
  <c r="E159" i="59"/>
  <c r="F155" i="59"/>
  <c r="H155" i="59" s="1"/>
  <c r="F156" i="59"/>
  <c r="H156" i="59" s="1"/>
  <c r="F157" i="59"/>
  <c r="H157" i="59" s="1"/>
  <c r="F158" i="59"/>
  <c r="H158" i="59" s="1"/>
  <c r="F159" i="59"/>
  <c r="E165" i="59"/>
  <c r="D170" i="59"/>
  <c r="E171" i="59"/>
  <c r="U174" i="59"/>
  <c r="F165" i="59"/>
  <c r="E170" i="59"/>
  <c r="F171" i="59"/>
  <c r="U175" i="59"/>
  <c r="U177" i="59"/>
  <c r="U186" i="59"/>
  <c r="W186" i="59" s="1"/>
  <c r="F162" i="59"/>
  <c r="U178" i="59"/>
  <c r="W178" i="59" s="1"/>
  <c r="D163" i="59"/>
  <c r="E164" i="59"/>
  <c r="F170" i="59"/>
  <c r="G156" i="58"/>
  <c r="D159" i="58"/>
  <c r="E166" i="58"/>
  <c r="A156" i="58"/>
  <c r="A157" i="58" s="1"/>
  <c r="A158" i="58" s="1"/>
  <c r="A159" i="58" s="1"/>
  <c r="A160" i="58" s="1"/>
  <c r="A161" i="58" s="1"/>
  <c r="A162" i="58" s="1"/>
  <c r="A163" i="58" s="1"/>
  <c r="A164" i="58" s="1"/>
  <c r="A165" i="58" s="1"/>
  <c r="A166" i="58" s="1"/>
  <c r="A167" i="58" s="1"/>
  <c r="A168" i="58" s="1"/>
  <c r="A169" i="58" s="1"/>
  <c r="A170" i="58" s="1"/>
  <c r="A171" i="58" s="1"/>
  <c r="D157" i="58"/>
  <c r="G163" i="58"/>
  <c r="F160" i="58"/>
  <c r="E160" i="58"/>
  <c r="C269" i="58"/>
  <c r="C280" i="58"/>
  <c r="C293" i="58"/>
  <c r="D158" i="58"/>
  <c r="G158" i="58"/>
  <c r="E170" i="58"/>
  <c r="G168" i="58"/>
  <c r="E168" i="58"/>
  <c r="H189" i="58"/>
  <c r="J189" i="58" s="1"/>
  <c r="F155" i="58"/>
  <c r="G160" i="58"/>
  <c r="G164" i="58"/>
  <c r="G155" i="58"/>
  <c r="F167" i="58"/>
  <c r="D170" i="58"/>
  <c r="U185" i="58"/>
  <c r="H190" i="58" s="1"/>
  <c r="J190" i="58" s="1"/>
  <c r="U187" i="58"/>
  <c r="H191" i="58" s="1"/>
  <c r="J191" i="58" s="1"/>
  <c r="F157" i="58"/>
  <c r="C291" i="58"/>
  <c r="G170" i="58"/>
  <c r="G157" i="58"/>
  <c r="F159" i="58"/>
  <c r="E165" i="58"/>
  <c r="D155" i="58"/>
  <c r="G159" i="58"/>
  <c r="F162" i="58"/>
  <c r="F156" i="58"/>
  <c r="F166" i="58"/>
  <c r="G169" i="58"/>
  <c r="C304" i="58"/>
  <c r="F169" i="58"/>
  <c r="A147" i="58"/>
  <c r="A148" i="58" s="1"/>
  <c r="A149" i="58" s="1"/>
  <c r="F158" i="58"/>
  <c r="E163" i="58"/>
  <c r="F164" i="58"/>
  <c r="G167" i="58"/>
  <c r="H188" i="58"/>
  <c r="J188" i="58" s="1"/>
  <c r="C290" i="58"/>
  <c r="F161" i="58"/>
  <c r="G162" i="58"/>
  <c r="G161" i="58"/>
  <c r="C292" i="58"/>
  <c r="F171" i="58"/>
  <c r="U175" i="58"/>
  <c r="U177" i="58"/>
  <c r="U186" i="58"/>
  <c r="W186" i="58" s="1"/>
  <c r="U188" i="58"/>
  <c r="W188" i="58" s="1"/>
  <c r="D163" i="58"/>
  <c r="E164" i="58"/>
  <c r="D168" i="58"/>
  <c r="E169" i="58"/>
  <c r="G171" i="58"/>
  <c r="D161" i="58"/>
  <c r="E162" i="58"/>
  <c r="F163" i="58"/>
  <c r="E167" i="58"/>
  <c r="F168" i="58"/>
  <c r="C236" i="58"/>
  <c r="U174" i="58"/>
  <c r="U176" i="58"/>
  <c r="U178" i="58"/>
  <c r="W178" i="58" s="1"/>
  <c r="I134" i="49"/>
  <c r="I134" i="48"/>
  <c r="I134" i="53"/>
  <c r="I134" i="46"/>
  <c r="I134" i="45"/>
  <c r="I134" i="44"/>
  <c r="I134" i="43"/>
  <c r="I134" i="42"/>
  <c r="I134" i="41"/>
  <c r="I134" i="40"/>
  <c r="I134" i="39"/>
  <c r="I134" i="38"/>
  <c r="I134" i="50"/>
  <c r="I134" i="37"/>
  <c r="I134" i="54"/>
  <c r="I134" i="35"/>
  <c r="I134" i="34"/>
  <c r="I134" i="33"/>
  <c r="I134" i="32"/>
  <c r="I134" i="29"/>
  <c r="I134" i="28"/>
  <c r="I134" i="26"/>
  <c r="I134" i="25"/>
  <c r="I134" i="24"/>
  <c r="I134" i="52"/>
  <c r="I134" i="22"/>
  <c r="I134" i="21"/>
  <c r="I134" i="19"/>
  <c r="I134" i="18"/>
  <c r="I134" i="17"/>
  <c r="I134" i="15"/>
  <c r="I134" i="14"/>
  <c r="I134" i="13"/>
  <c r="I134" i="12"/>
  <c r="I134" i="11"/>
  <c r="I134" i="10"/>
  <c r="I134" i="51"/>
  <c r="I134" i="9"/>
  <c r="I134" i="8"/>
  <c r="I134" i="7"/>
  <c r="I134" i="6"/>
  <c r="I134" i="57"/>
  <c r="I134" i="56"/>
  <c r="I134" i="5"/>
  <c r="I134" i="1"/>
  <c r="W185" i="59" l="1"/>
  <c r="H193" i="59"/>
  <c r="J193" i="59" s="1"/>
  <c r="H159" i="59"/>
  <c r="H192" i="59"/>
  <c r="J192" i="59" s="1"/>
  <c r="H170" i="59"/>
  <c r="H193" i="58"/>
  <c r="J193" i="58" s="1"/>
  <c r="W187" i="58"/>
  <c r="H192" i="58"/>
  <c r="J192" i="58" s="1"/>
  <c r="H158" i="58"/>
  <c r="H156" i="58"/>
  <c r="H157" i="58"/>
  <c r="H155" i="58"/>
  <c r="H159" i="58"/>
  <c r="H163" i="59"/>
  <c r="H168" i="59"/>
  <c r="H191" i="59"/>
  <c r="J191" i="59" s="1"/>
  <c r="W187" i="59"/>
  <c r="H161" i="59"/>
  <c r="H170" i="58"/>
  <c r="H168" i="58"/>
  <c r="W185" i="58"/>
  <c r="H163" i="58"/>
  <c r="H161" i="58"/>
  <c r="A195" i="49"/>
  <c r="A196" i="49"/>
  <c r="A197" i="49"/>
  <c r="A198" i="49"/>
  <c r="A199" i="49"/>
  <c r="A200" i="49"/>
  <c r="A201" i="49"/>
  <c r="A202" i="49"/>
  <c r="A203" i="49"/>
  <c r="J188" i="48"/>
  <c r="A197" i="46"/>
  <c r="A198" i="46"/>
  <c r="A199" i="46"/>
  <c r="A200" i="46"/>
  <c r="A201" i="46"/>
  <c r="A202" i="46"/>
  <c r="A203" i="46"/>
  <c r="A204" i="46"/>
  <c r="J190" i="46"/>
  <c r="A195" i="45"/>
  <c r="A196" i="45"/>
  <c r="A197" i="45"/>
  <c r="A198" i="45"/>
  <c r="A199" i="45"/>
  <c r="A200" i="45"/>
  <c r="A201" i="45"/>
  <c r="A202" i="45"/>
  <c r="A203" i="45"/>
  <c r="A204" i="45"/>
  <c r="A195" i="44"/>
  <c r="A196" i="44"/>
  <c r="A197" i="44"/>
  <c r="A198" i="44"/>
  <c r="A199" i="44"/>
  <c r="A200" i="44"/>
  <c r="A201" i="44"/>
  <c r="A202" i="44"/>
  <c r="A203" i="44"/>
  <c r="B191" i="44"/>
  <c r="C191" i="44"/>
  <c r="D191" i="44"/>
  <c r="E191" i="44"/>
  <c r="F191" i="44"/>
  <c r="G191" i="44"/>
  <c r="I191" i="44"/>
  <c r="B192" i="44"/>
  <c r="C192" i="44"/>
  <c r="D192" i="44"/>
  <c r="E192" i="44"/>
  <c r="F192" i="44"/>
  <c r="G192" i="44"/>
  <c r="I192" i="44"/>
  <c r="B193" i="44"/>
  <c r="C193" i="44"/>
  <c r="D193" i="44"/>
  <c r="E193" i="44"/>
  <c r="F193" i="44"/>
  <c r="G193" i="44"/>
  <c r="I193" i="44"/>
  <c r="A199" i="43" l="1"/>
  <c r="A200" i="43"/>
  <c r="A201" i="43"/>
  <c r="A202" i="43"/>
  <c r="A203" i="43"/>
  <c r="A204" i="43"/>
  <c r="J192" i="43"/>
  <c r="A195" i="39"/>
  <c r="A196" i="39"/>
  <c r="A197" i="39"/>
  <c r="A198" i="39"/>
  <c r="A199" i="39"/>
  <c r="A200" i="39"/>
  <c r="A201" i="39"/>
  <c r="A202" i="39"/>
  <c r="A203" i="39"/>
  <c r="A204" i="39"/>
  <c r="A203" i="40"/>
  <c r="A204" i="40"/>
  <c r="A197" i="40"/>
  <c r="A198" i="40"/>
  <c r="A199" i="40"/>
  <c r="A200" i="40"/>
  <c r="A201" i="40"/>
  <c r="A202" i="40"/>
  <c r="A199" i="37"/>
  <c r="A200" i="37"/>
  <c r="A201" i="37"/>
  <c r="A202" i="37"/>
  <c r="A203" i="37"/>
  <c r="A204" i="37"/>
  <c r="A199" i="38"/>
  <c r="A200" i="38"/>
  <c r="A201" i="38"/>
  <c r="A202" i="38"/>
  <c r="A203" i="38"/>
  <c r="A204" i="38"/>
  <c r="A198" i="21"/>
  <c r="A199" i="21"/>
  <c r="A200" i="21"/>
  <c r="A201" i="21"/>
  <c r="A202" i="21"/>
  <c r="A203" i="21"/>
  <c r="A204" i="21"/>
  <c r="A201" i="52"/>
  <c r="A202" i="52"/>
  <c r="A203" i="52"/>
  <c r="A204" i="52"/>
  <c r="A198" i="24"/>
  <c r="A199" i="24"/>
  <c r="A200" i="24"/>
  <c r="A201" i="24"/>
  <c r="A202" i="24"/>
  <c r="A203" i="24"/>
  <c r="A204" i="24"/>
  <c r="A196" i="28"/>
  <c r="A197" i="28"/>
  <c r="A198" i="28"/>
  <c r="A199" i="28"/>
  <c r="A200" i="28"/>
  <c r="A201" i="28"/>
  <c r="A202" i="28"/>
  <c r="A203" i="28"/>
  <c r="A204" i="28"/>
  <c r="A197" i="29"/>
  <c r="A198" i="29"/>
  <c r="A199" i="29"/>
  <c r="A200" i="29"/>
  <c r="A201" i="29"/>
  <c r="A202" i="29"/>
  <c r="A203" i="29"/>
  <c r="A204" i="29"/>
  <c r="A196" i="32"/>
  <c r="A197" i="32"/>
  <c r="A198" i="32"/>
  <c r="A199" i="32"/>
  <c r="A200" i="32"/>
  <c r="A201" i="32"/>
  <c r="A202" i="32"/>
  <c r="A203" i="32"/>
  <c r="A204" i="32"/>
  <c r="A204" i="33"/>
  <c r="A196" i="33"/>
  <c r="A197" i="33"/>
  <c r="A198" i="33"/>
  <c r="A199" i="33"/>
  <c r="A200" i="33"/>
  <c r="A201" i="33"/>
  <c r="A202" i="33"/>
  <c r="A203" i="33"/>
  <c r="A197" i="34"/>
  <c r="A198" i="34"/>
  <c r="A199" i="34"/>
  <c r="A200" i="34"/>
  <c r="A201" i="34"/>
  <c r="A202" i="34"/>
  <c r="A203" i="34"/>
  <c r="A204" i="34"/>
  <c r="A196" i="35"/>
  <c r="A197" i="35"/>
  <c r="A198" i="35"/>
  <c r="A199" i="35"/>
  <c r="A200" i="35"/>
  <c r="A201" i="35"/>
  <c r="A202" i="35"/>
  <c r="A203" i="35"/>
  <c r="A204" i="35"/>
  <c r="J191" i="21"/>
  <c r="J191" i="24"/>
  <c r="A190" i="19"/>
  <c r="A191" i="19"/>
  <c r="A192" i="19"/>
  <c r="A193" i="19"/>
  <c r="A194" i="19"/>
  <c r="A195" i="19"/>
  <c r="A196" i="19"/>
  <c r="A197" i="19"/>
  <c r="A198" i="19"/>
  <c r="A199" i="19"/>
  <c r="A200" i="19"/>
  <c r="A201" i="19"/>
  <c r="A202" i="19"/>
  <c r="A203" i="19"/>
  <c r="A190" i="18"/>
  <c r="A191" i="18"/>
  <c r="A192" i="18"/>
  <c r="A193" i="18"/>
  <c r="A194" i="18"/>
  <c r="A195" i="18"/>
  <c r="A196" i="18"/>
  <c r="A197" i="18"/>
  <c r="A198" i="18"/>
  <c r="A199" i="18"/>
  <c r="A200" i="18"/>
  <c r="A201" i="18"/>
  <c r="A202" i="18"/>
  <c r="A203" i="18"/>
  <c r="A195" i="13"/>
  <c r="A196" i="13"/>
  <c r="A197" i="13"/>
  <c r="A198" i="13"/>
  <c r="A199" i="13"/>
  <c r="A200" i="13"/>
  <c r="A201" i="13"/>
  <c r="A202" i="13"/>
  <c r="A203" i="13"/>
  <c r="A204" i="13"/>
  <c r="A195" i="17"/>
  <c r="A196" i="17"/>
  <c r="A197" i="17"/>
  <c r="A198" i="17"/>
  <c r="A199" i="17"/>
  <c r="A200" i="17"/>
  <c r="A201" i="17"/>
  <c r="A202" i="17"/>
  <c r="A203" i="17"/>
  <c r="A204" i="17"/>
  <c r="A197" i="14"/>
  <c r="A198" i="14"/>
  <c r="A199" i="14"/>
  <c r="A200" i="14"/>
  <c r="A201" i="14"/>
  <c r="A202" i="14"/>
  <c r="A203" i="14"/>
  <c r="A204" i="14"/>
  <c r="A197" i="15"/>
  <c r="A198" i="15"/>
  <c r="A199" i="15"/>
  <c r="A200" i="15"/>
  <c r="A201" i="15"/>
  <c r="A202" i="15"/>
  <c r="A203" i="15"/>
  <c r="A204" i="15"/>
  <c r="A197" i="10"/>
  <c r="A198" i="10"/>
  <c r="A199" i="10"/>
  <c r="A200" i="10"/>
  <c r="A201" i="10"/>
  <c r="A202" i="10"/>
  <c r="A203" i="10"/>
  <c r="A204" i="10"/>
  <c r="M530" i="57" l="1"/>
  <c r="M529" i="57"/>
  <c r="M528" i="57"/>
  <c r="M527" i="57"/>
  <c r="J527" i="57"/>
  <c r="M526" i="57"/>
  <c r="A526" i="57"/>
  <c r="M525" i="57"/>
  <c r="M524" i="57"/>
  <c r="M523" i="57"/>
  <c r="M522" i="57"/>
  <c r="J522" i="57"/>
  <c r="I522" i="57"/>
  <c r="D522" i="57"/>
  <c r="C522" i="57"/>
  <c r="A522" i="57" s="1"/>
  <c r="B522" i="57"/>
  <c r="A439" i="57"/>
  <c r="A438" i="57"/>
  <c r="J425" i="57"/>
  <c r="J424" i="57"/>
  <c r="J423" i="57"/>
  <c r="J421" i="57"/>
  <c r="A333" i="57"/>
  <c r="A332" i="57"/>
  <c r="J318" i="57"/>
  <c r="J317" i="57"/>
  <c r="J316" i="57"/>
  <c r="J314" i="57"/>
  <c r="J211" i="57"/>
  <c r="J210" i="57"/>
  <c r="J209" i="57"/>
  <c r="J207" i="57"/>
  <c r="J205" i="57"/>
  <c r="A205" i="57"/>
  <c r="A204" i="57"/>
  <c r="J203" i="57"/>
  <c r="A203" i="57"/>
  <c r="J202" i="57"/>
  <c r="A202" i="57"/>
  <c r="J201" i="57"/>
  <c r="A201" i="57"/>
  <c r="A200" i="57"/>
  <c r="J199" i="57"/>
  <c r="A199" i="57"/>
  <c r="J198" i="57"/>
  <c r="A198" i="57"/>
  <c r="J197" i="57"/>
  <c r="A197" i="57"/>
  <c r="J196" i="57"/>
  <c r="A196" i="57"/>
  <c r="I195" i="57"/>
  <c r="G195" i="57"/>
  <c r="F195" i="57"/>
  <c r="E195" i="57"/>
  <c r="D195" i="57"/>
  <c r="C195" i="57"/>
  <c r="B195" i="57"/>
  <c r="I194" i="57"/>
  <c r="G194" i="57"/>
  <c r="F194" i="57"/>
  <c r="E194" i="57"/>
  <c r="D194" i="57"/>
  <c r="C194" i="57"/>
  <c r="B194" i="57"/>
  <c r="I193" i="57"/>
  <c r="G193" i="57"/>
  <c r="F193" i="57"/>
  <c r="E193" i="57"/>
  <c r="D193" i="57"/>
  <c r="C193" i="57"/>
  <c r="B193" i="57"/>
  <c r="I192" i="57"/>
  <c r="G192" i="57"/>
  <c r="F192" i="57"/>
  <c r="E192" i="57"/>
  <c r="D192" i="57"/>
  <c r="C192" i="57"/>
  <c r="B192" i="57"/>
  <c r="J191" i="57"/>
  <c r="J190" i="57"/>
  <c r="J189" i="57"/>
  <c r="J188" i="57"/>
  <c r="J187" i="57"/>
  <c r="J186" i="57"/>
  <c r="J185" i="57"/>
  <c r="J184" i="57"/>
  <c r="J183" i="57"/>
  <c r="J182" i="57"/>
  <c r="J181" i="57"/>
  <c r="J180" i="57"/>
  <c r="J179" i="57"/>
  <c r="J178" i="57"/>
  <c r="A178" i="57"/>
  <c r="A179" i="57" s="1"/>
  <c r="A180" i="57" s="1"/>
  <c r="A181" i="57" s="1"/>
  <c r="A182" i="57" s="1"/>
  <c r="A183" i="57" s="1"/>
  <c r="A184" i="57" s="1"/>
  <c r="A185" i="57" s="1"/>
  <c r="A186" i="57" s="1"/>
  <c r="A187" i="57" s="1"/>
  <c r="A188" i="57" s="1"/>
  <c r="A189" i="57" s="1"/>
  <c r="A190" i="57" s="1"/>
  <c r="A191" i="57" s="1"/>
  <c r="C175" i="57"/>
  <c r="E175" i="57" s="1"/>
  <c r="B175" i="57"/>
  <c r="C174" i="57"/>
  <c r="F174" i="57" s="1"/>
  <c r="B174" i="57"/>
  <c r="C171" i="57"/>
  <c r="G171" i="57" s="1"/>
  <c r="B171" i="57"/>
  <c r="C170" i="57"/>
  <c r="F170" i="57" s="1"/>
  <c r="B170" i="57"/>
  <c r="C169" i="57"/>
  <c r="G169" i="57" s="1"/>
  <c r="B169" i="57"/>
  <c r="C168" i="57"/>
  <c r="B168" i="57"/>
  <c r="D167" i="57"/>
  <c r="C167" i="57"/>
  <c r="B167" i="57"/>
  <c r="C166" i="57"/>
  <c r="B166" i="57"/>
  <c r="C165" i="57"/>
  <c r="G165" i="57" s="1"/>
  <c r="B165" i="57"/>
  <c r="C164" i="57"/>
  <c r="F164" i="57" s="1"/>
  <c r="B164" i="57"/>
  <c r="C163" i="57"/>
  <c r="E163" i="57" s="1"/>
  <c r="B163" i="57"/>
  <c r="C162" i="57"/>
  <c r="E162" i="57" s="1"/>
  <c r="B162" i="57"/>
  <c r="C161" i="57"/>
  <c r="E161" i="57" s="1"/>
  <c r="B161" i="57"/>
  <c r="C160" i="57"/>
  <c r="E160" i="57" s="1"/>
  <c r="B160" i="57"/>
  <c r="A160" i="57" s="1"/>
  <c r="A161" i="57" s="1"/>
  <c r="A162" i="57" s="1"/>
  <c r="A163" i="57" s="1"/>
  <c r="A164" i="57" s="1"/>
  <c r="C159" i="57"/>
  <c r="E159" i="57" s="1"/>
  <c r="B159" i="57"/>
  <c r="A159" i="57"/>
  <c r="J157" i="57"/>
  <c r="A157" i="57"/>
  <c r="J156" i="57"/>
  <c r="A156" i="57"/>
  <c r="J155" i="57"/>
  <c r="A155" i="57"/>
  <c r="J154" i="57"/>
  <c r="A154" i="57"/>
  <c r="J153" i="57"/>
  <c r="A153" i="57"/>
  <c r="J152" i="57"/>
  <c r="A152" i="57"/>
  <c r="A151" i="57"/>
  <c r="J150" i="57"/>
  <c r="A150" i="57"/>
  <c r="J149" i="57"/>
  <c r="I149" i="57"/>
  <c r="J148" i="57"/>
  <c r="I148" i="57"/>
  <c r="H222" i="57" s="1"/>
  <c r="H147" i="57"/>
  <c r="G147" i="57"/>
  <c r="J147" i="57" s="1"/>
  <c r="C311" i="57" s="1"/>
  <c r="F147" i="57"/>
  <c r="E147" i="57"/>
  <c r="D147" i="57"/>
  <c r="C147" i="57"/>
  <c r="C173" i="57" s="1"/>
  <c r="E173" i="57" s="1"/>
  <c r="B147" i="57"/>
  <c r="B173" i="57" s="1"/>
  <c r="H146" i="57"/>
  <c r="G146" i="57"/>
  <c r="J146" i="57" s="1"/>
  <c r="C309" i="57" s="1"/>
  <c r="F146" i="57"/>
  <c r="E146" i="57"/>
  <c r="D146" i="57"/>
  <c r="C146" i="57"/>
  <c r="C172" i="57" s="1"/>
  <c r="D172" i="57" s="1"/>
  <c r="B146" i="57"/>
  <c r="B172" i="57" s="1"/>
  <c r="J145" i="57"/>
  <c r="I145" i="57"/>
  <c r="J144" i="57"/>
  <c r="I144" i="57"/>
  <c r="J143" i="57"/>
  <c r="C298" i="57" s="1"/>
  <c r="I143" i="57"/>
  <c r="J142" i="57"/>
  <c r="I142" i="57"/>
  <c r="J141" i="57"/>
  <c r="I141" i="57"/>
  <c r="U181" i="57" s="1"/>
  <c r="W181" i="57" s="1"/>
  <c r="J140" i="57"/>
  <c r="I140" i="57"/>
  <c r="J139" i="57"/>
  <c r="I139" i="57"/>
  <c r="C283" i="57" s="1"/>
  <c r="W138" i="57"/>
  <c r="V138" i="57"/>
  <c r="J138" i="57"/>
  <c r="I138" i="57"/>
  <c r="W137" i="57"/>
  <c r="V137" i="57"/>
  <c r="J137" i="57"/>
  <c r="I137" i="57"/>
  <c r="C271" i="57" s="1"/>
  <c r="W136" i="57"/>
  <c r="V136" i="57"/>
  <c r="I147" i="57" s="1"/>
  <c r="C310" i="57" s="1"/>
  <c r="J136" i="57"/>
  <c r="G162" i="57" s="1"/>
  <c r="I136" i="57"/>
  <c r="C260" i="57" s="1"/>
  <c r="W135" i="57"/>
  <c r="V135" i="57"/>
  <c r="J135" i="57"/>
  <c r="C249" i="57" s="1"/>
  <c r="I135" i="57"/>
  <c r="C248" i="57" s="1"/>
  <c r="W134" i="57"/>
  <c r="V134" i="57"/>
  <c r="J134" i="57"/>
  <c r="C238" i="57" s="1"/>
  <c r="W133" i="57"/>
  <c r="V133" i="57"/>
  <c r="I146" i="57" s="1"/>
  <c r="C308" i="57" s="1"/>
  <c r="J133" i="57"/>
  <c r="G159" i="57" s="1"/>
  <c r="I133" i="57"/>
  <c r="C223" i="57" s="1"/>
  <c r="A133" i="57"/>
  <c r="A134" i="57" s="1"/>
  <c r="A135" i="57" s="1"/>
  <c r="A136" i="57" s="1"/>
  <c r="A137" i="57" s="1"/>
  <c r="A138" i="57" s="1"/>
  <c r="A139" i="57" s="1"/>
  <c r="A140" i="57" s="1"/>
  <c r="A141" i="57" s="1"/>
  <c r="A142" i="57" s="1"/>
  <c r="A143" i="57" s="1"/>
  <c r="A144" i="57" s="1"/>
  <c r="A145" i="57" s="1"/>
  <c r="A146" i="57" s="1"/>
  <c r="A130" i="57"/>
  <c r="A129" i="57"/>
  <c r="J115" i="57"/>
  <c r="J114" i="57"/>
  <c r="J113" i="57"/>
  <c r="J527" i="56"/>
  <c r="J421" i="56"/>
  <c r="J314" i="56"/>
  <c r="J207" i="56"/>
  <c r="J185" i="56"/>
  <c r="A196" i="56"/>
  <c r="A197" i="56"/>
  <c r="A198" i="56"/>
  <c r="A199" i="56"/>
  <c r="A200" i="56"/>
  <c r="A201" i="56"/>
  <c r="A202" i="56"/>
  <c r="A203" i="56"/>
  <c r="A204" i="56"/>
  <c r="A205" i="56"/>
  <c r="B174" i="56"/>
  <c r="C174" i="56"/>
  <c r="B175" i="56"/>
  <c r="C175" i="56"/>
  <c r="I149" i="56"/>
  <c r="I148" i="56"/>
  <c r="H222" i="56" s="1"/>
  <c r="M530" i="56"/>
  <c r="M529" i="56"/>
  <c r="M528" i="56"/>
  <c r="M527" i="56"/>
  <c r="M526" i="56"/>
  <c r="A526" i="56"/>
  <c r="M525" i="56"/>
  <c r="M524" i="56"/>
  <c r="M523" i="56"/>
  <c r="M522" i="56"/>
  <c r="J522" i="56"/>
  <c r="I522" i="56"/>
  <c r="D522" i="56"/>
  <c r="C522" i="56"/>
  <c r="A522" i="56" s="1"/>
  <c r="B522" i="56"/>
  <c r="A439" i="56"/>
  <c r="A438" i="56"/>
  <c r="J425" i="56"/>
  <c r="J424" i="56"/>
  <c r="J423" i="56"/>
  <c r="A333" i="56"/>
  <c r="A332" i="56"/>
  <c r="J318" i="56"/>
  <c r="J317" i="56"/>
  <c r="J316" i="56"/>
  <c r="J211" i="56"/>
  <c r="J210" i="56"/>
  <c r="J209" i="56"/>
  <c r="J205" i="56"/>
  <c r="J203" i="56"/>
  <c r="J202" i="56"/>
  <c r="J201" i="56"/>
  <c r="J199" i="56"/>
  <c r="J198" i="56"/>
  <c r="J197" i="56"/>
  <c r="J196" i="56"/>
  <c r="I195" i="56"/>
  <c r="G195" i="56"/>
  <c r="F195" i="56"/>
  <c r="E195" i="56"/>
  <c r="D195" i="56"/>
  <c r="C195" i="56"/>
  <c r="B195" i="56"/>
  <c r="I194" i="56"/>
  <c r="G194" i="56"/>
  <c r="F194" i="56"/>
  <c r="E194" i="56"/>
  <c r="D194" i="56"/>
  <c r="C194" i="56"/>
  <c r="B194" i="56"/>
  <c r="I193" i="56"/>
  <c r="G193" i="56"/>
  <c r="F193" i="56"/>
  <c r="E193" i="56"/>
  <c r="D193" i="56"/>
  <c r="C193" i="56"/>
  <c r="B193" i="56"/>
  <c r="I192" i="56"/>
  <c r="G192" i="56"/>
  <c r="F192" i="56"/>
  <c r="E192" i="56"/>
  <c r="D192" i="56"/>
  <c r="C192" i="56"/>
  <c r="B192" i="56"/>
  <c r="J191" i="56"/>
  <c r="J190" i="56"/>
  <c r="J189" i="56"/>
  <c r="J188" i="56"/>
  <c r="J187" i="56"/>
  <c r="J186" i="56"/>
  <c r="J184" i="56"/>
  <c r="J183" i="56"/>
  <c r="J182" i="56"/>
  <c r="J181" i="56"/>
  <c r="J180" i="56"/>
  <c r="J179" i="56"/>
  <c r="J178" i="56"/>
  <c r="A178" i="56"/>
  <c r="A179" i="56" s="1"/>
  <c r="A180" i="56" s="1"/>
  <c r="A181" i="56" s="1"/>
  <c r="A182" i="56" s="1"/>
  <c r="A183" i="56" s="1"/>
  <c r="A184" i="56" s="1"/>
  <c r="A185" i="56" s="1"/>
  <c r="A186" i="56" s="1"/>
  <c r="A187" i="56" s="1"/>
  <c r="A188" i="56" s="1"/>
  <c r="A189" i="56" s="1"/>
  <c r="A190" i="56" s="1"/>
  <c r="A191" i="56" s="1"/>
  <c r="A192" i="56" s="1"/>
  <c r="C171" i="56"/>
  <c r="B171" i="56"/>
  <c r="C170" i="56"/>
  <c r="F170" i="56" s="1"/>
  <c r="B170" i="56"/>
  <c r="C169" i="56"/>
  <c r="B169" i="56"/>
  <c r="C168" i="56"/>
  <c r="E168" i="56" s="1"/>
  <c r="B168" i="56"/>
  <c r="C167" i="56"/>
  <c r="D167" i="56" s="1"/>
  <c r="B167" i="56"/>
  <c r="C166" i="56"/>
  <c r="E166" i="56" s="1"/>
  <c r="B166" i="56"/>
  <c r="C165" i="56"/>
  <c r="B165" i="56"/>
  <c r="C164" i="56"/>
  <c r="B164" i="56"/>
  <c r="C163" i="56"/>
  <c r="B163" i="56"/>
  <c r="C162" i="56"/>
  <c r="B162" i="56"/>
  <c r="C161" i="56"/>
  <c r="B161" i="56"/>
  <c r="C160" i="56"/>
  <c r="B160" i="56"/>
  <c r="C159" i="56"/>
  <c r="B159" i="56"/>
  <c r="A159" i="56" s="1"/>
  <c r="A160" i="56" s="1"/>
  <c r="J157" i="56"/>
  <c r="A157" i="56"/>
  <c r="J156" i="56"/>
  <c r="A156" i="56"/>
  <c r="J155" i="56"/>
  <c r="A155" i="56"/>
  <c r="J154" i="56"/>
  <c r="A154" i="56"/>
  <c r="J153" i="56"/>
  <c r="A153" i="56"/>
  <c r="J152" i="56"/>
  <c r="A152" i="56"/>
  <c r="A151" i="56"/>
  <c r="J150" i="56"/>
  <c r="A150" i="56"/>
  <c r="J149" i="56"/>
  <c r="J148" i="56"/>
  <c r="I222" i="56" s="1"/>
  <c r="H147" i="56"/>
  <c r="G147" i="56"/>
  <c r="J147" i="56" s="1"/>
  <c r="C311" i="56" s="1"/>
  <c r="F147" i="56"/>
  <c r="E147" i="56"/>
  <c r="D147" i="56"/>
  <c r="C147" i="56"/>
  <c r="C173" i="56" s="1"/>
  <c r="B147" i="56"/>
  <c r="B173" i="56" s="1"/>
  <c r="J146" i="56"/>
  <c r="C309" i="56" s="1"/>
  <c r="H146" i="56"/>
  <c r="G146" i="56"/>
  <c r="F146" i="56"/>
  <c r="E146" i="56"/>
  <c r="D146" i="56"/>
  <c r="C146" i="56"/>
  <c r="G175" i="56" s="1"/>
  <c r="B146" i="56"/>
  <c r="B172" i="56" s="1"/>
  <c r="J145" i="56"/>
  <c r="I145" i="56"/>
  <c r="J144" i="56"/>
  <c r="I144" i="56"/>
  <c r="J143" i="56"/>
  <c r="I143" i="56"/>
  <c r="C297" i="56" s="1"/>
  <c r="J142" i="56"/>
  <c r="I142" i="56"/>
  <c r="J141" i="56"/>
  <c r="I141" i="56"/>
  <c r="J140" i="56"/>
  <c r="I140" i="56"/>
  <c r="J139" i="56"/>
  <c r="I139" i="56"/>
  <c r="C283" i="56" s="1"/>
  <c r="W138" i="56"/>
  <c r="V138" i="56"/>
  <c r="J138" i="56"/>
  <c r="I138" i="56"/>
  <c r="W137" i="56"/>
  <c r="V137" i="56"/>
  <c r="J137" i="56"/>
  <c r="I137" i="56"/>
  <c r="C271" i="56" s="1"/>
  <c r="W136" i="56"/>
  <c r="V136" i="56"/>
  <c r="I147" i="56" s="1"/>
  <c r="C310" i="56" s="1"/>
  <c r="J136" i="56"/>
  <c r="C261" i="56" s="1"/>
  <c r="I136" i="56"/>
  <c r="C260" i="56" s="1"/>
  <c r="W135" i="56"/>
  <c r="V135" i="56"/>
  <c r="J135" i="56"/>
  <c r="C249" i="56" s="1"/>
  <c r="I135" i="56"/>
  <c r="W134" i="56"/>
  <c r="V134" i="56"/>
  <c r="J134" i="56"/>
  <c r="C238" i="56" s="1"/>
  <c r="W133" i="56"/>
  <c r="V133" i="56"/>
  <c r="I146" i="56" s="1"/>
  <c r="J133" i="56"/>
  <c r="C224" i="56" s="1"/>
  <c r="I133" i="56"/>
  <c r="C223" i="56" s="1"/>
  <c r="A133" i="56"/>
  <c r="A134" i="56" s="1"/>
  <c r="A135" i="56" s="1"/>
  <c r="A136" i="56" s="1"/>
  <c r="A137" i="56" s="1"/>
  <c r="A138" i="56" s="1"/>
  <c r="A139" i="56" s="1"/>
  <c r="A140" i="56" s="1"/>
  <c r="A141" i="56" s="1"/>
  <c r="A142" i="56" s="1"/>
  <c r="A143" i="56" s="1"/>
  <c r="A144" i="56" s="1"/>
  <c r="A145" i="56" s="1"/>
  <c r="A146" i="56" s="1"/>
  <c r="A130" i="56"/>
  <c r="A129" i="56"/>
  <c r="J115" i="56"/>
  <c r="J114" i="56"/>
  <c r="J113" i="56"/>
  <c r="G170" i="57" l="1"/>
  <c r="C296" i="57"/>
  <c r="F160" i="57"/>
  <c r="G175" i="57"/>
  <c r="G160" i="57"/>
  <c r="G166" i="57"/>
  <c r="U192" i="57"/>
  <c r="W192" i="57" s="1"/>
  <c r="F161" i="57"/>
  <c r="G167" i="57"/>
  <c r="G161" i="57"/>
  <c r="U190" i="57"/>
  <c r="W190" i="57" s="1"/>
  <c r="G168" i="57"/>
  <c r="G164" i="57"/>
  <c r="I222" i="57"/>
  <c r="F162" i="57"/>
  <c r="H162" i="57" s="1"/>
  <c r="E168" i="57"/>
  <c r="F175" i="57"/>
  <c r="A193" i="56"/>
  <c r="A194" i="56" s="1"/>
  <c r="A195" i="56" s="1"/>
  <c r="D174" i="57"/>
  <c r="F175" i="56"/>
  <c r="F163" i="57"/>
  <c r="H163" i="57" s="1"/>
  <c r="E169" i="57"/>
  <c r="E174" i="57"/>
  <c r="C284" i="57"/>
  <c r="G163" i="57"/>
  <c r="G174" i="56"/>
  <c r="F163" i="56"/>
  <c r="H160" i="57"/>
  <c r="A192" i="57"/>
  <c r="A193" i="57" s="1"/>
  <c r="A194" i="57" s="1"/>
  <c r="A195" i="57" s="1"/>
  <c r="G173" i="57"/>
  <c r="A165" i="57"/>
  <c r="A166" i="57" s="1"/>
  <c r="A167" i="57" s="1"/>
  <c r="A168" i="57" s="1"/>
  <c r="A169" i="57" s="1"/>
  <c r="A170" i="57" s="1"/>
  <c r="A171" i="57" s="1"/>
  <c r="A172" i="57" s="1"/>
  <c r="A173" i="57" s="1"/>
  <c r="A174" i="57" s="1"/>
  <c r="A175" i="57" s="1"/>
  <c r="A147" i="57"/>
  <c r="A148" i="57" s="1"/>
  <c r="A149" i="57" s="1"/>
  <c r="G172" i="57"/>
  <c r="C272" i="57"/>
  <c r="F168" i="57"/>
  <c r="G174" i="57"/>
  <c r="H174" i="57" s="1"/>
  <c r="C237" i="57"/>
  <c r="E167" i="57"/>
  <c r="E172" i="57"/>
  <c r="F173" i="57"/>
  <c r="D165" i="57"/>
  <c r="E166" i="57"/>
  <c r="F167" i="57"/>
  <c r="E171" i="57"/>
  <c r="F172" i="57"/>
  <c r="E165" i="57"/>
  <c r="F166" i="57"/>
  <c r="F171" i="57"/>
  <c r="U178" i="57"/>
  <c r="U180" i="57"/>
  <c r="U182" i="57"/>
  <c r="W182" i="57" s="1"/>
  <c r="U189" i="57"/>
  <c r="U191" i="57"/>
  <c r="C295" i="57"/>
  <c r="F159" i="57"/>
  <c r="H159" i="57" s="1"/>
  <c r="D159" i="57"/>
  <c r="D160" i="57"/>
  <c r="D161" i="57"/>
  <c r="D162" i="57"/>
  <c r="D163" i="57"/>
  <c r="E164" i="57"/>
  <c r="F165" i="57"/>
  <c r="E170" i="57"/>
  <c r="C224" i="57"/>
  <c r="C297" i="57"/>
  <c r="C261" i="57"/>
  <c r="F169" i="57"/>
  <c r="U179" i="57"/>
  <c r="W179" i="57" s="1"/>
  <c r="U181" i="56"/>
  <c r="W181" i="56" s="1"/>
  <c r="G162" i="56"/>
  <c r="G159" i="56"/>
  <c r="E173" i="56"/>
  <c r="F173" i="56"/>
  <c r="G173" i="56"/>
  <c r="E175" i="56"/>
  <c r="F174" i="56"/>
  <c r="H174" i="56" s="1"/>
  <c r="U179" i="56"/>
  <c r="W179" i="56" s="1"/>
  <c r="E174" i="56"/>
  <c r="G160" i="56"/>
  <c r="F171" i="56"/>
  <c r="F160" i="56"/>
  <c r="U189" i="56"/>
  <c r="H192" i="56" s="1"/>
  <c r="J192" i="56" s="1"/>
  <c r="U182" i="56"/>
  <c r="W182" i="56" s="1"/>
  <c r="F164" i="56"/>
  <c r="C172" i="56"/>
  <c r="D172" i="56" s="1"/>
  <c r="U192" i="56"/>
  <c r="W192" i="56" s="1"/>
  <c r="C237" i="56"/>
  <c r="G161" i="56"/>
  <c r="U190" i="56"/>
  <c r="W190" i="56" s="1"/>
  <c r="A147" i="56"/>
  <c r="A148" i="56" s="1"/>
  <c r="A149" i="56" s="1"/>
  <c r="G165" i="56"/>
  <c r="D174" i="56"/>
  <c r="G169" i="56"/>
  <c r="F162" i="56"/>
  <c r="H162" i="56" s="1"/>
  <c r="F159" i="56"/>
  <c r="C284" i="56"/>
  <c r="C298" i="56"/>
  <c r="F161" i="56"/>
  <c r="G164" i="56"/>
  <c r="F168" i="56"/>
  <c r="C296" i="56"/>
  <c r="G163" i="56"/>
  <c r="G168" i="56"/>
  <c r="E167" i="56"/>
  <c r="E172" i="56"/>
  <c r="F167" i="56"/>
  <c r="E169" i="56"/>
  <c r="G172" i="56"/>
  <c r="A161" i="56"/>
  <c r="A162" i="56" s="1"/>
  <c r="A163" i="56" s="1"/>
  <c r="A164" i="56" s="1"/>
  <c r="A165" i="56" s="1"/>
  <c r="A166" i="56" s="1"/>
  <c r="A167" i="56" s="1"/>
  <c r="A168" i="56" s="1"/>
  <c r="A169" i="56" s="1"/>
  <c r="A170" i="56" s="1"/>
  <c r="A171" i="56" s="1"/>
  <c r="A172" i="56" s="1"/>
  <c r="A173" i="56" s="1"/>
  <c r="A174" i="56" s="1"/>
  <c r="A175" i="56" s="1"/>
  <c r="C272" i="56"/>
  <c r="G167" i="56"/>
  <c r="C308" i="56"/>
  <c r="W189" i="56"/>
  <c r="F169" i="56"/>
  <c r="C248" i="56"/>
  <c r="C295" i="56"/>
  <c r="E165" i="56"/>
  <c r="F166" i="56"/>
  <c r="D159" i="56"/>
  <c r="D160" i="56"/>
  <c r="D161" i="56"/>
  <c r="D162" i="56"/>
  <c r="D163" i="56"/>
  <c r="E164" i="56"/>
  <c r="F165" i="56"/>
  <c r="G166" i="56"/>
  <c r="E170" i="56"/>
  <c r="G171" i="56"/>
  <c r="D165" i="56"/>
  <c r="E171" i="56"/>
  <c r="E159" i="56"/>
  <c r="E160" i="56"/>
  <c r="E161" i="56"/>
  <c r="E162" i="56"/>
  <c r="E163" i="56"/>
  <c r="U178" i="56"/>
  <c r="U180" i="56"/>
  <c r="U191" i="56"/>
  <c r="G170" i="56"/>
  <c r="J525" i="54"/>
  <c r="J419" i="54"/>
  <c r="J314" i="54"/>
  <c r="J207" i="54"/>
  <c r="J183" i="54"/>
  <c r="C311" i="54"/>
  <c r="M526" i="54"/>
  <c r="M525" i="54"/>
  <c r="M524" i="54"/>
  <c r="M523" i="54"/>
  <c r="M522" i="54"/>
  <c r="A523" i="54"/>
  <c r="M521" i="54"/>
  <c r="A522" i="54"/>
  <c r="M520" i="54"/>
  <c r="M519" i="54"/>
  <c r="M518" i="54"/>
  <c r="J519" i="54"/>
  <c r="I519" i="54"/>
  <c r="D519" i="54"/>
  <c r="C519" i="54"/>
  <c r="A519" i="54" s="1"/>
  <c r="B519" i="54"/>
  <c r="A438" i="54"/>
  <c r="A437" i="54"/>
  <c r="J423" i="54"/>
  <c r="J422" i="54"/>
  <c r="J421" i="54"/>
  <c r="A333" i="54"/>
  <c r="A332" i="54"/>
  <c r="J318" i="54"/>
  <c r="J317" i="54"/>
  <c r="J316" i="54"/>
  <c r="J211" i="54"/>
  <c r="J210" i="54"/>
  <c r="J209" i="54"/>
  <c r="J205" i="54"/>
  <c r="A205" i="54"/>
  <c r="J204" i="54"/>
  <c r="A204" i="54"/>
  <c r="J203" i="54"/>
  <c r="A203" i="54"/>
  <c r="J202" i="54"/>
  <c r="A202" i="54"/>
  <c r="J201" i="54"/>
  <c r="A201" i="54"/>
  <c r="J200" i="54"/>
  <c r="A200" i="54"/>
  <c r="I192" i="54"/>
  <c r="G192" i="54"/>
  <c r="F192" i="54"/>
  <c r="E192" i="54"/>
  <c r="D192" i="54"/>
  <c r="C192" i="54"/>
  <c r="B192" i="54"/>
  <c r="I191" i="54"/>
  <c r="G191" i="54"/>
  <c r="F191" i="54"/>
  <c r="E191" i="54"/>
  <c r="D191" i="54"/>
  <c r="C191" i="54"/>
  <c r="B191" i="54"/>
  <c r="I190" i="54"/>
  <c r="G190" i="54"/>
  <c r="F190" i="54"/>
  <c r="E190" i="54"/>
  <c r="D190" i="54"/>
  <c r="C190" i="54"/>
  <c r="B190" i="54"/>
  <c r="I189" i="54"/>
  <c r="G189" i="54"/>
  <c r="F189" i="54"/>
  <c r="E189" i="54"/>
  <c r="D189" i="54"/>
  <c r="C189" i="54"/>
  <c r="B189" i="54"/>
  <c r="J188" i="54"/>
  <c r="J187" i="54"/>
  <c r="J186" i="54"/>
  <c r="J185" i="54"/>
  <c r="J184" i="54"/>
  <c r="J182" i="54"/>
  <c r="J181" i="54"/>
  <c r="J180" i="54"/>
  <c r="J179" i="54"/>
  <c r="J178" i="54"/>
  <c r="J177" i="54"/>
  <c r="J176" i="54"/>
  <c r="J175" i="54"/>
  <c r="A175" i="54"/>
  <c r="A176" i="54" s="1"/>
  <c r="A177" i="54" s="1"/>
  <c r="A178" i="54" s="1"/>
  <c r="A179" i="54" s="1"/>
  <c r="A180" i="54" s="1"/>
  <c r="A181" i="54" s="1"/>
  <c r="A182" i="54" s="1"/>
  <c r="A184" i="54" s="1"/>
  <c r="A185" i="54" s="1"/>
  <c r="A186" i="54" s="1"/>
  <c r="A187" i="54" s="1"/>
  <c r="A188" i="54" s="1"/>
  <c r="C172" i="54"/>
  <c r="B172" i="54"/>
  <c r="C171" i="54"/>
  <c r="B171" i="54"/>
  <c r="C168" i="54"/>
  <c r="E168" i="54" s="1"/>
  <c r="B168" i="54"/>
  <c r="C167" i="54"/>
  <c r="B167" i="54"/>
  <c r="C166" i="54"/>
  <c r="B166" i="54"/>
  <c r="C165" i="54"/>
  <c r="B165" i="54"/>
  <c r="C164" i="54"/>
  <c r="E164" i="54" s="1"/>
  <c r="B164" i="54"/>
  <c r="C163" i="54"/>
  <c r="D163" i="54" s="1"/>
  <c r="B163" i="54"/>
  <c r="C162" i="54"/>
  <c r="B162" i="54"/>
  <c r="C161" i="54"/>
  <c r="B161" i="54"/>
  <c r="C160" i="54"/>
  <c r="B160" i="54"/>
  <c r="C159" i="54"/>
  <c r="B159" i="54"/>
  <c r="C158" i="54"/>
  <c r="B158" i="54"/>
  <c r="C157" i="54"/>
  <c r="B157" i="54"/>
  <c r="C156" i="54"/>
  <c r="B156" i="54"/>
  <c r="C155" i="54"/>
  <c r="B155" i="54"/>
  <c r="A155" i="54" s="1"/>
  <c r="J153" i="54"/>
  <c r="A153" i="54"/>
  <c r="J152" i="54"/>
  <c r="A152" i="54"/>
  <c r="J151" i="54"/>
  <c r="A151" i="54"/>
  <c r="C312" i="54"/>
  <c r="H148" i="54"/>
  <c r="G148" i="54"/>
  <c r="J148" i="54" s="1"/>
  <c r="C305" i="54" s="1"/>
  <c r="F148" i="54"/>
  <c r="E148" i="54"/>
  <c r="D148" i="54"/>
  <c r="C148" i="54"/>
  <c r="C170" i="54" s="1"/>
  <c r="B148" i="54"/>
  <c r="B170" i="54" s="1"/>
  <c r="H147" i="54"/>
  <c r="G147" i="54"/>
  <c r="J147" i="54" s="1"/>
  <c r="C303" i="54" s="1"/>
  <c r="F147" i="54"/>
  <c r="E147" i="54"/>
  <c r="D147" i="54"/>
  <c r="C147" i="54"/>
  <c r="C169" i="54" s="1"/>
  <c r="B147" i="54"/>
  <c r="B169" i="54" s="1"/>
  <c r="J146" i="54"/>
  <c r="I146" i="54"/>
  <c r="F168" i="54" s="1"/>
  <c r="J145" i="54"/>
  <c r="I145" i="54"/>
  <c r="J144" i="54"/>
  <c r="I144" i="54"/>
  <c r="J143" i="54"/>
  <c r="I143" i="54"/>
  <c r="C292" i="54" s="1"/>
  <c r="J142" i="54"/>
  <c r="I142" i="54"/>
  <c r="J141" i="54"/>
  <c r="I141" i="54"/>
  <c r="C290" i="54" s="1"/>
  <c r="J140" i="54"/>
  <c r="I140" i="54"/>
  <c r="J139" i="54"/>
  <c r="I139" i="54"/>
  <c r="C278" i="54" s="1"/>
  <c r="W138" i="54"/>
  <c r="V138" i="54"/>
  <c r="J138" i="54"/>
  <c r="I138" i="54"/>
  <c r="W137" i="54"/>
  <c r="V137" i="54"/>
  <c r="J137" i="54"/>
  <c r="I137" i="54"/>
  <c r="C267" i="54" s="1"/>
  <c r="W136" i="54"/>
  <c r="V136" i="54"/>
  <c r="J136" i="54"/>
  <c r="C258" i="54" s="1"/>
  <c r="I136" i="54"/>
  <c r="C257" i="54" s="1"/>
  <c r="W135" i="54"/>
  <c r="V135" i="54"/>
  <c r="J135" i="54"/>
  <c r="C247" i="54" s="1"/>
  <c r="I135" i="54"/>
  <c r="C246" i="54" s="1"/>
  <c r="W134" i="54"/>
  <c r="V134" i="54"/>
  <c r="I147" i="54" s="1"/>
  <c r="C302" i="54" s="1"/>
  <c r="J134" i="54"/>
  <c r="C237" i="54" s="1"/>
  <c r="C236" i="54"/>
  <c r="W133" i="54"/>
  <c r="V133" i="54"/>
  <c r="J133" i="54"/>
  <c r="C224" i="54" s="1"/>
  <c r="I133" i="54"/>
  <c r="C223" i="54" s="1"/>
  <c r="A133" i="54"/>
  <c r="A134" i="54" s="1"/>
  <c r="A135" i="54" s="1"/>
  <c r="A136" i="54" s="1"/>
  <c r="A137" i="54" s="1"/>
  <c r="A138" i="54" s="1"/>
  <c r="A139" i="54" s="1"/>
  <c r="A140" i="54" s="1"/>
  <c r="A141" i="54" s="1"/>
  <c r="A142" i="54" s="1"/>
  <c r="A143" i="54" s="1"/>
  <c r="A144" i="54" s="1"/>
  <c r="A145" i="54" s="1"/>
  <c r="A146" i="54" s="1"/>
  <c r="A130" i="54"/>
  <c r="A129" i="54"/>
  <c r="J115" i="54"/>
  <c r="J114" i="54"/>
  <c r="J113" i="54"/>
  <c r="H161" i="57" l="1"/>
  <c r="I148" i="54"/>
  <c r="C304" i="54" s="1"/>
  <c r="F172" i="56"/>
  <c r="H172" i="56" s="1"/>
  <c r="H159" i="56"/>
  <c r="H165" i="57"/>
  <c r="W191" i="57"/>
  <c r="H193" i="57"/>
  <c r="J193" i="57" s="1"/>
  <c r="H192" i="57"/>
  <c r="J192" i="57" s="1"/>
  <c r="W189" i="57"/>
  <c r="H167" i="57"/>
  <c r="H172" i="57"/>
  <c r="W180" i="57"/>
  <c r="H194" i="57"/>
  <c r="J194" i="57" s="1"/>
  <c r="H195" i="57"/>
  <c r="J195" i="57" s="1"/>
  <c r="W178" i="57"/>
  <c r="H160" i="56"/>
  <c r="H161" i="56"/>
  <c r="H163" i="56"/>
  <c r="H167" i="56"/>
  <c r="H193" i="56"/>
  <c r="J193" i="56" s="1"/>
  <c r="W191" i="56"/>
  <c r="W180" i="56"/>
  <c r="H194" i="56"/>
  <c r="J194" i="56" s="1"/>
  <c r="W178" i="56"/>
  <c r="H195" i="56"/>
  <c r="J195" i="56" s="1"/>
  <c r="H165" i="56"/>
  <c r="A147" i="54"/>
  <c r="A148" i="54" s="1"/>
  <c r="A149" i="54" s="1"/>
  <c r="A150" i="54" s="1"/>
  <c r="A156" i="54"/>
  <c r="A157" i="54" s="1"/>
  <c r="A158" i="54" s="1"/>
  <c r="A159" i="54" s="1"/>
  <c r="A160" i="54" s="1"/>
  <c r="A161" i="54" s="1"/>
  <c r="A162" i="54" s="1"/>
  <c r="A163" i="54" s="1"/>
  <c r="A164" i="54" s="1"/>
  <c r="A165" i="54" s="1"/>
  <c r="A166" i="54" s="1"/>
  <c r="A167" i="54" s="1"/>
  <c r="A168" i="54" s="1"/>
  <c r="A169" i="54" s="1"/>
  <c r="A170" i="54" s="1"/>
  <c r="A171" i="54" s="1"/>
  <c r="A172" i="54" s="1"/>
  <c r="G166" i="54"/>
  <c r="U178" i="54"/>
  <c r="W178" i="54" s="1"/>
  <c r="C268" i="54"/>
  <c r="G158" i="54"/>
  <c r="G156" i="54"/>
  <c r="C279" i="54"/>
  <c r="G167" i="54"/>
  <c r="G160" i="54"/>
  <c r="G157" i="54"/>
  <c r="G161" i="54"/>
  <c r="A189" i="54"/>
  <c r="A190" i="54" s="1"/>
  <c r="A191" i="54" s="1"/>
  <c r="A192" i="54" s="1"/>
  <c r="F162" i="54"/>
  <c r="G165" i="54"/>
  <c r="C293" i="54"/>
  <c r="E163" i="54"/>
  <c r="G155" i="54"/>
  <c r="G159" i="54"/>
  <c r="G171" i="54"/>
  <c r="G172" i="54"/>
  <c r="G163" i="54"/>
  <c r="A183" i="54"/>
  <c r="F164" i="54"/>
  <c r="F169" i="54"/>
  <c r="E169" i="54"/>
  <c r="G169" i="54"/>
  <c r="D169" i="54"/>
  <c r="G170" i="54"/>
  <c r="F170" i="54"/>
  <c r="E170" i="54"/>
  <c r="D161" i="54"/>
  <c r="E162" i="54"/>
  <c r="F163" i="54"/>
  <c r="G164" i="54"/>
  <c r="E167" i="54"/>
  <c r="G168" i="54"/>
  <c r="C291" i="54"/>
  <c r="F167" i="54"/>
  <c r="D155" i="54"/>
  <c r="D156" i="54"/>
  <c r="D157" i="54"/>
  <c r="D158" i="54"/>
  <c r="D159" i="54"/>
  <c r="E160" i="54"/>
  <c r="F161" i="54"/>
  <c r="G162" i="54"/>
  <c r="E166" i="54"/>
  <c r="D171" i="54"/>
  <c r="E172" i="54"/>
  <c r="U179" i="54"/>
  <c r="U186" i="54"/>
  <c r="E156" i="54"/>
  <c r="E158" i="54"/>
  <c r="F160" i="54"/>
  <c r="F166" i="54"/>
  <c r="E171" i="54"/>
  <c r="F172" i="54"/>
  <c r="U176" i="54"/>
  <c r="W176" i="54" s="1"/>
  <c r="U187" i="54"/>
  <c r="W187" i="54" s="1"/>
  <c r="U189" i="54"/>
  <c r="W189" i="54" s="1"/>
  <c r="F155" i="54"/>
  <c r="F156" i="54"/>
  <c r="F157" i="54"/>
  <c r="F158" i="54"/>
  <c r="F159" i="54"/>
  <c r="E165" i="54"/>
  <c r="F171" i="54"/>
  <c r="U175" i="54"/>
  <c r="W175" i="54" s="1"/>
  <c r="E161" i="54"/>
  <c r="E155" i="54"/>
  <c r="E157" i="54"/>
  <c r="E159" i="54"/>
  <c r="U177" i="54"/>
  <c r="U188" i="54"/>
  <c r="F165" i="54"/>
  <c r="A198" i="22"/>
  <c r="A199" i="22"/>
  <c r="A200" i="22"/>
  <c r="A201" i="22"/>
  <c r="A202" i="22"/>
  <c r="A203" i="22"/>
  <c r="A204" i="22"/>
  <c r="H155" i="54" l="1"/>
  <c r="H156" i="54"/>
  <c r="H157" i="54"/>
  <c r="H158" i="54"/>
  <c r="H161" i="54"/>
  <c r="H159" i="54"/>
  <c r="H171" i="54"/>
  <c r="H189" i="54"/>
  <c r="J189" i="54" s="1"/>
  <c r="W186" i="54"/>
  <c r="H190" i="54"/>
  <c r="J190" i="54" s="1"/>
  <c r="W188" i="54"/>
  <c r="H191" i="54"/>
  <c r="J191" i="54" s="1"/>
  <c r="W179" i="54"/>
  <c r="H192" i="54"/>
  <c r="J192" i="54" s="1"/>
  <c r="W177" i="54"/>
  <c r="H163" i="54"/>
  <c r="H169" i="54"/>
  <c r="J191" i="22" l="1"/>
  <c r="B160" i="49" l="1"/>
  <c r="C160" i="49"/>
  <c r="B161" i="49"/>
  <c r="C161" i="49"/>
  <c r="D161" i="49" s="1"/>
  <c r="B162" i="49"/>
  <c r="C162" i="49"/>
  <c r="E162" i="49" s="1"/>
  <c r="B163" i="49"/>
  <c r="C163" i="49"/>
  <c r="E163" i="49" s="1"/>
  <c r="B164" i="49"/>
  <c r="C164" i="49"/>
  <c r="E164" i="49" s="1"/>
  <c r="B165" i="49"/>
  <c r="C165" i="49"/>
  <c r="B166" i="49"/>
  <c r="C166" i="49"/>
  <c r="E166" i="49" s="1"/>
  <c r="B169" i="49"/>
  <c r="C169" i="49"/>
  <c r="B170" i="49"/>
  <c r="C170" i="49"/>
  <c r="B160" i="48"/>
  <c r="C160" i="48"/>
  <c r="E160" i="48" s="1"/>
  <c r="B161" i="48"/>
  <c r="C161" i="48"/>
  <c r="D161" i="48" s="1"/>
  <c r="B162" i="48"/>
  <c r="C162" i="48"/>
  <c r="E162" i="48" s="1"/>
  <c r="B163" i="48"/>
  <c r="C163" i="48"/>
  <c r="E163" i="48" s="1"/>
  <c r="B164" i="48"/>
  <c r="C164" i="48"/>
  <c r="E164" i="48" s="1"/>
  <c r="B165" i="48"/>
  <c r="C165" i="48"/>
  <c r="B166" i="48"/>
  <c r="C166" i="48"/>
  <c r="E166" i="48"/>
  <c r="B169" i="48"/>
  <c r="C169" i="48"/>
  <c r="B170" i="48"/>
  <c r="C170" i="48"/>
  <c r="A148" i="53"/>
  <c r="A149" i="53"/>
  <c r="A150" i="53"/>
  <c r="B160" i="53"/>
  <c r="C160" i="53"/>
  <c r="B161" i="53"/>
  <c r="C161" i="53"/>
  <c r="D161" i="53" s="1"/>
  <c r="B162" i="53"/>
  <c r="C162" i="53"/>
  <c r="E162" i="53"/>
  <c r="B163" i="53"/>
  <c r="C163" i="53"/>
  <c r="E163" i="53" s="1"/>
  <c r="B164" i="53"/>
  <c r="C164" i="53"/>
  <c r="E164" i="53" s="1"/>
  <c r="B165" i="53"/>
  <c r="C165" i="53"/>
  <c r="B168" i="53"/>
  <c r="C168" i="53"/>
  <c r="B169" i="53"/>
  <c r="C169" i="53"/>
  <c r="B170" i="53"/>
  <c r="C170" i="53"/>
  <c r="B160" i="46"/>
  <c r="C160" i="46"/>
  <c r="E160" i="46" s="1"/>
  <c r="B161" i="46"/>
  <c r="C161" i="46"/>
  <c r="D161" i="46" s="1"/>
  <c r="B162" i="46"/>
  <c r="C162" i="46"/>
  <c r="E162" i="46" s="1"/>
  <c r="B163" i="46"/>
  <c r="C163" i="46"/>
  <c r="B164" i="46"/>
  <c r="C164" i="46"/>
  <c r="E164" i="46" s="1"/>
  <c r="B165" i="46"/>
  <c r="C165" i="46"/>
  <c r="E165" i="46" s="1"/>
  <c r="B166" i="46"/>
  <c r="C166" i="46"/>
  <c r="B169" i="46"/>
  <c r="C169" i="46"/>
  <c r="B170" i="46"/>
  <c r="C170" i="46"/>
  <c r="B160" i="45"/>
  <c r="C160" i="45"/>
  <c r="B161" i="45"/>
  <c r="C161" i="45"/>
  <c r="D161" i="45" s="1"/>
  <c r="B162" i="45"/>
  <c r="C162" i="45"/>
  <c r="E162" i="45"/>
  <c r="B163" i="45"/>
  <c r="C163" i="45"/>
  <c r="B164" i="45"/>
  <c r="C164" i="45"/>
  <c r="E164" i="45" s="1"/>
  <c r="B165" i="45"/>
  <c r="C165" i="45"/>
  <c r="E165" i="45" s="1"/>
  <c r="B166" i="45"/>
  <c r="C166" i="45"/>
  <c r="B169" i="45"/>
  <c r="C169" i="45"/>
  <c r="B170" i="45"/>
  <c r="C170" i="45"/>
  <c r="B160" i="44"/>
  <c r="C160" i="44"/>
  <c r="B161" i="44"/>
  <c r="C161" i="44"/>
  <c r="D161" i="44" s="1"/>
  <c r="B162" i="44"/>
  <c r="C162" i="44"/>
  <c r="B163" i="44"/>
  <c r="C163" i="44"/>
  <c r="B164" i="44"/>
  <c r="C164" i="44"/>
  <c r="E164" i="44" s="1"/>
  <c r="B165" i="44"/>
  <c r="C165" i="44"/>
  <c r="B166" i="44"/>
  <c r="C166" i="44"/>
  <c r="E166" i="44" s="1"/>
  <c r="B169" i="44"/>
  <c r="C169" i="44"/>
  <c r="B170" i="44"/>
  <c r="C170" i="44"/>
  <c r="B160" i="43"/>
  <c r="C160" i="43"/>
  <c r="B161" i="43"/>
  <c r="C161" i="43"/>
  <c r="D161" i="43" s="1"/>
  <c r="B162" i="43"/>
  <c r="C162" i="43"/>
  <c r="E162" i="43" s="1"/>
  <c r="B163" i="43"/>
  <c r="C163" i="43"/>
  <c r="B164" i="43"/>
  <c r="C164" i="43"/>
  <c r="E164" i="43" s="1"/>
  <c r="B165" i="43"/>
  <c r="C165" i="43"/>
  <c r="E165" i="43" s="1"/>
  <c r="B166" i="43"/>
  <c r="C166" i="43"/>
  <c r="E166" i="43" s="1"/>
  <c r="B169" i="43"/>
  <c r="C169" i="43"/>
  <c r="B170" i="43"/>
  <c r="C170" i="43"/>
  <c r="B160" i="42"/>
  <c r="C160" i="42"/>
  <c r="B161" i="42"/>
  <c r="C161" i="42"/>
  <c r="D161" i="42" s="1"/>
  <c r="B162" i="42"/>
  <c r="C162" i="42"/>
  <c r="B163" i="42"/>
  <c r="C163" i="42"/>
  <c r="B164" i="42"/>
  <c r="C164" i="42"/>
  <c r="E164" i="42" s="1"/>
  <c r="B165" i="42"/>
  <c r="C165" i="42"/>
  <c r="E165" i="42" s="1"/>
  <c r="B166" i="42"/>
  <c r="C166" i="42"/>
  <c r="E166" i="42" s="1"/>
  <c r="B169" i="42"/>
  <c r="C169" i="42"/>
  <c r="B170" i="42"/>
  <c r="C170" i="42"/>
  <c r="B160" i="41"/>
  <c r="C160" i="41"/>
  <c r="E160" i="41" s="1"/>
  <c r="B161" i="41"/>
  <c r="C161" i="41"/>
  <c r="D161" i="41" s="1"/>
  <c r="B162" i="41"/>
  <c r="C162" i="41"/>
  <c r="E162" i="41" s="1"/>
  <c r="B163" i="41"/>
  <c r="C163" i="41"/>
  <c r="B164" i="41"/>
  <c r="C164" i="41"/>
  <c r="E164" i="41"/>
  <c r="B165" i="41"/>
  <c r="C165" i="41"/>
  <c r="E165" i="41" s="1"/>
  <c r="B166" i="41"/>
  <c r="C166" i="41"/>
  <c r="B169" i="41"/>
  <c r="C169" i="41"/>
  <c r="B170" i="41"/>
  <c r="C170" i="41"/>
  <c r="B160" i="40"/>
  <c r="C160" i="40"/>
  <c r="E160" i="40" s="1"/>
  <c r="B161" i="40"/>
  <c r="C161" i="40"/>
  <c r="D161" i="40" s="1"/>
  <c r="B162" i="40"/>
  <c r="C162" i="40"/>
  <c r="E162" i="40" s="1"/>
  <c r="B163" i="40"/>
  <c r="C163" i="40"/>
  <c r="B164" i="40"/>
  <c r="C164" i="40"/>
  <c r="E164" i="40" s="1"/>
  <c r="B165" i="40"/>
  <c r="C165" i="40"/>
  <c r="E165" i="40" s="1"/>
  <c r="B166" i="40"/>
  <c r="C166" i="40"/>
  <c r="B169" i="40"/>
  <c r="C169" i="40"/>
  <c r="B170" i="40"/>
  <c r="C170" i="40"/>
  <c r="B160" i="39"/>
  <c r="C160" i="39"/>
  <c r="B161" i="39"/>
  <c r="C161" i="39"/>
  <c r="D161" i="39" s="1"/>
  <c r="B162" i="39"/>
  <c r="C162" i="39"/>
  <c r="E162" i="39" s="1"/>
  <c r="B163" i="39"/>
  <c r="C163" i="39"/>
  <c r="B164" i="39"/>
  <c r="C164" i="39"/>
  <c r="E164" i="39" s="1"/>
  <c r="B165" i="39"/>
  <c r="C165" i="39"/>
  <c r="E165" i="39" s="1"/>
  <c r="B166" i="39"/>
  <c r="C166" i="39"/>
  <c r="E166" i="39" s="1"/>
  <c r="B169" i="39"/>
  <c r="C169" i="39"/>
  <c r="B170" i="39"/>
  <c r="C170" i="39"/>
  <c r="B162" i="38"/>
  <c r="C162" i="38"/>
  <c r="E162" i="38" s="1"/>
  <c r="B163" i="38"/>
  <c r="C163" i="38"/>
  <c r="D163" i="38" s="1"/>
  <c r="B164" i="38"/>
  <c r="C164" i="38"/>
  <c r="B165" i="38"/>
  <c r="C165" i="38"/>
  <c r="E165" i="38" s="1"/>
  <c r="B166" i="38"/>
  <c r="C166" i="38"/>
  <c r="E166" i="38" s="1"/>
  <c r="B167" i="38"/>
  <c r="C167" i="38"/>
  <c r="E167" i="38" s="1"/>
  <c r="B168" i="38"/>
  <c r="C168" i="38"/>
  <c r="B171" i="38"/>
  <c r="C171" i="38"/>
  <c r="B172" i="38"/>
  <c r="C172" i="38"/>
  <c r="B162" i="50"/>
  <c r="C162" i="50"/>
  <c r="E162" i="50" s="1"/>
  <c r="B163" i="50"/>
  <c r="C163" i="50"/>
  <c r="D163" i="50" s="1"/>
  <c r="B164" i="50"/>
  <c r="C164" i="50"/>
  <c r="B165" i="50"/>
  <c r="C165" i="50"/>
  <c r="E165" i="50" s="1"/>
  <c r="B166" i="50"/>
  <c r="C166" i="50"/>
  <c r="E166" i="50"/>
  <c r="B167" i="50"/>
  <c r="C167" i="50"/>
  <c r="E167" i="50"/>
  <c r="B162" i="37"/>
  <c r="C162" i="37"/>
  <c r="B163" i="37"/>
  <c r="C163" i="37"/>
  <c r="D163" i="37" s="1"/>
  <c r="B164" i="37"/>
  <c r="C164" i="37"/>
  <c r="B165" i="37"/>
  <c r="C165" i="37"/>
  <c r="B166" i="37"/>
  <c r="C166" i="37"/>
  <c r="E166" i="37" s="1"/>
  <c r="B167" i="37"/>
  <c r="C167" i="37"/>
  <c r="E167" i="37" s="1"/>
  <c r="B168" i="37"/>
  <c r="C168" i="37"/>
  <c r="E168" i="37"/>
  <c r="B171" i="37"/>
  <c r="C171" i="37"/>
  <c r="B172" i="37"/>
  <c r="C172" i="37"/>
  <c r="B162" i="35"/>
  <c r="C162" i="35"/>
  <c r="B163" i="35"/>
  <c r="C163" i="35"/>
  <c r="D163" i="35" s="1"/>
  <c r="B164" i="35"/>
  <c r="C164" i="35"/>
  <c r="E164" i="35" s="1"/>
  <c r="B165" i="35"/>
  <c r="C165" i="35"/>
  <c r="B166" i="35"/>
  <c r="C166" i="35"/>
  <c r="E166" i="35" s="1"/>
  <c r="B167" i="35"/>
  <c r="C167" i="35"/>
  <c r="E167" i="35"/>
  <c r="B170" i="35"/>
  <c r="C170" i="35"/>
  <c r="B171" i="35"/>
  <c r="C171" i="35"/>
  <c r="B162" i="34"/>
  <c r="C162" i="34"/>
  <c r="E162" i="34" s="1"/>
  <c r="B163" i="34"/>
  <c r="C163" i="34"/>
  <c r="D163" i="34" s="1"/>
  <c r="B164" i="34"/>
  <c r="C164" i="34"/>
  <c r="B165" i="34"/>
  <c r="C165" i="34"/>
  <c r="E165" i="34" s="1"/>
  <c r="B166" i="34"/>
  <c r="C166" i="34"/>
  <c r="B167" i="34"/>
  <c r="C167" i="34"/>
  <c r="B168" i="34"/>
  <c r="C168" i="34"/>
  <c r="E168" i="34" s="1"/>
  <c r="B171" i="34"/>
  <c r="C171" i="34"/>
  <c r="B172" i="34"/>
  <c r="C172" i="34"/>
  <c r="B162" i="33"/>
  <c r="C162" i="33"/>
  <c r="B163" i="33"/>
  <c r="C163" i="33"/>
  <c r="D163" i="33" s="1"/>
  <c r="B164" i="33"/>
  <c r="C164" i="33"/>
  <c r="E164" i="33" s="1"/>
  <c r="B165" i="33"/>
  <c r="C165" i="33"/>
  <c r="B166" i="33"/>
  <c r="C166" i="33"/>
  <c r="E166" i="33" s="1"/>
  <c r="B167" i="33"/>
  <c r="C167" i="33"/>
  <c r="E167" i="33" s="1"/>
  <c r="B168" i="33"/>
  <c r="C168" i="33"/>
  <c r="E168" i="33"/>
  <c r="B171" i="33"/>
  <c r="C171" i="33"/>
  <c r="B172" i="33"/>
  <c r="C172" i="33"/>
  <c r="B162" i="32"/>
  <c r="C162" i="32"/>
  <c r="E162" i="32" s="1"/>
  <c r="B163" i="32"/>
  <c r="C163" i="32"/>
  <c r="D163" i="32" s="1"/>
  <c r="B164" i="32"/>
  <c r="C164" i="32"/>
  <c r="B165" i="32"/>
  <c r="C165" i="32"/>
  <c r="E165" i="32"/>
  <c r="B166" i="32"/>
  <c r="C166" i="32"/>
  <c r="B167" i="32"/>
  <c r="C167" i="32"/>
  <c r="B168" i="32"/>
  <c r="C168" i="32"/>
  <c r="B171" i="32"/>
  <c r="C171" i="32"/>
  <c r="B172" i="32"/>
  <c r="C172" i="32"/>
  <c r="E160" i="42" l="1"/>
  <c r="E161" i="45"/>
  <c r="E160" i="45"/>
  <c r="E163" i="44"/>
  <c r="E163" i="38"/>
  <c r="E168" i="32"/>
  <c r="E166" i="34"/>
  <c r="E165" i="49"/>
  <c r="E160" i="49"/>
  <c r="E161" i="49"/>
  <c r="E165" i="48"/>
  <c r="E161" i="48"/>
  <c r="E165" i="53"/>
  <c r="E160" i="53"/>
  <c r="E161" i="53"/>
  <c r="E166" i="46"/>
  <c r="E161" i="46"/>
  <c r="E163" i="46"/>
  <c r="E166" i="45"/>
  <c r="E163" i="45"/>
  <c r="E165" i="44"/>
  <c r="E160" i="44"/>
  <c r="E161" i="44"/>
  <c r="E162" i="44"/>
  <c r="E160" i="43"/>
  <c r="E161" i="43"/>
  <c r="E163" i="43"/>
  <c r="E161" i="42"/>
  <c r="E162" i="42"/>
  <c r="E163" i="42"/>
  <c r="E166" i="41"/>
  <c r="E161" i="41"/>
  <c r="E163" i="41"/>
  <c r="E166" i="40"/>
  <c r="E161" i="40"/>
  <c r="E163" i="40"/>
  <c r="E160" i="39"/>
  <c r="E161" i="39"/>
  <c r="E163" i="39"/>
  <c r="E168" i="38"/>
  <c r="E164" i="38"/>
  <c r="E163" i="50"/>
  <c r="E164" i="50"/>
  <c r="E162" i="37"/>
  <c r="E163" i="37"/>
  <c r="E164" i="37"/>
  <c r="E165" i="37"/>
  <c r="E162" i="35"/>
  <c r="E163" i="35"/>
  <c r="E165" i="35"/>
  <c r="E167" i="34"/>
  <c r="E163" i="34"/>
  <c r="E164" i="34"/>
  <c r="E162" i="33"/>
  <c r="E163" i="33"/>
  <c r="E165" i="33"/>
  <c r="E166" i="32"/>
  <c r="E167" i="32"/>
  <c r="E163" i="32"/>
  <c r="E164" i="32"/>
  <c r="B162" i="29" l="1"/>
  <c r="C162" i="29"/>
  <c r="B163" i="29"/>
  <c r="C163" i="29"/>
  <c r="D163" i="29" s="1"/>
  <c r="B164" i="29"/>
  <c r="C164" i="29"/>
  <c r="B165" i="29"/>
  <c r="C165" i="29"/>
  <c r="B166" i="29"/>
  <c r="C166" i="29"/>
  <c r="E166" i="29"/>
  <c r="B167" i="29"/>
  <c r="C167" i="29"/>
  <c r="E167" i="29" s="1"/>
  <c r="B168" i="29"/>
  <c r="C168" i="29"/>
  <c r="B171" i="29"/>
  <c r="C171" i="29"/>
  <c r="B172" i="29"/>
  <c r="C172" i="29"/>
  <c r="B162" i="28"/>
  <c r="C162" i="28"/>
  <c r="E162" i="28"/>
  <c r="B163" i="28"/>
  <c r="C163" i="28"/>
  <c r="D163" i="28" s="1"/>
  <c r="B164" i="28"/>
  <c r="C164" i="28"/>
  <c r="E164" i="28"/>
  <c r="B165" i="28"/>
  <c r="C165" i="28"/>
  <c r="B166" i="28"/>
  <c r="C166" i="28"/>
  <c r="E166" i="28" s="1"/>
  <c r="B167" i="28"/>
  <c r="C167" i="28"/>
  <c r="E167" i="28" s="1"/>
  <c r="B170" i="28"/>
  <c r="C170" i="28"/>
  <c r="B171" i="28"/>
  <c r="C171" i="28"/>
  <c r="B162" i="26"/>
  <c r="C162" i="26"/>
  <c r="B163" i="26"/>
  <c r="C163" i="26"/>
  <c r="E163" i="26" s="1"/>
  <c r="B164" i="26"/>
  <c r="C164" i="26"/>
  <c r="E164" i="26" s="1"/>
  <c r="B165" i="26"/>
  <c r="C165" i="26"/>
  <c r="E165" i="26" s="1"/>
  <c r="B166" i="26"/>
  <c r="C166" i="26"/>
  <c r="B162" i="25"/>
  <c r="C162" i="25"/>
  <c r="B163" i="25"/>
  <c r="C163" i="25"/>
  <c r="D163" i="25" s="1"/>
  <c r="B164" i="25"/>
  <c r="C164" i="25"/>
  <c r="B165" i="25"/>
  <c r="C165" i="25"/>
  <c r="B166" i="25"/>
  <c r="C166" i="25"/>
  <c r="E166" i="25" s="1"/>
  <c r="B162" i="24"/>
  <c r="C162" i="24"/>
  <c r="B163" i="24"/>
  <c r="C163" i="24"/>
  <c r="D163" i="24" s="1"/>
  <c r="B164" i="24"/>
  <c r="C164" i="24"/>
  <c r="E164" i="24" s="1"/>
  <c r="B165" i="24"/>
  <c r="C165" i="24"/>
  <c r="B166" i="24"/>
  <c r="C166" i="24"/>
  <c r="E166" i="24" s="1"/>
  <c r="B167" i="24"/>
  <c r="C167" i="24"/>
  <c r="E167" i="24" s="1"/>
  <c r="B170" i="24"/>
  <c r="C170" i="24"/>
  <c r="B171" i="24"/>
  <c r="C171" i="24"/>
  <c r="B162" i="51"/>
  <c r="C162" i="51"/>
  <c r="E162" i="51"/>
  <c r="B163" i="51"/>
  <c r="C163" i="51"/>
  <c r="D163" i="51" s="1"/>
  <c r="B164" i="51"/>
  <c r="C164" i="51"/>
  <c r="B165" i="51"/>
  <c r="C165" i="51"/>
  <c r="B166" i="51"/>
  <c r="C166" i="51"/>
  <c r="E166" i="51" s="1"/>
  <c r="B167" i="51"/>
  <c r="C167" i="51"/>
  <c r="B171" i="51"/>
  <c r="C171" i="51"/>
  <c r="B162" i="52"/>
  <c r="C162" i="52"/>
  <c r="E162" i="52" s="1"/>
  <c r="B163" i="52"/>
  <c r="C163" i="52"/>
  <c r="D163" i="52" s="1"/>
  <c r="B164" i="52"/>
  <c r="C164" i="52"/>
  <c r="B165" i="52"/>
  <c r="C165" i="52"/>
  <c r="E165" i="52" s="1"/>
  <c r="B166" i="52"/>
  <c r="C166" i="52"/>
  <c r="E166" i="52" s="1"/>
  <c r="B167" i="52"/>
  <c r="C167" i="52"/>
  <c r="E167" i="52"/>
  <c r="B168" i="52"/>
  <c r="C168" i="52"/>
  <c r="B172" i="52"/>
  <c r="C172" i="52"/>
  <c r="B173" i="52"/>
  <c r="C173" i="52"/>
  <c r="B174" i="52"/>
  <c r="C174" i="52"/>
  <c r="B162" i="22"/>
  <c r="C162" i="22"/>
  <c r="E162" i="22" s="1"/>
  <c r="B163" i="22"/>
  <c r="C163" i="22"/>
  <c r="B164" i="22"/>
  <c r="C164" i="22"/>
  <c r="B165" i="22"/>
  <c r="C165" i="22"/>
  <c r="B166" i="22"/>
  <c r="C166" i="22"/>
  <c r="E166" i="22" s="1"/>
  <c r="B167" i="22"/>
  <c r="C167" i="22"/>
  <c r="E167" i="22" s="1"/>
  <c r="B168" i="22"/>
  <c r="C168" i="22"/>
  <c r="E168" i="22" s="1"/>
  <c r="B171" i="22"/>
  <c r="C171" i="22"/>
  <c r="B172" i="22"/>
  <c r="C172" i="22"/>
  <c r="B161" i="22"/>
  <c r="B162" i="21"/>
  <c r="C162" i="21"/>
  <c r="B163" i="21"/>
  <c r="C163" i="21"/>
  <c r="D163" i="21" s="1"/>
  <c r="B164" i="21"/>
  <c r="C164" i="21"/>
  <c r="E164" i="21" s="1"/>
  <c r="B165" i="21"/>
  <c r="C165" i="21"/>
  <c r="B166" i="21"/>
  <c r="C166" i="21"/>
  <c r="E166" i="21" s="1"/>
  <c r="B167" i="21"/>
  <c r="C167" i="21"/>
  <c r="E167" i="21" s="1"/>
  <c r="B170" i="21"/>
  <c r="C170" i="21"/>
  <c r="B171" i="21"/>
  <c r="C171" i="21"/>
  <c r="B162" i="19"/>
  <c r="C162" i="19"/>
  <c r="E162" i="19"/>
  <c r="B163" i="19"/>
  <c r="C163" i="19"/>
  <c r="D163" i="19" s="1"/>
  <c r="B164" i="19"/>
  <c r="C164" i="19"/>
  <c r="E164" i="19" s="1"/>
  <c r="B165" i="19"/>
  <c r="C165" i="19"/>
  <c r="B166" i="19"/>
  <c r="C166" i="19"/>
  <c r="E166" i="19" s="1"/>
  <c r="B167" i="19"/>
  <c r="C167" i="19"/>
  <c r="E167" i="19"/>
  <c r="B162" i="18"/>
  <c r="C162" i="18"/>
  <c r="B163" i="18"/>
  <c r="C163" i="18"/>
  <c r="D163" i="18" s="1"/>
  <c r="B164" i="18"/>
  <c r="C164" i="18"/>
  <c r="E164" i="18" s="1"/>
  <c r="B165" i="18"/>
  <c r="C165" i="18"/>
  <c r="B166" i="18"/>
  <c r="C166" i="18"/>
  <c r="E166" i="18" s="1"/>
  <c r="B167" i="18"/>
  <c r="C167" i="18"/>
  <c r="E167" i="18"/>
  <c r="B161" i="18"/>
  <c r="B162" i="17"/>
  <c r="C162" i="17"/>
  <c r="B163" i="17"/>
  <c r="C163" i="17"/>
  <c r="D163" i="17" s="1"/>
  <c r="B164" i="17"/>
  <c r="C164" i="17"/>
  <c r="B165" i="17"/>
  <c r="C165" i="17"/>
  <c r="E165" i="17" s="1"/>
  <c r="B166" i="17"/>
  <c r="C166" i="17"/>
  <c r="E166" i="17" s="1"/>
  <c r="B167" i="17"/>
  <c r="C167" i="17"/>
  <c r="B170" i="17"/>
  <c r="C170" i="17"/>
  <c r="B171" i="17"/>
  <c r="C171" i="17"/>
  <c r="B161" i="17"/>
  <c r="B162" i="15"/>
  <c r="C162" i="15"/>
  <c r="B163" i="15"/>
  <c r="C163" i="15"/>
  <c r="D163" i="15" s="1"/>
  <c r="B164" i="15"/>
  <c r="C164" i="15"/>
  <c r="B165" i="15"/>
  <c r="C165" i="15"/>
  <c r="E165" i="15" s="1"/>
  <c r="B166" i="15"/>
  <c r="C166" i="15"/>
  <c r="E166" i="15" s="1"/>
  <c r="B167" i="15"/>
  <c r="C167" i="15"/>
  <c r="B168" i="15"/>
  <c r="C168" i="15"/>
  <c r="E168" i="15" s="1"/>
  <c r="B171" i="15"/>
  <c r="C171" i="15"/>
  <c r="B172" i="15"/>
  <c r="C172" i="15"/>
  <c r="B161" i="15"/>
  <c r="B162" i="14"/>
  <c r="C162" i="14"/>
  <c r="E162" i="14" s="1"/>
  <c r="B163" i="14"/>
  <c r="C163" i="14"/>
  <c r="D163" i="14" s="1"/>
  <c r="E163" i="14"/>
  <c r="B164" i="14"/>
  <c r="C164" i="14"/>
  <c r="E164" i="14" s="1"/>
  <c r="B165" i="14"/>
  <c r="C165" i="14"/>
  <c r="E165" i="14"/>
  <c r="B166" i="14"/>
  <c r="C166" i="14"/>
  <c r="E166" i="14" s="1"/>
  <c r="B167" i="14"/>
  <c r="C167" i="14"/>
  <c r="B168" i="14"/>
  <c r="C168" i="14"/>
  <c r="E168" i="14"/>
  <c r="B171" i="14"/>
  <c r="C171" i="14"/>
  <c r="B172" i="14"/>
  <c r="C172" i="14"/>
  <c r="B161" i="14"/>
  <c r="B165" i="13"/>
  <c r="B164" i="13"/>
  <c r="B163" i="13"/>
  <c r="B162" i="13"/>
  <c r="B161" i="13"/>
  <c r="C162" i="13"/>
  <c r="E162" i="13"/>
  <c r="C163" i="13"/>
  <c r="D163" i="13" s="1"/>
  <c r="C164" i="13"/>
  <c r="E164" i="13"/>
  <c r="C165" i="13"/>
  <c r="B166" i="13"/>
  <c r="C166" i="13"/>
  <c r="E166" i="13" s="1"/>
  <c r="B167" i="13"/>
  <c r="C167" i="13"/>
  <c r="E167" i="13" s="1"/>
  <c r="B170" i="13"/>
  <c r="C170" i="13"/>
  <c r="B171" i="13"/>
  <c r="C171" i="13"/>
  <c r="B162" i="11"/>
  <c r="C162" i="11"/>
  <c r="B163" i="11"/>
  <c r="C163" i="11"/>
  <c r="D163" i="11" s="1"/>
  <c r="B164" i="11"/>
  <c r="C164" i="11"/>
  <c r="E164" i="11"/>
  <c r="B165" i="11"/>
  <c r="C165" i="11"/>
  <c r="B166" i="11"/>
  <c r="C166" i="11"/>
  <c r="E166" i="11" s="1"/>
  <c r="B161" i="11"/>
  <c r="B162" i="10"/>
  <c r="C162" i="10"/>
  <c r="E162" i="10" s="1"/>
  <c r="B163" i="10"/>
  <c r="C163" i="10"/>
  <c r="D163" i="10" s="1"/>
  <c r="B164" i="10"/>
  <c r="C164" i="10"/>
  <c r="B165" i="10"/>
  <c r="C165" i="10"/>
  <c r="B166" i="10"/>
  <c r="C166" i="10"/>
  <c r="E166" i="10" s="1"/>
  <c r="B167" i="10"/>
  <c r="C167" i="10"/>
  <c r="B170" i="10"/>
  <c r="C170" i="10"/>
  <c r="B171" i="10"/>
  <c r="C171" i="10"/>
  <c r="B161" i="10"/>
  <c r="B163" i="8"/>
  <c r="C163" i="8"/>
  <c r="E163" i="8" s="1"/>
  <c r="B164" i="8"/>
  <c r="C164" i="8"/>
  <c r="D164" i="8" s="1"/>
  <c r="B165" i="8"/>
  <c r="C165" i="8"/>
  <c r="E165" i="8" s="1"/>
  <c r="B166" i="8"/>
  <c r="C166" i="8"/>
  <c r="B167" i="8"/>
  <c r="C167" i="8"/>
  <c r="E167" i="8" s="1"/>
  <c r="B168" i="8"/>
  <c r="C168" i="8"/>
  <c r="E168" i="8" s="1"/>
  <c r="B171" i="8"/>
  <c r="C171" i="8"/>
  <c r="B172" i="8"/>
  <c r="C172" i="8"/>
  <c r="B162" i="8"/>
  <c r="B161" i="7"/>
  <c r="C161" i="7"/>
  <c r="E161" i="7" s="1"/>
  <c r="B162" i="7"/>
  <c r="C162" i="7"/>
  <c r="D162" i="7" s="1"/>
  <c r="E162" i="7"/>
  <c r="B163" i="7"/>
  <c r="C163" i="7"/>
  <c r="E163" i="7" s="1"/>
  <c r="B164" i="7"/>
  <c r="C164" i="7"/>
  <c r="E164" i="7" s="1"/>
  <c r="B165" i="7"/>
  <c r="C165" i="7"/>
  <c r="E165" i="7" s="1"/>
  <c r="B166" i="7"/>
  <c r="C166" i="7"/>
  <c r="E166" i="7"/>
  <c r="B160" i="7"/>
  <c r="B159" i="7"/>
  <c r="B158" i="7"/>
  <c r="B157" i="7"/>
  <c r="B156" i="7"/>
  <c r="B155" i="7"/>
  <c r="B166" i="6"/>
  <c r="C166" i="6"/>
  <c r="B167" i="6"/>
  <c r="C167" i="6"/>
  <c r="E167" i="6" s="1"/>
  <c r="D167" i="6"/>
  <c r="B168" i="6"/>
  <c r="C168" i="6"/>
  <c r="E168" i="6" s="1"/>
  <c r="B169" i="6"/>
  <c r="C169" i="6"/>
  <c r="B170" i="6"/>
  <c r="C170" i="6"/>
  <c r="E170" i="6" s="1"/>
  <c r="B171" i="6"/>
  <c r="C171" i="6"/>
  <c r="E171" i="6" s="1"/>
  <c r="B161" i="6"/>
  <c r="B162" i="6"/>
  <c r="B163" i="6"/>
  <c r="B164" i="6"/>
  <c r="B165" i="6"/>
  <c r="B160" i="6"/>
  <c r="C160" i="5"/>
  <c r="B161" i="5"/>
  <c r="B162" i="5"/>
  <c r="B163" i="5"/>
  <c r="B164" i="5"/>
  <c r="B165" i="5"/>
  <c r="B166" i="5"/>
  <c r="B167" i="5"/>
  <c r="B168" i="5"/>
  <c r="B169" i="5"/>
  <c r="B170" i="5"/>
  <c r="C166" i="5"/>
  <c r="E166" i="5" s="1"/>
  <c r="C167" i="5"/>
  <c r="D167" i="5" s="1"/>
  <c r="E167" i="5"/>
  <c r="C168" i="5"/>
  <c r="E168" i="5" s="1"/>
  <c r="C169" i="5"/>
  <c r="E169" i="5" s="1"/>
  <c r="C170" i="5"/>
  <c r="E170" i="5" s="1"/>
  <c r="B166" i="1"/>
  <c r="C166" i="1"/>
  <c r="E166" i="1" s="1"/>
  <c r="B167" i="1"/>
  <c r="C167" i="1"/>
  <c r="D167" i="1" s="1"/>
  <c r="B168" i="1"/>
  <c r="C168" i="1"/>
  <c r="E168" i="1" s="1"/>
  <c r="B169" i="1"/>
  <c r="C169" i="1"/>
  <c r="B170" i="1"/>
  <c r="C170" i="1"/>
  <c r="E170" i="1" s="1"/>
  <c r="D163" i="26" l="1"/>
  <c r="E162" i="11"/>
  <c r="E168" i="29"/>
  <c r="E164" i="8"/>
  <c r="E163" i="10"/>
  <c r="D163" i="22"/>
  <c r="E162" i="29"/>
  <c r="E163" i="29"/>
  <c r="E164" i="29"/>
  <c r="E165" i="29"/>
  <c r="E163" i="28"/>
  <c r="E165" i="28"/>
  <c r="E166" i="26"/>
  <c r="E162" i="26"/>
  <c r="F162" i="25"/>
  <c r="E162" i="25"/>
  <c r="E163" i="25"/>
  <c r="E164" i="25"/>
  <c r="E165" i="25"/>
  <c r="E162" i="24"/>
  <c r="E163" i="24"/>
  <c r="E165" i="24"/>
  <c r="E167" i="51"/>
  <c r="E163" i="51"/>
  <c r="E164" i="51"/>
  <c r="E165" i="51"/>
  <c r="E168" i="52"/>
  <c r="E163" i="52"/>
  <c r="E164" i="52"/>
  <c r="E163" i="22"/>
  <c r="E164" i="22"/>
  <c r="E165" i="22"/>
  <c r="E162" i="21"/>
  <c r="E163" i="21"/>
  <c r="E165" i="21"/>
  <c r="E163" i="19"/>
  <c r="E165" i="19"/>
  <c r="E162" i="18"/>
  <c r="E163" i="18"/>
  <c r="E165" i="18"/>
  <c r="E167" i="17"/>
  <c r="E162" i="17"/>
  <c r="E163" i="17"/>
  <c r="E164" i="17"/>
  <c r="E167" i="15"/>
  <c r="E162" i="15"/>
  <c r="E163" i="15"/>
  <c r="E164" i="15"/>
  <c r="E167" i="14"/>
  <c r="E163" i="13"/>
  <c r="E165" i="13"/>
  <c r="E163" i="11"/>
  <c r="E165" i="11"/>
  <c r="E167" i="10"/>
  <c r="E164" i="10"/>
  <c r="E165" i="10"/>
  <c r="E166" i="8"/>
  <c r="E166" i="6"/>
  <c r="E169" i="6"/>
  <c r="E167" i="1"/>
  <c r="E169" i="1"/>
  <c r="A147" i="1"/>
  <c r="A148" i="1"/>
  <c r="A149" i="1"/>
  <c r="A150" i="1"/>
  <c r="A151" i="1"/>
  <c r="A152" i="1"/>
  <c r="A153" i="1"/>
  <c r="A154" i="1"/>
  <c r="A155" i="1"/>
  <c r="A156" i="1"/>
  <c r="I140" i="1"/>
  <c r="F166" i="1" s="1"/>
  <c r="J140" i="1"/>
  <c r="G166" i="1" s="1"/>
  <c r="A147" i="5"/>
  <c r="A148" i="5"/>
  <c r="A149" i="5"/>
  <c r="A150" i="5"/>
  <c r="A151" i="5"/>
  <c r="A152" i="5"/>
  <c r="A153" i="5"/>
  <c r="A154" i="5"/>
  <c r="A155" i="5"/>
  <c r="A156" i="5"/>
  <c r="I140" i="5"/>
  <c r="F166" i="5" s="1"/>
  <c r="J140" i="5"/>
  <c r="G166" i="5" s="1"/>
  <c r="A148" i="6"/>
  <c r="A149" i="6"/>
  <c r="A150" i="6"/>
  <c r="A151" i="6"/>
  <c r="A152" i="6"/>
  <c r="A153" i="6"/>
  <c r="A154" i="6"/>
  <c r="A155" i="6"/>
  <c r="A156" i="6"/>
  <c r="I140" i="6"/>
  <c r="F166" i="6" s="1"/>
  <c r="J140" i="6"/>
  <c r="G166" i="6" s="1"/>
  <c r="A148" i="7"/>
  <c r="A149" i="7"/>
  <c r="A150" i="7"/>
  <c r="A151" i="7"/>
  <c r="I140" i="7"/>
  <c r="F161" i="7" s="1"/>
  <c r="J140" i="7"/>
  <c r="G161" i="7" s="1"/>
  <c r="A150" i="8"/>
  <c r="A151" i="8"/>
  <c r="A152" i="8"/>
  <c r="A153" i="8"/>
  <c r="A154" i="8"/>
  <c r="I140" i="8"/>
  <c r="F163" i="8" s="1"/>
  <c r="J140" i="8"/>
  <c r="G163" i="8" s="1"/>
  <c r="A150" i="51"/>
  <c r="A151" i="51"/>
  <c r="A152" i="51"/>
  <c r="J140" i="51"/>
  <c r="G162" i="51" s="1"/>
  <c r="A150" i="10"/>
  <c r="A151" i="10"/>
  <c r="A152" i="10"/>
  <c r="I140" i="10"/>
  <c r="F162" i="10" s="1"/>
  <c r="J140" i="10"/>
  <c r="G162" i="10" s="1"/>
  <c r="A147" i="11"/>
  <c r="A148" i="11"/>
  <c r="A149" i="11"/>
  <c r="A150" i="11"/>
  <c r="A151" i="11"/>
  <c r="A152" i="11"/>
  <c r="I140" i="11"/>
  <c r="F162" i="11" s="1"/>
  <c r="K162" i="11" s="1"/>
  <c r="I162" i="11" s="1"/>
  <c r="J140" i="11"/>
  <c r="G162" i="11" s="1"/>
  <c r="A150" i="13"/>
  <c r="A151" i="13"/>
  <c r="A152" i="13"/>
  <c r="I140" i="13"/>
  <c r="F162" i="13" s="1"/>
  <c r="J140" i="13"/>
  <c r="G162" i="13" s="1"/>
  <c r="A151" i="14"/>
  <c r="A152" i="14"/>
  <c r="I140" i="14"/>
  <c r="F162" i="14" s="1"/>
  <c r="J140" i="14"/>
  <c r="G162" i="14" s="1"/>
  <c r="A151" i="15"/>
  <c r="A152" i="15"/>
  <c r="I140" i="15"/>
  <c r="F162" i="15" s="1"/>
  <c r="J140" i="15"/>
  <c r="G162" i="15" s="1"/>
  <c r="A150" i="17"/>
  <c r="A151" i="17"/>
  <c r="A152" i="17"/>
  <c r="I140" i="17"/>
  <c r="F162" i="17" s="1"/>
  <c r="J140" i="17"/>
  <c r="G162" i="17" s="1"/>
  <c r="A148" i="18"/>
  <c r="A149" i="18"/>
  <c r="A150" i="18"/>
  <c r="A151" i="18"/>
  <c r="A152" i="18"/>
  <c r="I140" i="18"/>
  <c r="F162" i="18" s="1"/>
  <c r="J140" i="18"/>
  <c r="G162" i="18" s="1"/>
  <c r="A148" i="19"/>
  <c r="A149" i="19"/>
  <c r="A150" i="19"/>
  <c r="A151" i="19"/>
  <c r="A152" i="19"/>
  <c r="I140" i="19"/>
  <c r="F162" i="19" s="1"/>
  <c r="J140" i="19"/>
  <c r="G162" i="19" s="1"/>
  <c r="A150" i="21"/>
  <c r="A151" i="21"/>
  <c r="A152" i="21"/>
  <c r="I140" i="21"/>
  <c r="F162" i="21" s="1"/>
  <c r="J140" i="21"/>
  <c r="G162" i="21" s="1"/>
  <c r="A151" i="22"/>
  <c r="A152" i="22"/>
  <c r="I140" i="22"/>
  <c r="F162" i="22" s="1"/>
  <c r="J140" i="22"/>
  <c r="G162" i="22" s="1"/>
  <c r="I140" i="52"/>
  <c r="F162" i="52" s="1"/>
  <c r="J140" i="52"/>
  <c r="G162" i="52" s="1"/>
  <c r="A150" i="24"/>
  <c r="A151" i="24"/>
  <c r="A152" i="24"/>
  <c r="I140" i="24"/>
  <c r="F162" i="24" s="1"/>
  <c r="J140" i="24"/>
  <c r="G162" i="24" s="1"/>
  <c r="A147" i="25"/>
  <c r="A148" i="25"/>
  <c r="A149" i="25"/>
  <c r="A150" i="25"/>
  <c r="A151" i="25"/>
  <c r="A152" i="25"/>
  <c r="I140" i="25"/>
  <c r="J140" i="25"/>
  <c r="G162" i="25" s="1"/>
  <c r="A147" i="26"/>
  <c r="A148" i="26"/>
  <c r="A149" i="26"/>
  <c r="A150" i="26"/>
  <c r="A151" i="26"/>
  <c r="A152" i="26"/>
  <c r="I140" i="26"/>
  <c r="F162" i="26" s="1"/>
  <c r="J140" i="26"/>
  <c r="G162" i="26" s="1"/>
  <c r="A150" i="28"/>
  <c r="A151" i="28"/>
  <c r="A152" i="28"/>
  <c r="I140" i="28"/>
  <c r="F162" i="28" s="1"/>
  <c r="J140" i="28"/>
  <c r="G162" i="28" s="1"/>
  <c r="A151" i="29"/>
  <c r="A152" i="29"/>
  <c r="I140" i="29"/>
  <c r="F162" i="29" s="1"/>
  <c r="J140" i="29"/>
  <c r="G162" i="29" s="1"/>
  <c r="A151" i="32"/>
  <c r="A152" i="32"/>
  <c r="I140" i="32"/>
  <c r="F162" i="32" s="1"/>
  <c r="J140" i="32"/>
  <c r="G162" i="32" s="1"/>
  <c r="A151" i="33"/>
  <c r="A152" i="33"/>
  <c r="I140" i="33"/>
  <c r="F162" i="33" s="1"/>
  <c r="J140" i="33"/>
  <c r="G162" i="33" s="1"/>
  <c r="A151" i="34"/>
  <c r="A152" i="34"/>
  <c r="I140" i="34"/>
  <c r="F162" i="34" s="1"/>
  <c r="J140" i="34"/>
  <c r="G162" i="34" s="1"/>
  <c r="A150" i="35"/>
  <c r="A151" i="35"/>
  <c r="A152" i="35"/>
  <c r="I140" i="35"/>
  <c r="F162" i="35" s="1"/>
  <c r="J140" i="35"/>
  <c r="G162" i="35" s="1"/>
  <c r="A151" i="37"/>
  <c r="A152" i="37"/>
  <c r="I140" i="37"/>
  <c r="F162" i="37" s="1"/>
  <c r="J140" i="37"/>
  <c r="G162" i="37" s="1"/>
  <c r="I141" i="37"/>
  <c r="F163" i="37" s="1"/>
  <c r="J141" i="37"/>
  <c r="G163" i="37" s="1"/>
  <c r="A148" i="50"/>
  <c r="A149" i="50"/>
  <c r="A150" i="50"/>
  <c r="A151" i="50"/>
  <c r="A152" i="50"/>
  <c r="I140" i="50"/>
  <c r="F162" i="50" s="1"/>
  <c r="J140" i="50"/>
  <c r="G162" i="50" s="1"/>
  <c r="A151" i="38"/>
  <c r="A152" i="38"/>
  <c r="I140" i="38"/>
  <c r="F162" i="38" s="1"/>
  <c r="J140" i="38"/>
  <c r="G162" i="38" s="1"/>
  <c r="I140" i="39"/>
  <c r="F160" i="39" s="1"/>
  <c r="J140" i="39"/>
  <c r="G160" i="39" s="1"/>
  <c r="I140" i="40"/>
  <c r="F160" i="40" s="1"/>
  <c r="J140" i="40"/>
  <c r="G160" i="40" s="1"/>
  <c r="I140" i="41"/>
  <c r="F160" i="41" s="1"/>
  <c r="J140" i="41"/>
  <c r="G160" i="41" s="1"/>
  <c r="I140" i="42"/>
  <c r="F160" i="42" s="1"/>
  <c r="J140" i="42"/>
  <c r="G160" i="42" s="1"/>
  <c r="I140" i="43"/>
  <c r="F160" i="43" s="1"/>
  <c r="J140" i="43"/>
  <c r="G160" i="43" s="1"/>
  <c r="I140" i="44"/>
  <c r="F160" i="44" s="1"/>
  <c r="J140" i="44"/>
  <c r="G160" i="44" s="1"/>
  <c r="I140" i="45"/>
  <c r="F160" i="45" s="1"/>
  <c r="J140" i="45"/>
  <c r="G160" i="45" s="1"/>
  <c r="I140" i="46"/>
  <c r="F160" i="46" s="1"/>
  <c r="J140" i="46"/>
  <c r="G160" i="46" s="1"/>
  <c r="I140" i="53"/>
  <c r="F160" i="53" s="1"/>
  <c r="J140" i="53"/>
  <c r="G160" i="53" s="1"/>
  <c r="I140" i="48"/>
  <c r="F160" i="48" s="1"/>
  <c r="J140" i="48"/>
  <c r="G160" i="48" s="1"/>
  <c r="I140" i="49"/>
  <c r="F160" i="49" s="1"/>
  <c r="J140" i="49"/>
  <c r="G160" i="49" s="1"/>
  <c r="A147" i="12" l="1"/>
  <c r="A148" i="12"/>
  <c r="A149" i="12"/>
  <c r="A150" i="12"/>
  <c r="A151" i="12"/>
  <c r="A152" i="12"/>
  <c r="A153" i="12"/>
  <c r="B162" i="12"/>
  <c r="C162" i="12"/>
  <c r="E162" i="12" s="1"/>
  <c r="G162" i="12"/>
  <c r="B163" i="12"/>
  <c r="C163" i="12"/>
  <c r="D163" i="12" s="1"/>
  <c r="B164" i="12"/>
  <c r="C164" i="12"/>
  <c r="B165" i="12"/>
  <c r="C165" i="12"/>
  <c r="B166" i="12"/>
  <c r="C166" i="12"/>
  <c r="E166" i="12" s="1"/>
  <c r="I140" i="12"/>
  <c r="J140" i="12"/>
  <c r="A148" i="9"/>
  <c r="A149" i="9"/>
  <c r="A150" i="9"/>
  <c r="A151" i="9"/>
  <c r="A152" i="9"/>
  <c r="B162" i="9"/>
  <c r="C162" i="9"/>
  <c r="E162" i="9" s="1"/>
  <c r="B163" i="9"/>
  <c r="C163" i="9"/>
  <c r="B164" i="9"/>
  <c r="C164" i="9"/>
  <c r="E164" i="9" s="1"/>
  <c r="B165" i="9"/>
  <c r="C165" i="9"/>
  <c r="E165" i="9" s="1"/>
  <c r="B166" i="9"/>
  <c r="C166" i="9"/>
  <c r="E166" i="9" s="1"/>
  <c r="B167" i="9"/>
  <c r="C167" i="9"/>
  <c r="E167" i="9" s="1"/>
  <c r="B170" i="9"/>
  <c r="C170" i="9"/>
  <c r="I140" i="9"/>
  <c r="F162" i="9" s="1"/>
  <c r="J140" i="9"/>
  <c r="F162" i="12" l="1"/>
  <c r="D163" i="9"/>
  <c r="E163" i="9"/>
  <c r="G162" i="9"/>
  <c r="K162" i="9" s="1"/>
  <c r="I162" i="9" s="1"/>
  <c r="E163" i="12"/>
  <c r="E164" i="12"/>
  <c r="E165" i="12"/>
  <c r="J193" i="53"/>
  <c r="J194" i="53"/>
  <c r="J195" i="53"/>
  <c r="J196" i="53"/>
  <c r="J197" i="53"/>
  <c r="J198" i="53"/>
  <c r="J199" i="53"/>
  <c r="J200" i="53"/>
  <c r="J201" i="53"/>
  <c r="J202" i="53"/>
  <c r="J203" i="53"/>
  <c r="J204" i="53"/>
  <c r="B519" i="49"/>
  <c r="B520" i="48"/>
  <c r="C522" i="51"/>
  <c r="B522" i="51"/>
  <c r="B520" i="33"/>
  <c r="B520" i="35"/>
  <c r="B521" i="40"/>
  <c r="B519" i="41"/>
  <c r="B520" i="42"/>
  <c r="B520" i="43"/>
  <c r="B519" i="44"/>
  <c r="B520" i="45"/>
  <c r="B520" i="46"/>
  <c r="B520" i="53"/>
  <c r="J520" i="53"/>
  <c r="I520" i="53"/>
  <c r="B156" i="53"/>
  <c r="C156" i="53"/>
  <c r="D156" i="53" s="1"/>
  <c r="E156" i="53"/>
  <c r="B157" i="53"/>
  <c r="C157" i="53"/>
  <c r="D157" i="53" s="1"/>
  <c r="B158" i="53"/>
  <c r="C158" i="53"/>
  <c r="E158" i="53" s="1"/>
  <c r="B159" i="53"/>
  <c r="C159" i="53"/>
  <c r="D159" i="53" s="1"/>
  <c r="F159" i="53"/>
  <c r="J148" i="53"/>
  <c r="J149" i="53"/>
  <c r="J150" i="53"/>
  <c r="A198" i="53"/>
  <c r="A199" i="53"/>
  <c r="A200" i="53"/>
  <c r="A201" i="53"/>
  <c r="A202" i="53"/>
  <c r="A203" i="53"/>
  <c r="A204" i="53"/>
  <c r="A190" i="50"/>
  <c r="A191" i="50"/>
  <c r="A192" i="50"/>
  <c r="A193" i="50"/>
  <c r="A194" i="50"/>
  <c r="A195" i="50"/>
  <c r="A196" i="50"/>
  <c r="A197" i="50"/>
  <c r="A198" i="50"/>
  <c r="A199" i="50"/>
  <c r="A200" i="50"/>
  <c r="A201" i="50"/>
  <c r="A202" i="50"/>
  <c r="A203" i="50"/>
  <c r="J526" i="53"/>
  <c r="A524" i="53"/>
  <c r="A523" i="53"/>
  <c r="D520" i="53"/>
  <c r="C520" i="53"/>
  <c r="A520" i="53" s="1"/>
  <c r="A440" i="53"/>
  <c r="A439" i="53"/>
  <c r="J425" i="53"/>
  <c r="J424" i="53"/>
  <c r="J423" i="53"/>
  <c r="J421" i="53"/>
  <c r="A333" i="53"/>
  <c r="A332" i="53"/>
  <c r="J318" i="53"/>
  <c r="J317" i="53"/>
  <c r="J316" i="53"/>
  <c r="J314" i="53"/>
  <c r="J211" i="53"/>
  <c r="J210" i="53"/>
  <c r="J209" i="53"/>
  <c r="J207" i="53"/>
  <c r="J205" i="53"/>
  <c r="A205" i="53"/>
  <c r="J182" i="53"/>
  <c r="I191" i="53"/>
  <c r="G191" i="53"/>
  <c r="F191" i="53"/>
  <c r="E191" i="53"/>
  <c r="D191" i="53"/>
  <c r="C191" i="53"/>
  <c r="B191" i="53"/>
  <c r="I190" i="53"/>
  <c r="G190" i="53"/>
  <c r="F190" i="53"/>
  <c r="E190" i="53"/>
  <c r="D190" i="53"/>
  <c r="C190" i="53"/>
  <c r="B190" i="53"/>
  <c r="I189" i="53"/>
  <c r="G189" i="53"/>
  <c r="F189" i="53"/>
  <c r="E189" i="53"/>
  <c r="D189" i="53"/>
  <c r="C189" i="53"/>
  <c r="B189" i="53"/>
  <c r="I188" i="53"/>
  <c r="G188" i="53"/>
  <c r="F188" i="53"/>
  <c r="E188" i="53"/>
  <c r="D188" i="53"/>
  <c r="C188" i="53"/>
  <c r="B188" i="53"/>
  <c r="J187" i="53"/>
  <c r="J186" i="53"/>
  <c r="J185" i="53"/>
  <c r="J192" i="53"/>
  <c r="J184" i="53"/>
  <c r="J183" i="53"/>
  <c r="J181" i="53"/>
  <c r="J180" i="53"/>
  <c r="J179" i="53"/>
  <c r="J178" i="53"/>
  <c r="J177" i="53"/>
  <c r="J176" i="53"/>
  <c r="J175" i="53"/>
  <c r="J174" i="53"/>
  <c r="J173" i="53"/>
  <c r="A173" i="53"/>
  <c r="A174" i="53" s="1"/>
  <c r="A175" i="53" s="1"/>
  <c r="A176" i="53" s="1"/>
  <c r="A177" i="53" s="1"/>
  <c r="A178" i="53" s="1"/>
  <c r="A179" i="53" s="1"/>
  <c r="A180" i="53" s="1"/>
  <c r="A181" i="53" s="1"/>
  <c r="A182" i="53" s="1"/>
  <c r="A183" i="53" s="1"/>
  <c r="A184" i="53" s="1"/>
  <c r="A185" i="53" s="1"/>
  <c r="A186" i="53" s="1"/>
  <c r="A187" i="53" s="1"/>
  <c r="A188" i="53" s="1"/>
  <c r="A189" i="53" s="1"/>
  <c r="C155" i="53"/>
  <c r="B155" i="53"/>
  <c r="C154" i="53"/>
  <c r="B154" i="53"/>
  <c r="C153" i="53"/>
  <c r="B153" i="53"/>
  <c r="A153" i="53" s="1"/>
  <c r="A154" i="53" s="1"/>
  <c r="A155" i="53" s="1"/>
  <c r="J151" i="53"/>
  <c r="A151" i="53"/>
  <c r="H147" i="53"/>
  <c r="G147" i="53"/>
  <c r="J147" i="53" s="1"/>
  <c r="F147" i="53"/>
  <c r="E147" i="53"/>
  <c r="D147" i="53"/>
  <c r="C147" i="53"/>
  <c r="C167" i="53" s="1"/>
  <c r="B147" i="53"/>
  <c r="B167" i="53" s="1"/>
  <c r="H146" i="53"/>
  <c r="G146" i="53"/>
  <c r="J146" i="53" s="1"/>
  <c r="F146" i="53"/>
  <c r="E146" i="53"/>
  <c r="D146" i="53"/>
  <c r="C146" i="53"/>
  <c r="B146" i="53"/>
  <c r="B166" i="53" s="1"/>
  <c r="J145" i="53"/>
  <c r="G165" i="53" s="1"/>
  <c r="I145" i="53"/>
  <c r="F165" i="53" s="1"/>
  <c r="J144" i="53"/>
  <c r="G164" i="53" s="1"/>
  <c r="I144" i="53"/>
  <c r="F164" i="53" s="1"/>
  <c r="J143" i="53"/>
  <c r="G163" i="53" s="1"/>
  <c r="I143" i="53"/>
  <c r="J142" i="53"/>
  <c r="G162" i="53" s="1"/>
  <c r="I142" i="53"/>
  <c r="F162" i="53" s="1"/>
  <c r="J141" i="53"/>
  <c r="I141" i="53"/>
  <c r="J139" i="53"/>
  <c r="C278" i="53" s="1"/>
  <c r="I139" i="53"/>
  <c r="C277" i="53" s="1"/>
  <c r="W138" i="53"/>
  <c r="V138" i="53"/>
  <c r="J138" i="53"/>
  <c r="G158" i="53" s="1"/>
  <c r="I138" i="53"/>
  <c r="W137" i="53"/>
  <c r="V137" i="53"/>
  <c r="J137" i="53"/>
  <c r="I137" i="53"/>
  <c r="C267" i="53" s="1"/>
  <c r="W136" i="53"/>
  <c r="V136" i="53"/>
  <c r="I147" i="53" s="1"/>
  <c r="J136" i="53"/>
  <c r="C258" i="53" s="1"/>
  <c r="I136" i="53"/>
  <c r="C257" i="53" s="1"/>
  <c r="W135" i="53"/>
  <c r="V135" i="53"/>
  <c r="J135" i="53"/>
  <c r="C247" i="53" s="1"/>
  <c r="I135" i="53"/>
  <c r="C246" i="53" s="1"/>
  <c r="W134" i="53"/>
  <c r="V134" i="53"/>
  <c r="J134" i="53"/>
  <c r="C237" i="53" s="1"/>
  <c r="C236" i="53"/>
  <c r="W133" i="53"/>
  <c r="V133" i="53"/>
  <c r="I146" i="53" s="1"/>
  <c r="J133" i="53"/>
  <c r="C224" i="53" s="1"/>
  <c r="I133" i="53"/>
  <c r="C223" i="53" s="1"/>
  <c r="A133" i="53"/>
  <c r="A134" i="53" s="1"/>
  <c r="A135" i="53" s="1"/>
  <c r="A136" i="53" s="1"/>
  <c r="A137" i="53" s="1"/>
  <c r="A138" i="53" s="1"/>
  <c r="A139" i="53" s="1"/>
  <c r="A140" i="53" s="1"/>
  <c r="A141" i="53" s="1"/>
  <c r="A142" i="53" s="1"/>
  <c r="A143" i="53" s="1"/>
  <c r="A144" i="53" s="1"/>
  <c r="A145" i="53" s="1"/>
  <c r="A130" i="53"/>
  <c r="A129" i="53"/>
  <c r="J115" i="53"/>
  <c r="J114" i="53"/>
  <c r="J113" i="53"/>
  <c r="A190" i="53" l="1"/>
  <c r="A191" i="53" s="1"/>
  <c r="A192" i="53" s="1"/>
  <c r="A193" i="53" s="1"/>
  <c r="A194" i="53" s="1"/>
  <c r="A195" i="53" s="1"/>
  <c r="A196" i="53" s="1"/>
  <c r="A197" i="53" s="1"/>
  <c r="C166" i="53"/>
  <c r="F168" i="53"/>
  <c r="G168" i="53"/>
  <c r="G169" i="53"/>
  <c r="D170" i="53"/>
  <c r="D168" i="53"/>
  <c r="E170" i="53"/>
  <c r="E169" i="53"/>
  <c r="F170" i="53"/>
  <c r="E168" i="53"/>
  <c r="G170" i="53"/>
  <c r="D169" i="53"/>
  <c r="F169" i="53"/>
  <c r="E167" i="53"/>
  <c r="A146" i="53"/>
  <c r="A147" i="53" s="1"/>
  <c r="C268" i="53"/>
  <c r="C289" i="53"/>
  <c r="G161" i="53"/>
  <c r="G157" i="53"/>
  <c r="C302" i="53"/>
  <c r="G167" i="53"/>
  <c r="C300" i="53"/>
  <c r="G166" i="53"/>
  <c r="C291" i="53"/>
  <c r="C299" i="53"/>
  <c r="F166" i="53"/>
  <c r="C288" i="53"/>
  <c r="F161" i="53"/>
  <c r="C301" i="53"/>
  <c r="F167" i="53"/>
  <c r="C290" i="53"/>
  <c r="F163" i="53"/>
  <c r="E159" i="53"/>
  <c r="G156" i="53"/>
  <c r="F156" i="53"/>
  <c r="F158" i="53"/>
  <c r="A156" i="53"/>
  <c r="A157" i="53" s="1"/>
  <c r="A158" i="53" s="1"/>
  <c r="A159" i="53" s="1"/>
  <c r="A160" i="53" s="1"/>
  <c r="A161" i="53" s="1"/>
  <c r="A162" i="53" s="1"/>
  <c r="A163" i="53" s="1"/>
  <c r="A164" i="53" s="1"/>
  <c r="A165" i="53" s="1"/>
  <c r="A166" i="53" s="1"/>
  <c r="A167" i="53" s="1"/>
  <c r="A168" i="53" s="1"/>
  <c r="A169" i="53" s="1"/>
  <c r="A170" i="53" s="1"/>
  <c r="F157" i="53"/>
  <c r="G159" i="53"/>
  <c r="H159" i="53" s="1"/>
  <c r="E157" i="53"/>
  <c r="G153" i="53"/>
  <c r="G155" i="53"/>
  <c r="G154" i="53"/>
  <c r="E154" i="53"/>
  <c r="E153" i="53"/>
  <c r="E155" i="53"/>
  <c r="D155" i="53"/>
  <c r="D153" i="53"/>
  <c r="U186" i="53"/>
  <c r="D154" i="53"/>
  <c r="U174" i="53"/>
  <c r="W174" i="53" s="1"/>
  <c r="U176" i="53"/>
  <c r="W176" i="53" s="1"/>
  <c r="U185" i="53"/>
  <c r="W185" i="53" s="1"/>
  <c r="U187" i="53"/>
  <c r="W187" i="53" s="1"/>
  <c r="F153" i="53"/>
  <c r="F154" i="53"/>
  <c r="F155" i="53"/>
  <c r="U173" i="53"/>
  <c r="U175" i="53"/>
  <c r="U177" i="53"/>
  <c r="W177" i="53" s="1"/>
  <c r="U184" i="53"/>
  <c r="W184" i="53" s="1"/>
  <c r="J187" i="49"/>
  <c r="J188" i="49"/>
  <c r="A196" i="48"/>
  <c r="A197" i="48"/>
  <c r="A198" i="48"/>
  <c r="A199" i="48"/>
  <c r="A200" i="48"/>
  <c r="A201" i="48"/>
  <c r="A202" i="48"/>
  <c r="A203" i="48"/>
  <c r="A204" i="48"/>
  <c r="J197" i="48"/>
  <c r="J198" i="48"/>
  <c r="J199" i="48"/>
  <c r="J200" i="48"/>
  <c r="J201" i="48"/>
  <c r="J202" i="48"/>
  <c r="J203" i="48"/>
  <c r="J204" i="48"/>
  <c r="J179" i="48"/>
  <c r="J187" i="48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J185" i="46"/>
  <c r="J186" i="46"/>
  <c r="J187" i="46"/>
  <c r="J188" i="46"/>
  <c r="D166" i="53" l="1"/>
  <c r="E166" i="53"/>
  <c r="H161" i="53"/>
  <c r="H166" i="53"/>
  <c r="H189" i="53"/>
  <c r="J189" i="53" s="1"/>
  <c r="W186" i="53"/>
  <c r="H157" i="53"/>
  <c r="H156" i="53"/>
  <c r="H169" i="53"/>
  <c r="H153" i="53"/>
  <c r="H170" i="53"/>
  <c r="H168" i="53"/>
  <c r="H155" i="53"/>
  <c r="H154" i="53"/>
  <c r="W173" i="53"/>
  <c r="H191" i="53"/>
  <c r="J191" i="53" s="1"/>
  <c r="W175" i="53"/>
  <c r="H190" i="53"/>
  <c r="J190" i="53" s="1"/>
  <c r="H188" i="53"/>
  <c r="J188" i="53" s="1"/>
  <c r="I143" i="17" l="1"/>
  <c r="C291" i="17" l="1"/>
  <c r="F165" i="17"/>
  <c r="D521" i="37"/>
  <c r="J176" i="39" l="1"/>
  <c r="J177" i="39"/>
  <c r="J178" i="39"/>
  <c r="J179" i="39"/>
  <c r="J180" i="39"/>
  <c r="J181" i="39"/>
  <c r="J182" i="39"/>
  <c r="J183" i="39"/>
  <c r="J184" i="39"/>
  <c r="J185" i="39"/>
  <c r="J186" i="39"/>
  <c r="J187" i="39"/>
  <c r="J188" i="39"/>
  <c r="J200" i="39"/>
  <c r="J201" i="39"/>
  <c r="J202" i="39"/>
  <c r="J203" i="39"/>
  <c r="J204" i="39"/>
  <c r="A196" i="42"/>
  <c r="A197" i="42"/>
  <c r="A198" i="42"/>
  <c r="A199" i="42"/>
  <c r="A200" i="42"/>
  <c r="A201" i="42"/>
  <c r="A202" i="42"/>
  <c r="A203" i="42"/>
  <c r="A204" i="42"/>
  <c r="J176" i="42"/>
  <c r="J177" i="42"/>
  <c r="J178" i="42"/>
  <c r="J179" i="42"/>
  <c r="J180" i="42"/>
  <c r="J181" i="42"/>
  <c r="J182" i="42"/>
  <c r="J183" i="42"/>
  <c r="J184" i="42"/>
  <c r="J185" i="42"/>
  <c r="J186" i="42"/>
  <c r="J187" i="42"/>
  <c r="J188" i="42"/>
  <c r="J189" i="42"/>
  <c r="J200" i="42"/>
  <c r="J201" i="42"/>
  <c r="J202" i="42"/>
  <c r="J203" i="42"/>
  <c r="J204" i="42"/>
  <c r="J198" i="42"/>
  <c r="J199" i="42"/>
  <c r="J201" i="40"/>
  <c r="J178" i="40"/>
  <c r="J179" i="40"/>
  <c r="J202" i="40"/>
  <c r="J203" i="40"/>
  <c r="J204" i="40"/>
  <c r="J176" i="41"/>
  <c r="J177" i="41"/>
  <c r="J178" i="41"/>
  <c r="J179" i="41"/>
  <c r="J180" i="41"/>
  <c r="J181" i="41"/>
  <c r="J182" i="41"/>
  <c r="J183" i="41"/>
  <c r="J184" i="41"/>
  <c r="J185" i="41"/>
  <c r="J186" i="41"/>
  <c r="J187" i="41"/>
  <c r="J188" i="41"/>
  <c r="A196" i="41"/>
  <c r="A197" i="41"/>
  <c r="A198" i="41"/>
  <c r="A199" i="41"/>
  <c r="A200" i="41"/>
  <c r="A201" i="41"/>
  <c r="A202" i="41"/>
  <c r="A203" i="41"/>
  <c r="J199" i="41"/>
  <c r="J200" i="41"/>
  <c r="J185" i="38"/>
  <c r="J201" i="38"/>
  <c r="J202" i="38"/>
  <c r="J203" i="38"/>
  <c r="J204" i="38"/>
  <c r="J177" i="50"/>
  <c r="J178" i="50"/>
  <c r="J179" i="50"/>
  <c r="J180" i="50"/>
  <c r="J181" i="50"/>
  <c r="J182" i="50"/>
  <c r="J183" i="50"/>
  <c r="J184" i="50"/>
  <c r="J185" i="50"/>
  <c r="J174" i="50"/>
  <c r="J175" i="50"/>
  <c r="J176" i="50"/>
  <c r="J180" i="37"/>
  <c r="J181" i="37"/>
  <c r="J182" i="37"/>
  <c r="J183" i="37"/>
  <c r="J184" i="37"/>
  <c r="J185" i="37"/>
  <c r="J186" i="37"/>
  <c r="J187" i="37"/>
  <c r="J188" i="37"/>
  <c r="J189" i="37"/>
  <c r="J190" i="37"/>
  <c r="J201" i="37"/>
  <c r="J202" i="37"/>
  <c r="J203" i="37"/>
  <c r="J204" i="37"/>
  <c r="J177" i="28"/>
  <c r="J178" i="28"/>
  <c r="J179" i="28"/>
  <c r="J180" i="28"/>
  <c r="J181" i="28"/>
  <c r="J182" i="28"/>
  <c r="J183" i="28"/>
  <c r="J184" i="28"/>
  <c r="J185" i="28"/>
  <c r="J186" i="28"/>
  <c r="J187" i="28"/>
  <c r="J188" i="28"/>
  <c r="J189" i="28"/>
  <c r="J199" i="28"/>
  <c r="J200" i="28"/>
  <c r="J201" i="28"/>
  <c r="J202" i="28"/>
  <c r="J203" i="28"/>
  <c r="J204" i="28"/>
  <c r="J178" i="35"/>
  <c r="J179" i="35"/>
  <c r="J180" i="35"/>
  <c r="J181" i="35"/>
  <c r="J182" i="35"/>
  <c r="J183" i="35"/>
  <c r="J184" i="35"/>
  <c r="J185" i="35"/>
  <c r="J186" i="35"/>
  <c r="J187" i="35"/>
  <c r="J188" i="35"/>
  <c r="J189" i="35"/>
  <c r="J200" i="35"/>
  <c r="J201" i="35"/>
  <c r="J184" i="29"/>
  <c r="J185" i="29"/>
  <c r="J186" i="29"/>
  <c r="J203" i="29"/>
  <c r="J187" i="34"/>
  <c r="J188" i="34"/>
  <c r="J180" i="34"/>
  <c r="J181" i="34"/>
  <c r="J182" i="34"/>
  <c r="J183" i="34"/>
  <c r="J203" i="34"/>
  <c r="J204" i="34"/>
  <c r="J201" i="32"/>
  <c r="J202" i="32"/>
  <c r="J203" i="32"/>
  <c r="J204" i="32"/>
  <c r="J199" i="33"/>
  <c r="J200" i="33"/>
  <c r="J201" i="33"/>
  <c r="J202" i="33"/>
  <c r="J203" i="33"/>
  <c r="A191" i="26"/>
  <c r="J191" i="26"/>
  <c r="A192" i="26"/>
  <c r="J192" i="26"/>
  <c r="A193" i="26"/>
  <c r="J193" i="26"/>
  <c r="A194" i="26"/>
  <c r="J194" i="26"/>
  <c r="A195" i="26"/>
  <c r="J195" i="26"/>
  <c r="A196" i="26"/>
  <c r="J196" i="26"/>
  <c r="A197" i="26"/>
  <c r="J197" i="26"/>
  <c r="A198" i="26"/>
  <c r="J198" i="26"/>
  <c r="A199" i="26"/>
  <c r="J199" i="26"/>
  <c r="A200" i="26"/>
  <c r="J200" i="26"/>
  <c r="A189" i="26"/>
  <c r="A190" i="26"/>
  <c r="A201" i="26"/>
  <c r="A202" i="26"/>
  <c r="A203" i="26"/>
  <c r="A189" i="25"/>
  <c r="A190" i="25"/>
  <c r="A191" i="25"/>
  <c r="A192" i="25"/>
  <c r="A193" i="25"/>
  <c r="A194" i="25"/>
  <c r="A195" i="25"/>
  <c r="A196" i="25"/>
  <c r="A197" i="25"/>
  <c r="A198" i="25"/>
  <c r="A199" i="25"/>
  <c r="A200" i="25"/>
  <c r="A201" i="25"/>
  <c r="A202" i="25"/>
  <c r="A203" i="25"/>
  <c r="J191" i="25"/>
  <c r="J192" i="25"/>
  <c r="J193" i="25"/>
  <c r="J194" i="25"/>
  <c r="J195" i="25"/>
  <c r="J196" i="25"/>
  <c r="J197" i="25"/>
  <c r="J198" i="25"/>
  <c r="J199" i="25"/>
  <c r="J527" i="24" l="1"/>
  <c r="J421" i="24"/>
  <c r="J314" i="24"/>
  <c r="J207" i="24"/>
  <c r="J188" i="24"/>
  <c r="J189" i="24"/>
  <c r="J190" i="24"/>
  <c r="J187" i="24"/>
  <c r="J188" i="21"/>
  <c r="J189" i="21"/>
  <c r="J200" i="21"/>
  <c r="J201" i="21"/>
  <c r="J202" i="21"/>
  <c r="J203" i="21"/>
  <c r="J204" i="21"/>
  <c r="J199" i="21"/>
  <c r="J190" i="25"/>
  <c r="J176" i="25"/>
  <c r="J184" i="25"/>
  <c r="J177" i="25"/>
  <c r="J200" i="25"/>
  <c r="J201" i="25"/>
  <c r="J202" i="25"/>
  <c r="J203" i="25"/>
  <c r="J204" i="25"/>
  <c r="J189" i="25"/>
  <c r="J175" i="22"/>
  <c r="J181" i="22"/>
  <c r="J182" i="22"/>
  <c r="J183" i="22"/>
  <c r="J199" i="22"/>
  <c r="J184" i="22"/>
  <c r="J185" i="22"/>
  <c r="J186" i="22"/>
  <c r="J187" i="22"/>
  <c r="J188" i="22"/>
  <c r="J189" i="22"/>
  <c r="J190" i="22"/>
  <c r="J180" i="22"/>
  <c r="J183" i="52"/>
  <c r="J184" i="52"/>
  <c r="J185" i="52"/>
  <c r="J186" i="52"/>
  <c r="J187" i="52"/>
  <c r="J188" i="52"/>
  <c r="J189" i="52"/>
  <c r="J190" i="52"/>
  <c r="J191" i="52"/>
  <c r="J192" i="52"/>
  <c r="J188" i="13" l="1"/>
  <c r="J195" i="13"/>
  <c r="J182" i="13"/>
  <c r="J183" i="13"/>
  <c r="J188" i="17"/>
  <c r="J195" i="17"/>
  <c r="A205" i="14"/>
  <c r="J190" i="14"/>
  <c r="J197" i="14"/>
  <c r="J197" i="15"/>
  <c r="J177" i="15"/>
  <c r="J178" i="15"/>
  <c r="J179" i="15"/>
  <c r="J197" i="10"/>
  <c r="J190" i="8"/>
  <c r="J191" i="8"/>
  <c r="J189" i="8"/>
  <c r="J188" i="8"/>
  <c r="A198" i="8"/>
  <c r="A199" i="8"/>
  <c r="A200" i="8"/>
  <c r="A201" i="8"/>
  <c r="A202" i="8"/>
  <c r="A203" i="8"/>
  <c r="A204" i="8"/>
  <c r="J199" i="8"/>
  <c r="J200" i="8"/>
  <c r="J201" i="8"/>
  <c r="A200" i="11" l="1"/>
  <c r="J200" i="11"/>
  <c r="A201" i="11"/>
  <c r="J201" i="11"/>
  <c r="B187" i="1" l="1"/>
  <c r="I520" i="11" l="1"/>
  <c r="A198" i="11"/>
  <c r="J198" i="11"/>
  <c r="A522" i="52" l="1"/>
  <c r="A523" i="52"/>
  <c r="J521" i="52"/>
  <c r="I520" i="52"/>
  <c r="D520" i="52"/>
  <c r="I522" i="51"/>
  <c r="I521" i="51"/>
  <c r="D521" i="51"/>
  <c r="B157" i="52"/>
  <c r="C157" i="52"/>
  <c r="D157" i="52" s="1"/>
  <c r="B158" i="52"/>
  <c r="C158" i="52"/>
  <c r="D158" i="52" s="1"/>
  <c r="B159" i="52"/>
  <c r="C159" i="52"/>
  <c r="D159" i="52" s="1"/>
  <c r="B160" i="52"/>
  <c r="C160" i="52"/>
  <c r="B161" i="52"/>
  <c r="C161" i="52"/>
  <c r="D161" i="52" s="1"/>
  <c r="E161" i="52" l="1"/>
  <c r="E160" i="52"/>
  <c r="E159" i="52"/>
  <c r="E158" i="52"/>
  <c r="E157" i="52"/>
  <c r="J520" i="52" l="1"/>
  <c r="I521" i="52"/>
  <c r="C521" i="52"/>
  <c r="C520" i="52"/>
  <c r="A520" i="52" s="1"/>
  <c r="B521" i="52"/>
  <c r="B520" i="52"/>
  <c r="V133" i="52"/>
  <c r="I147" i="52" s="1"/>
  <c r="C149" i="52"/>
  <c r="C171" i="52" s="1"/>
  <c r="D149" i="52"/>
  <c r="E149" i="52"/>
  <c r="F149" i="52"/>
  <c r="G149" i="52"/>
  <c r="H149" i="52"/>
  <c r="B149" i="52"/>
  <c r="B171" i="52" s="1"/>
  <c r="B148" i="52"/>
  <c r="B170" i="52" s="1"/>
  <c r="W134" i="52"/>
  <c r="W135" i="52"/>
  <c r="W136" i="52"/>
  <c r="J148" i="52" s="1"/>
  <c r="W137" i="52"/>
  <c r="W138" i="52"/>
  <c r="W139" i="52"/>
  <c r="J149" i="52" s="1"/>
  <c r="W140" i="52"/>
  <c r="W141" i="52"/>
  <c r="W133" i="52"/>
  <c r="J147" i="52" s="1"/>
  <c r="I150" i="52"/>
  <c r="J150" i="52"/>
  <c r="H224" i="52" s="1"/>
  <c r="W134" i="51"/>
  <c r="W135" i="51"/>
  <c r="W136" i="51"/>
  <c r="W137" i="51"/>
  <c r="W138" i="51"/>
  <c r="W139" i="51"/>
  <c r="W140" i="51"/>
  <c r="W141" i="51"/>
  <c r="W133" i="51"/>
  <c r="B157" i="51"/>
  <c r="C157" i="51"/>
  <c r="D157" i="51" s="1"/>
  <c r="B158" i="51"/>
  <c r="C158" i="51"/>
  <c r="B159" i="51"/>
  <c r="C159" i="51"/>
  <c r="B160" i="51"/>
  <c r="C160" i="51"/>
  <c r="B161" i="51"/>
  <c r="C161" i="51"/>
  <c r="E161" i="51" s="1"/>
  <c r="C148" i="51"/>
  <c r="C170" i="51" s="1"/>
  <c r="D148" i="51"/>
  <c r="E148" i="51"/>
  <c r="F148" i="51"/>
  <c r="G148" i="51"/>
  <c r="H148" i="51"/>
  <c r="B148" i="51"/>
  <c r="B170" i="51" s="1"/>
  <c r="A523" i="51"/>
  <c r="A524" i="51"/>
  <c r="A525" i="51"/>
  <c r="B521" i="51"/>
  <c r="J522" i="51"/>
  <c r="J521" i="51"/>
  <c r="J149" i="51"/>
  <c r="H224" i="51" s="1"/>
  <c r="I149" i="51"/>
  <c r="M528" i="52"/>
  <c r="M527" i="52"/>
  <c r="M526" i="52"/>
  <c r="J526" i="52"/>
  <c r="M525" i="52"/>
  <c r="M524" i="52"/>
  <c r="A524" i="52"/>
  <c r="M523" i="52"/>
  <c r="M522" i="52"/>
  <c r="M521" i="52"/>
  <c r="M520" i="52"/>
  <c r="A440" i="52"/>
  <c r="A439" i="52"/>
  <c r="J425" i="52"/>
  <c r="J424" i="52"/>
  <c r="J423" i="52"/>
  <c r="J421" i="52"/>
  <c r="A333" i="52"/>
  <c r="A332" i="52"/>
  <c r="J318" i="52"/>
  <c r="J317" i="52"/>
  <c r="J316" i="52"/>
  <c r="J314" i="52"/>
  <c r="J211" i="52"/>
  <c r="J210" i="52"/>
  <c r="J209" i="52"/>
  <c r="J207" i="52"/>
  <c r="J205" i="52"/>
  <c r="A205" i="52"/>
  <c r="J204" i="52"/>
  <c r="J203" i="52"/>
  <c r="J182" i="52"/>
  <c r="J202" i="52"/>
  <c r="J194" i="52"/>
  <c r="I200" i="52"/>
  <c r="G200" i="52"/>
  <c r="F200" i="52"/>
  <c r="E200" i="52"/>
  <c r="D200" i="52"/>
  <c r="C200" i="52"/>
  <c r="B200" i="52"/>
  <c r="I199" i="52"/>
  <c r="G199" i="52"/>
  <c r="F199" i="52"/>
  <c r="E199" i="52"/>
  <c r="D199" i="52"/>
  <c r="C199" i="52"/>
  <c r="B199" i="52"/>
  <c r="I198" i="52"/>
  <c r="G198" i="52"/>
  <c r="F198" i="52"/>
  <c r="E198" i="52"/>
  <c r="D198" i="52"/>
  <c r="C198" i="52"/>
  <c r="B198" i="52"/>
  <c r="I197" i="52"/>
  <c r="G197" i="52"/>
  <c r="F197" i="52"/>
  <c r="E197" i="52"/>
  <c r="D197" i="52"/>
  <c r="C197" i="52"/>
  <c r="B197" i="52"/>
  <c r="J193" i="52"/>
  <c r="J181" i="52"/>
  <c r="J180" i="52"/>
  <c r="J179" i="52"/>
  <c r="J178" i="52"/>
  <c r="J177" i="52"/>
  <c r="A177" i="52"/>
  <c r="A178" i="52" s="1"/>
  <c r="A179" i="52" s="1"/>
  <c r="A180" i="52" s="1"/>
  <c r="A181" i="52" s="1"/>
  <c r="A182" i="52" s="1"/>
  <c r="A183" i="52" s="1"/>
  <c r="A184" i="52" s="1"/>
  <c r="A185" i="52" s="1"/>
  <c r="A186" i="52" s="1"/>
  <c r="A187" i="52" s="1"/>
  <c r="A188" i="52" s="1"/>
  <c r="A189" i="52" s="1"/>
  <c r="A190" i="52" s="1"/>
  <c r="A191" i="52" s="1"/>
  <c r="A192" i="52" s="1"/>
  <c r="A193" i="52" s="1"/>
  <c r="A194" i="52" s="1"/>
  <c r="A195" i="52" s="1"/>
  <c r="A196" i="52" s="1"/>
  <c r="A197" i="52" s="1"/>
  <c r="A198" i="52" s="1"/>
  <c r="C156" i="52"/>
  <c r="E156" i="52" s="1"/>
  <c r="B156" i="52"/>
  <c r="C155" i="52"/>
  <c r="E155" i="52" s="1"/>
  <c r="B155" i="52"/>
  <c r="A155" i="52" s="1"/>
  <c r="J153" i="52"/>
  <c r="A153" i="52"/>
  <c r="J152" i="52"/>
  <c r="I152" i="52"/>
  <c r="J151" i="52"/>
  <c r="I151" i="52"/>
  <c r="H148" i="52"/>
  <c r="G148" i="52"/>
  <c r="F148" i="52"/>
  <c r="E148" i="52"/>
  <c r="D148" i="52"/>
  <c r="C148" i="52"/>
  <c r="C170" i="52" s="1"/>
  <c r="H147" i="52"/>
  <c r="G147" i="52"/>
  <c r="F147" i="52"/>
  <c r="E147" i="52"/>
  <c r="D147" i="52"/>
  <c r="C147" i="52"/>
  <c r="B147" i="52"/>
  <c r="B169" i="52" s="1"/>
  <c r="J146" i="52"/>
  <c r="G168" i="52" s="1"/>
  <c r="I146" i="52"/>
  <c r="F168" i="52" s="1"/>
  <c r="J145" i="52"/>
  <c r="I145" i="52"/>
  <c r="J144" i="52"/>
  <c r="I144" i="52"/>
  <c r="J143" i="52"/>
  <c r="G165" i="52" s="1"/>
  <c r="I143" i="52"/>
  <c r="F165" i="52" s="1"/>
  <c r="J142" i="52"/>
  <c r="G164" i="52" s="1"/>
  <c r="I142" i="52"/>
  <c r="F164" i="52" s="1"/>
  <c r="J141" i="52"/>
  <c r="G163" i="52" s="1"/>
  <c r="I141" i="52"/>
  <c r="F163" i="52" s="1"/>
  <c r="J139" i="52"/>
  <c r="I139" i="52"/>
  <c r="C278" i="52" s="1"/>
  <c r="J138" i="52"/>
  <c r="G160" i="52" s="1"/>
  <c r="I138" i="52"/>
  <c r="F160" i="52" s="1"/>
  <c r="J137" i="52"/>
  <c r="G159" i="52" s="1"/>
  <c r="I137" i="52"/>
  <c r="F159" i="52" s="1"/>
  <c r="J136" i="52"/>
  <c r="G158" i="52" s="1"/>
  <c r="I136" i="52"/>
  <c r="F158" i="52" s="1"/>
  <c r="V135" i="52"/>
  <c r="J135" i="52"/>
  <c r="G157" i="52" s="1"/>
  <c r="I135" i="52"/>
  <c r="V134" i="52"/>
  <c r="J134" i="52"/>
  <c r="J133" i="52"/>
  <c r="C224" i="52" s="1"/>
  <c r="I133" i="52"/>
  <c r="C223" i="52" s="1"/>
  <c r="A133" i="52"/>
  <c r="A134" i="52" s="1"/>
  <c r="A135" i="52" s="1"/>
  <c r="A136" i="52" s="1"/>
  <c r="A137" i="52" s="1"/>
  <c r="A138" i="52" s="1"/>
  <c r="A139" i="52" s="1"/>
  <c r="A140" i="52" s="1"/>
  <c r="A141" i="52" s="1"/>
  <c r="A142" i="52" s="1"/>
  <c r="A143" i="52" s="1"/>
  <c r="A144" i="52" s="1"/>
  <c r="A145" i="52" s="1"/>
  <c r="A146" i="52" s="1"/>
  <c r="A147" i="52" s="1"/>
  <c r="A130" i="52"/>
  <c r="A129" i="52"/>
  <c r="J115" i="52"/>
  <c r="J114" i="52"/>
  <c r="J113" i="52"/>
  <c r="M529" i="51"/>
  <c r="M528" i="51"/>
  <c r="M527" i="51"/>
  <c r="J527" i="51"/>
  <c r="M526" i="51"/>
  <c r="M525" i="51"/>
  <c r="M524" i="51"/>
  <c r="M523" i="51"/>
  <c r="M522" i="51"/>
  <c r="M521" i="51"/>
  <c r="C521" i="51"/>
  <c r="A521" i="51" s="1"/>
  <c r="A440" i="51"/>
  <c r="A439" i="51"/>
  <c r="J425" i="51"/>
  <c r="J424" i="51"/>
  <c r="J423" i="51"/>
  <c r="J421" i="51"/>
  <c r="A333" i="51"/>
  <c r="A332" i="51"/>
  <c r="J318" i="51"/>
  <c r="J317" i="51"/>
  <c r="J316" i="51"/>
  <c r="J314" i="51"/>
  <c r="J211" i="51"/>
  <c r="J210" i="51"/>
  <c r="J209" i="51"/>
  <c r="J207" i="51"/>
  <c r="J205" i="51"/>
  <c r="A205" i="51"/>
  <c r="J204" i="51"/>
  <c r="A204" i="51"/>
  <c r="J203" i="51"/>
  <c r="A203" i="51"/>
  <c r="J197" i="51"/>
  <c r="A197" i="51"/>
  <c r="J196" i="51"/>
  <c r="A196" i="51"/>
  <c r="J195" i="51"/>
  <c r="A195" i="51"/>
  <c r="J194" i="51"/>
  <c r="A194" i="51"/>
  <c r="J193" i="51"/>
  <c r="A193" i="51"/>
  <c r="J192" i="51"/>
  <c r="A192" i="51"/>
  <c r="J191" i="51"/>
  <c r="A191" i="51"/>
  <c r="I190" i="51"/>
  <c r="G190" i="51"/>
  <c r="F190" i="51"/>
  <c r="E190" i="51"/>
  <c r="D190" i="51"/>
  <c r="C190" i="51"/>
  <c r="B190" i="51"/>
  <c r="I189" i="51"/>
  <c r="G189" i="51"/>
  <c r="F189" i="51"/>
  <c r="E189" i="51"/>
  <c r="D189" i="51"/>
  <c r="C189" i="51"/>
  <c r="B189" i="51"/>
  <c r="I188" i="51"/>
  <c r="G188" i="51"/>
  <c r="F188" i="51"/>
  <c r="E188" i="51"/>
  <c r="D188" i="51"/>
  <c r="C188" i="51"/>
  <c r="B188" i="51"/>
  <c r="I187" i="51"/>
  <c r="G187" i="51"/>
  <c r="F187" i="51"/>
  <c r="E187" i="51"/>
  <c r="D187" i="51"/>
  <c r="C187" i="51"/>
  <c r="B187" i="51"/>
  <c r="J186" i="51"/>
  <c r="J185" i="51"/>
  <c r="J184" i="51"/>
  <c r="J183" i="51"/>
  <c r="J182" i="51"/>
  <c r="J181" i="51"/>
  <c r="J180" i="51"/>
  <c r="J179" i="51"/>
  <c r="J178" i="51"/>
  <c r="J177" i="51"/>
  <c r="J176" i="51"/>
  <c r="J175" i="51"/>
  <c r="J174" i="51"/>
  <c r="A174" i="51"/>
  <c r="A175" i="51" s="1"/>
  <c r="A176" i="51" s="1"/>
  <c r="A177" i="51" s="1"/>
  <c r="A178" i="51" s="1"/>
  <c r="A179" i="51" s="1"/>
  <c r="A180" i="51" s="1"/>
  <c r="A181" i="51" s="1"/>
  <c r="A182" i="51" s="1"/>
  <c r="A183" i="51" s="1"/>
  <c r="A184" i="51" s="1"/>
  <c r="A185" i="51" s="1"/>
  <c r="A186" i="51" s="1"/>
  <c r="E159" i="51"/>
  <c r="C156" i="51"/>
  <c r="E156" i="51" s="1"/>
  <c r="B156" i="51"/>
  <c r="C155" i="51"/>
  <c r="D155" i="51" s="1"/>
  <c r="B155" i="51"/>
  <c r="A155" i="51"/>
  <c r="J153" i="51"/>
  <c r="A153" i="51"/>
  <c r="J152" i="51"/>
  <c r="J151" i="51"/>
  <c r="J150" i="51"/>
  <c r="H147" i="51"/>
  <c r="G147" i="51"/>
  <c r="F147" i="51"/>
  <c r="E147" i="51"/>
  <c r="D147" i="51"/>
  <c r="C147" i="51"/>
  <c r="C169" i="51" s="1"/>
  <c r="B147" i="51"/>
  <c r="B169" i="51" s="1"/>
  <c r="H146" i="51"/>
  <c r="G146" i="51"/>
  <c r="F146" i="51"/>
  <c r="E146" i="51"/>
  <c r="D146" i="51"/>
  <c r="C146" i="51"/>
  <c r="B146" i="51"/>
  <c r="B168" i="51" s="1"/>
  <c r="J145" i="51"/>
  <c r="J144" i="51"/>
  <c r="J143" i="51"/>
  <c r="G165" i="51" s="1"/>
  <c r="J142" i="51"/>
  <c r="G164" i="51" s="1"/>
  <c r="I142" i="51"/>
  <c r="F164" i="51" s="1"/>
  <c r="J141" i="51"/>
  <c r="G163" i="51" s="1"/>
  <c r="I141" i="51"/>
  <c r="F163" i="51" s="1"/>
  <c r="J139" i="51"/>
  <c r="C280" i="51" s="1"/>
  <c r="J138" i="51"/>
  <c r="J137" i="51"/>
  <c r="J136" i="51"/>
  <c r="C258" i="51" s="1"/>
  <c r="I136" i="51"/>
  <c r="C257" i="51" s="1"/>
  <c r="V135" i="51"/>
  <c r="J135" i="51"/>
  <c r="C247" i="51" s="1"/>
  <c r="I135" i="51"/>
  <c r="C246" i="51" s="1"/>
  <c r="V134" i="51"/>
  <c r="J134" i="51"/>
  <c r="C237" i="51" s="1"/>
  <c r="C236" i="51"/>
  <c r="V133" i="51"/>
  <c r="J133" i="51"/>
  <c r="C224" i="51" s="1"/>
  <c r="I133" i="51"/>
  <c r="C223" i="51" s="1"/>
  <c r="A133" i="51"/>
  <c r="A134" i="51" s="1"/>
  <c r="A135" i="51" s="1"/>
  <c r="A136" i="51" s="1"/>
  <c r="A137" i="51" s="1"/>
  <c r="A138" i="51" s="1"/>
  <c r="A139" i="51" s="1"/>
  <c r="A140" i="51" s="1"/>
  <c r="A141" i="51" s="1"/>
  <c r="A142" i="51" s="1"/>
  <c r="A143" i="51" s="1"/>
  <c r="A144" i="51" s="1"/>
  <c r="A145" i="51" s="1"/>
  <c r="A146" i="51" s="1"/>
  <c r="A130" i="51"/>
  <c r="A129" i="51"/>
  <c r="J115" i="51"/>
  <c r="J114" i="51"/>
  <c r="J113" i="51"/>
  <c r="E170" i="51" l="1"/>
  <c r="D171" i="51"/>
  <c r="C168" i="51"/>
  <c r="E171" i="51"/>
  <c r="G171" i="51"/>
  <c r="G167" i="51"/>
  <c r="G166" i="51"/>
  <c r="A148" i="52"/>
  <c r="A149" i="52" s="1"/>
  <c r="A150" i="52" s="1"/>
  <c r="A151" i="52" s="1"/>
  <c r="A152" i="52" s="1"/>
  <c r="E169" i="51"/>
  <c r="A147" i="51"/>
  <c r="A148" i="51" s="1"/>
  <c r="A149" i="51" s="1"/>
  <c r="A199" i="52"/>
  <c r="A200" i="52" s="1"/>
  <c r="H223" i="51"/>
  <c r="F171" i="51"/>
  <c r="H171" i="51" s="1"/>
  <c r="E171" i="52"/>
  <c r="G171" i="52"/>
  <c r="E174" i="52"/>
  <c r="C169" i="52"/>
  <c r="F174" i="52"/>
  <c r="D172" i="52"/>
  <c r="E172" i="52"/>
  <c r="F173" i="52"/>
  <c r="D173" i="52"/>
  <c r="G172" i="52"/>
  <c r="G173" i="52"/>
  <c r="G174" i="52"/>
  <c r="F172" i="52"/>
  <c r="E173" i="52"/>
  <c r="F167" i="52"/>
  <c r="F166" i="52"/>
  <c r="G161" i="52"/>
  <c r="C279" i="52"/>
  <c r="G167" i="52"/>
  <c r="G166" i="52"/>
  <c r="G170" i="52"/>
  <c r="E170" i="52"/>
  <c r="C292" i="51"/>
  <c r="U177" i="52"/>
  <c r="A187" i="51"/>
  <c r="A188" i="51" s="1"/>
  <c r="A189" i="51" s="1"/>
  <c r="A190" i="51" s="1"/>
  <c r="H159" i="52"/>
  <c r="H158" i="52"/>
  <c r="U181" i="52"/>
  <c r="W181" i="52" s="1"/>
  <c r="U179" i="52"/>
  <c r="W179" i="52" s="1"/>
  <c r="U180" i="52"/>
  <c r="U178" i="52"/>
  <c r="W178" i="52" s="1"/>
  <c r="C312" i="52"/>
  <c r="A521" i="52"/>
  <c r="D156" i="52"/>
  <c r="C246" i="52"/>
  <c r="F157" i="52"/>
  <c r="H157" i="52" s="1"/>
  <c r="H223" i="52"/>
  <c r="C288" i="52"/>
  <c r="C300" i="52"/>
  <c r="F161" i="52"/>
  <c r="H195" i="52"/>
  <c r="J195" i="52" s="1"/>
  <c r="C311" i="52"/>
  <c r="J146" i="51"/>
  <c r="C295" i="51"/>
  <c r="C293" i="51"/>
  <c r="C303" i="52"/>
  <c r="C258" i="52"/>
  <c r="C289" i="52"/>
  <c r="C301" i="52"/>
  <c r="D155" i="52"/>
  <c r="C291" i="52"/>
  <c r="C305" i="52"/>
  <c r="U188" i="52"/>
  <c r="C236" i="52"/>
  <c r="C267" i="52"/>
  <c r="C257" i="52"/>
  <c r="G156" i="52"/>
  <c r="C237" i="52"/>
  <c r="C268" i="52"/>
  <c r="C290" i="52"/>
  <c r="C247" i="52"/>
  <c r="D161" i="51"/>
  <c r="I146" i="51"/>
  <c r="F168" i="51" s="1"/>
  <c r="G161" i="51"/>
  <c r="J147" i="51"/>
  <c r="G169" i="51" s="1"/>
  <c r="C268" i="51"/>
  <c r="J148" i="51"/>
  <c r="G170" i="51" s="1"/>
  <c r="J126" i="52"/>
  <c r="U190" i="52"/>
  <c r="W190" i="52" s="1"/>
  <c r="H196" i="52"/>
  <c r="J196" i="52" s="1"/>
  <c r="V140" i="52"/>
  <c r="V141" i="52"/>
  <c r="V139" i="52"/>
  <c r="I149" i="52" s="1"/>
  <c r="F171" i="52" s="1"/>
  <c r="G155" i="52"/>
  <c r="A156" i="52"/>
  <c r="A157" i="52" s="1"/>
  <c r="A158" i="52" s="1"/>
  <c r="A159" i="52" s="1"/>
  <c r="A160" i="52" s="1"/>
  <c r="A161" i="52" s="1"/>
  <c r="A162" i="52" s="1"/>
  <c r="A163" i="52" s="1"/>
  <c r="A164" i="52" s="1"/>
  <c r="A165" i="52" s="1"/>
  <c r="A166" i="52" s="1"/>
  <c r="A167" i="52" s="1"/>
  <c r="A168" i="52" s="1"/>
  <c r="A169" i="52" s="1"/>
  <c r="A170" i="52" s="1"/>
  <c r="A171" i="52" s="1"/>
  <c r="A172" i="52" s="1"/>
  <c r="A173" i="52" s="1"/>
  <c r="A174" i="52" s="1"/>
  <c r="F155" i="52"/>
  <c r="A522" i="51"/>
  <c r="G160" i="51"/>
  <c r="A156" i="51"/>
  <c r="A157" i="51" s="1"/>
  <c r="A158" i="51" s="1"/>
  <c r="A159" i="51" s="1"/>
  <c r="A160" i="51" s="1"/>
  <c r="A161" i="51" s="1"/>
  <c r="A162" i="51" s="1"/>
  <c r="A163" i="51" s="1"/>
  <c r="A164" i="51" s="1"/>
  <c r="A165" i="51" s="1"/>
  <c r="A166" i="51" s="1"/>
  <c r="A167" i="51" s="1"/>
  <c r="A168" i="51" s="1"/>
  <c r="A169" i="51" s="1"/>
  <c r="A170" i="51" s="1"/>
  <c r="A171" i="51" s="1"/>
  <c r="G158" i="51"/>
  <c r="U189" i="52"/>
  <c r="W189" i="52" s="1"/>
  <c r="U191" i="52"/>
  <c r="W191" i="52" s="1"/>
  <c r="F156" i="52"/>
  <c r="D156" i="51"/>
  <c r="D158" i="51"/>
  <c r="E160" i="51"/>
  <c r="E157" i="51"/>
  <c r="E158" i="51"/>
  <c r="F155" i="51"/>
  <c r="F156" i="51"/>
  <c r="F157" i="51"/>
  <c r="F158" i="51"/>
  <c r="G155" i="51"/>
  <c r="G156" i="51"/>
  <c r="G157" i="51"/>
  <c r="G159" i="51"/>
  <c r="E155" i="51"/>
  <c r="D159" i="51"/>
  <c r="G168" i="51" l="1"/>
  <c r="E168" i="51"/>
  <c r="D168" i="51"/>
  <c r="H163" i="52"/>
  <c r="H173" i="52"/>
  <c r="H197" i="52"/>
  <c r="J197" i="52" s="1"/>
  <c r="W188" i="52"/>
  <c r="H172" i="52"/>
  <c r="F169" i="52"/>
  <c r="G169" i="52"/>
  <c r="D169" i="52"/>
  <c r="E169" i="52"/>
  <c r="H161" i="52"/>
  <c r="C306" i="51"/>
  <c r="C310" i="51"/>
  <c r="C308" i="51"/>
  <c r="V136" i="52"/>
  <c r="I148" i="52" s="1"/>
  <c r="F170" i="52" s="1"/>
  <c r="D521" i="52"/>
  <c r="H156" i="52"/>
  <c r="H155" i="52"/>
  <c r="C304" i="52"/>
  <c r="V137" i="52"/>
  <c r="V138" i="52"/>
  <c r="C305" i="51"/>
  <c r="H198" i="52"/>
  <c r="J198" i="52" s="1"/>
  <c r="H158" i="51"/>
  <c r="W177" i="52"/>
  <c r="H200" i="52"/>
  <c r="J200" i="52" s="1"/>
  <c r="H199" i="52"/>
  <c r="J199" i="52" s="1"/>
  <c r="W180" i="52"/>
  <c r="H155" i="51"/>
  <c r="H156" i="51"/>
  <c r="H157" i="51"/>
  <c r="J520" i="33"/>
  <c r="I519" i="1"/>
  <c r="C519" i="1"/>
  <c r="B519" i="1"/>
  <c r="J519" i="1"/>
  <c r="D519" i="1"/>
  <c r="M520" i="1"/>
  <c r="M521" i="1"/>
  <c r="M522" i="1"/>
  <c r="M523" i="1"/>
  <c r="M524" i="1"/>
  <c r="M525" i="1"/>
  <c r="M526" i="1"/>
  <c r="M527" i="1"/>
  <c r="M519" i="1"/>
  <c r="D519" i="5"/>
  <c r="C519" i="5"/>
  <c r="B519" i="5"/>
  <c r="I519" i="5"/>
  <c r="M520" i="5"/>
  <c r="M521" i="5"/>
  <c r="M522" i="5"/>
  <c r="M523" i="5"/>
  <c r="M524" i="5"/>
  <c r="M525" i="5"/>
  <c r="M526" i="5"/>
  <c r="M527" i="5"/>
  <c r="M519" i="5"/>
  <c r="C521" i="6"/>
  <c r="B521" i="6"/>
  <c r="J521" i="6"/>
  <c r="I521" i="6"/>
  <c r="M522" i="6"/>
  <c r="M523" i="6"/>
  <c r="M524" i="6"/>
  <c r="M525" i="6"/>
  <c r="M526" i="6"/>
  <c r="M527" i="6"/>
  <c r="M528" i="6"/>
  <c r="M529" i="6"/>
  <c r="M521" i="6"/>
  <c r="I521" i="7"/>
  <c r="J521" i="7"/>
  <c r="D521" i="7"/>
  <c r="C521" i="7"/>
  <c r="B521" i="7"/>
  <c r="H169" i="52" l="1"/>
  <c r="C302" i="52"/>
  <c r="M522" i="7"/>
  <c r="M523" i="7"/>
  <c r="M524" i="7"/>
  <c r="M525" i="7"/>
  <c r="M526" i="7"/>
  <c r="M527" i="7"/>
  <c r="M528" i="7"/>
  <c r="M529" i="7"/>
  <c r="M521" i="7"/>
  <c r="I521" i="8"/>
  <c r="D521" i="8"/>
  <c r="C521" i="8"/>
  <c r="B521" i="8"/>
  <c r="J521" i="8"/>
  <c r="M522" i="8"/>
  <c r="M523" i="8"/>
  <c r="M524" i="8"/>
  <c r="M525" i="8"/>
  <c r="M526" i="8"/>
  <c r="M527" i="8"/>
  <c r="M528" i="8"/>
  <c r="M529" i="8"/>
  <c r="M521" i="8"/>
  <c r="J425" i="8"/>
  <c r="J424" i="8"/>
  <c r="J423" i="8"/>
  <c r="J318" i="8"/>
  <c r="J317" i="8"/>
  <c r="J316" i="8"/>
  <c r="D520" i="9"/>
  <c r="I520" i="9"/>
  <c r="C520" i="9"/>
  <c r="B520" i="9"/>
  <c r="I520" i="10"/>
  <c r="D520" i="10"/>
  <c r="C520" i="10"/>
  <c r="B520" i="10"/>
  <c r="J425" i="10"/>
  <c r="J424" i="10"/>
  <c r="J423" i="10"/>
  <c r="J318" i="10"/>
  <c r="J317" i="10"/>
  <c r="J316" i="10"/>
  <c r="J520" i="10"/>
  <c r="M521" i="10"/>
  <c r="M522" i="10"/>
  <c r="M523" i="10"/>
  <c r="M524" i="10"/>
  <c r="M525" i="10"/>
  <c r="M526" i="10"/>
  <c r="M527" i="10"/>
  <c r="M528" i="10"/>
  <c r="M520" i="10"/>
  <c r="J424" i="11"/>
  <c r="J423" i="11"/>
  <c r="J422" i="11"/>
  <c r="J318" i="11"/>
  <c r="J317" i="11"/>
  <c r="J316" i="11"/>
  <c r="C520" i="11"/>
  <c r="J520" i="11"/>
  <c r="D520" i="11"/>
  <c r="K520" i="11" s="1"/>
  <c r="K521" i="11" s="1"/>
  <c r="B520" i="11"/>
  <c r="A199" i="11"/>
  <c r="J199" i="11"/>
  <c r="M521" i="11"/>
  <c r="M522" i="11"/>
  <c r="M523" i="11"/>
  <c r="M524" i="11"/>
  <c r="M525" i="11"/>
  <c r="M526" i="11"/>
  <c r="M527" i="11"/>
  <c r="M528" i="11"/>
  <c r="M520" i="11"/>
  <c r="B519" i="12"/>
  <c r="I519" i="12"/>
  <c r="D519" i="12"/>
  <c r="C519" i="12"/>
  <c r="J424" i="12"/>
  <c r="J423" i="12"/>
  <c r="J422" i="12"/>
  <c r="J317" i="12"/>
  <c r="J316" i="12"/>
  <c r="J315" i="12"/>
  <c r="J519" i="12"/>
  <c r="M520" i="12"/>
  <c r="M521" i="12"/>
  <c r="M522" i="12"/>
  <c r="M523" i="12"/>
  <c r="M524" i="12"/>
  <c r="M525" i="12"/>
  <c r="M526" i="12"/>
  <c r="M527" i="12"/>
  <c r="M519" i="12"/>
  <c r="C521" i="13"/>
  <c r="J521" i="13"/>
  <c r="I521" i="13"/>
  <c r="D521" i="13"/>
  <c r="J425" i="13"/>
  <c r="J424" i="13"/>
  <c r="J423" i="13"/>
  <c r="J318" i="13"/>
  <c r="J317" i="13"/>
  <c r="J316" i="13"/>
  <c r="B521" i="13"/>
  <c r="M522" i="13"/>
  <c r="M523" i="13"/>
  <c r="M524" i="13"/>
  <c r="M525" i="13"/>
  <c r="M526" i="13"/>
  <c r="M527" i="13"/>
  <c r="M528" i="13"/>
  <c r="M529" i="13"/>
  <c r="M521" i="13"/>
  <c r="C521" i="14"/>
  <c r="B521" i="14"/>
  <c r="I141" i="14"/>
  <c r="I142" i="14"/>
  <c r="F164" i="14" s="1"/>
  <c r="V133" i="14"/>
  <c r="J425" i="14"/>
  <c r="J424" i="14"/>
  <c r="J423" i="14"/>
  <c r="J318" i="14"/>
  <c r="J317" i="14"/>
  <c r="J316" i="14"/>
  <c r="J521" i="14"/>
  <c r="I521" i="14"/>
  <c r="D521" i="14"/>
  <c r="M522" i="14"/>
  <c r="M523" i="14"/>
  <c r="M524" i="14"/>
  <c r="M525" i="14"/>
  <c r="M526" i="14"/>
  <c r="M527" i="14"/>
  <c r="M528" i="14"/>
  <c r="M529" i="14"/>
  <c r="M521" i="14"/>
  <c r="I521" i="15"/>
  <c r="D521" i="15"/>
  <c r="C521" i="15"/>
  <c r="B521" i="15"/>
  <c r="J425" i="15"/>
  <c r="J424" i="15"/>
  <c r="J423" i="15"/>
  <c r="J318" i="15"/>
  <c r="J317" i="15"/>
  <c r="J316" i="15"/>
  <c r="J521" i="15"/>
  <c r="M522" i="15"/>
  <c r="M523" i="15"/>
  <c r="M524" i="15"/>
  <c r="M525" i="15"/>
  <c r="M526" i="15"/>
  <c r="M527" i="15"/>
  <c r="M528" i="15"/>
  <c r="M529" i="15"/>
  <c r="M521" i="15"/>
  <c r="I521" i="17"/>
  <c r="D521" i="17"/>
  <c r="B521" i="17"/>
  <c r="C521" i="17"/>
  <c r="J425" i="17"/>
  <c r="J424" i="17"/>
  <c r="J423" i="17"/>
  <c r="J318" i="17"/>
  <c r="J317" i="17"/>
  <c r="J316" i="17"/>
  <c r="J521" i="17"/>
  <c r="M522" i="17"/>
  <c r="M523" i="17"/>
  <c r="M524" i="17"/>
  <c r="M525" i="17"/>
  <c r="M526" i="17"/>
  <c r="M527" i="17"/>
  <c r="M528" i="17"/>
  <c r="M529" i="17"/>
  <c r="M521" i="17"/>
  <c r="I520" i="18"/>
  <c r="D520" i="18"/>
  <c r="J424" i="18"/>
  <c r="J423" i="18"/>
  <c r="J422" i="18"/>
  <c r="J317" i="18"/>
  <c r="J316" i="18"/>
  <c r="J315" i="18"/>
  <c r="J520" i="18"/>
  <c r="B520" i="18"/>
  <c r="C520" i="18"/>
  <c r="M521" i="18"/>
  <c r="M522" i="18"/>
  <c r="M523" i="18"/>
  <c r="M524" i="18"/>
  <c r="M525" i="18"/>
  <c r="M526" i="18"/>
  <c r="M527" i="18"/>
  <c r="M528" i="18"/>
  <c r="M520" i="18"/>
  <c r="B519" i="19"/>
  <c r="I519" i="19"/>
  <c r="J519" i="19"/>
  <c r="D519" i="19"/>
  <c r="C519" i="19"/>
  <c r="J424" i="19"/>
  <c r="J423" i="19"/>
  <c r="J422" i="19"/>
  <c r="J317" i="19"/>
  <c r="J316" i="19"/>
  <c r="J315" i="19"/>
  <c r="M520" i="19"/>
  <c r="M521" i="19"/>
  <c r="M522" i="19"/>
  <c r="M523" i="19"/>
  <c r="M524" i="19"/>
  <c r="M525" i="19"/>
  <c r="M526" i="19"/>
  <c r="M527" i="19"/>
  <c r="M519" i="19"/>
  <c r="J425" i="21"/>
  <c r="J424" i="21"/>
  <c r="J423" i="21"/>
  <c r="J318" i="21"/>
  <c r="J317" i="21"/>
  <c r="J316" i="21"/>
  <c r="I521" i="21"/>
  <c r="J521" i="21"/>
  <c r="D521" i="21"/>
  <c r="C521" i="21"/>
  <c r="B521" i="21"/>
  <c r="M522" i="21"/>
  <c r="M523" i="21"/>
  <c r="M524" i="21"/>
  <c r="M525" i="21"/>
  <c r="M526" i="21"/>
  <c r="M527" i="21"/>
  <c r="M528" i="21"/>
  <c r="M529" i="21"/>
  <c r="M521" i="21"/>
  <c r="D520" i="22"/>
  <c r="C520" i="22"/>
  <c r="B520" i="22"/>
  <c r="M521" i="22"/>
  <c r="M522" i="22"/>
  <c r="M523" i="22"/>
  <c r="M524" i="22"/>
  <c r="M525" i="22"/>
  <c r="M526" i="22"/>
  <c r="M527" i="22"/>
  <c r="M528" i="22"/>
  <c r="M520" i="22"/>
  <c r="I521" i="24"/>
  <c r="D521" i="24"/>
  <c r="C521" i="24"/>
  <c r="B521" i="24"/>
  <c r="K520" i="9" l="1"/>
  <c r="C289" i="14"/>
  <c r="F163" i="14"/>
  <c r="J211" i="24"/>
  <c r="J210" i="24"/>
  <c r="J209" i="24"/>
  <c r="J318" i="24"/>
  <c r="J317" i="24"/>
  <c r="J316" i="24"/>
  <c r="J521" i="24"/>
  <c r="M521" i="24"/>
  <c r="M522" i="24"/>
  <c r="M523" i="24"/>
  <c r="M524" i="24"/>
  <c r="M525" i="24"/>
  <c r="M526" i="24"/>
  <c r="M527" i="24"/>
  <c r="M528" i="24"/>
  <c r="M520" i="24"/>
  <c r="J425" i="24"/>
  <c r="J424" i="24"/>
  <c r="J423" i="24"/>
  <c r="B520" i="25"/>
  <c r="C520" i="25"/>
  <c r="J520" i="25"/>
  <c r="I520" i="25"/>
  <c r="M521" i="25"/>
  <c r="M522" i="25"/>
  <c r="M523" i="25"/>
  <c r="M524" i="25"/>
  <c r="M525" i="25"/>
  <c r="M526" i="25"/>
  <c r="M527" i="25"/>
  <c r="M528" i="25"/>
  <c r="M520" i="25"/>
  <c r="J424" i="25"/>
  <c r="J423" i="25"/>
  <c r="J422" i="25"/>
  <c r="J317" i="25"/>
  <c r="J316" i="25"/>
  <c r="J315" i="25"/>
  <c r="B520" i="26"/>
  <c r="I520" i="26"/>
  <c r="J520" i="26"/>
  <c r="D520" i="26"/>
  <c r="C520" i="26"/>
  <c r="M521" i="26"/>
  <c r="M522" i="26"/>
  <c r="M523" i="26"/>
  <c r="M524" i="26"/>
  <c r="M525" i="26"/>
  <c r="M526" i="26"/>
  <c r="M527" i="26"/>
  <c r="M528" i="26"/>
  <c r="M520" i="26"/>
  <c r="J424" i="26"/>
  <c r="J423" i="26"/>
  <c r="J422" i="26"/>
  <c r="J317" i="26"/>
  <c r="J316" i="26"/>
  <c r="J315" i="26"/>
  <c r="J520" i="28"/>
  <c r="I520" i="28"/>
  <c r="D520" i="28"/>
  <c r="C520" i="28"/>
  <c r="B520" i="28"/>
  <c r="M521" i="28"/>
  <c r="M522" i="28"/>
  <c r="M523" i="28"/>
  <c r="M524" i="28"/>
  <c r="M525" i="28"/>
  <c r="M526" i="28"/>
  <c r="M527" i="28"/>
  <c r="M528" i="28"/>
  <c r="M520" i="28"/>
  <c r="J425" i="28"/>
  <c r="J424" i="28"/>
  <c r="J423" i="28"/>
  <c r="J318" i="28"/>
  <c r="J317" i="28"/>
  <c r="J316" i="28"/>
  <c r="J520" i="29"/>
  <c r="D520" i="29"/>
  <c r="I520" i="29"/>
  <c r="C520" i="29"/>
  <c r="B520" i="29"/>
  <c r="J425" i="29"/>
  <c r="J424" i="29"/>
  <c r="J423" i="29"/>
  <c r="J318" i="29"/>
  <c r="J317" i="29"/>
  <c r="J316" i="29"/>
  <c r="M521" i="29"/>
  <c r="M522" i="29"/>
  <c r="M523" i="29"/>
  <c r="M524" i="29"/>
  <c r="M525" i="29"/>
  <c r="M526" i="29"/>
  <c r="M527" i="29"/>
  <c r="M528" i="29"/>
  <c r="M520" i="29"/>
  <c r="C520" i="32"/>
  <c r="B520" i="32"/>
  <c r="M521" i="32"/>
  <c r="M522" i="32"/>
  <c r="M523" i="32"/>
  <c r="M524" i="32"/>
  <c r="M525" i="32"/>
  <c r="M526" i="32"/>
  <c r="M527" i="32"/>
  <c r="M528" i="32"/>
  <c r="M520" i="32"/>
  <c r="J520" i="32"/>
  <c r="I520" i="32"/>
  <c r="D520" i="32"/>
  <c r="J425" i="32"/>
  <c r="J424" i="32"/>
  <c r="J423" i="32"/>
  <c r="J318" i="32"/>
  <c r="J317" i="32"/>
  <c r="J316" i="32"/>
  <c r="D520" i="33"/>
  <c r="J425" i="33" l="1"/>
  <c r="J424" i="33"/>
  <c r="J423" i="33"/>
  <c r="J318" i="33"/>
  <c r="J317" i="33"/>
  <c r="J316" i="33"/>
  <c r="C520" i="33"/>
  <c r="M521" i="33"/>
  <c r="M522" i="33"/>
  <c r="M523" i="33"/>
  <c r="M524" i="33"/>
  <c r="M525" i="33"/>
  <c r="M526" i="33"/>
  <c r="M527" i="33"/>
  <c r="M528" i="33"/>
  <c r="M520" i="33"/>
  <c r="I520" i="33"/>
  <c r="I521" i="34"/>
  <c r="J521" i="34"/>
  <c r="D521" i="34"/>
  <c r="C521" i="34"/>
  <c r="B521" i="34"/>
  <c r="M522" i="34"/>
  <c r="M523" i="34"/>
  <c r="M524" i="34"/>
  <c r="M525" i="34"/>
  <c r="M526" i="34"/>
  <c r="M527" i="34"/>
  <c r="M528" i="34"/>
  <c r="M529" i="34"/>
  <c r="M521" i="34"/>
  <c r="J425" i="34"/>
  <c r="J424" i="34"/>
  <c r="J423" i="34"/>
  <c r="J318" i="34"/>
  <c r="J317" i="34"/>
  <c r="J316" i="34"/>
  <c r="J425" i="35"/>
  <c r="J424" i="35"/>
  <c r="J423" i="35"/>
  <c r="J318" i="35"/>
  <c r="J317" i="35"/>
  <c r="J316" i="35"/>
  <c r="C520" i="35"/>
  <c r="M521" i="35"/>
  <c r="M522" i="35"/>
  <c r="M523" i="35"/>
  <c r="M524" i="35"/>
  <c r="M525" i="35"/>
  <c r="M526" i="35"/>
  <c r="M527" i="35"/>
  <c r="M528" i="35"/>
  <c r="M520" i="35"/>
  <c r="J520" i="35"/>
  <c r="I520" i="35"/>
  <c r="D520" i="35"/>
  <c r="J521" i="37"/>
  <c r="I521" i="37"/>
  <c r="C521" i="37"/>
  <c r="B521" i="37"/>
  <c r="M522" i="37"/>
  <c r="M523" i="37"/>
  <c r="M524" i="37"/>
  <c r="M525" i="37"/>
  <c r="M526" i="37"/>
  <c r="M527" i="37"/>
  <c r="M528" i="37"/>
  <c r="M529" i="37"/>
  <c r="M521" i="37"/>
  <c r="J425" i="37"/>
  <c r="J424" i="37"/>
  <c r="J423" i="37"/>
  <c r="J318" i="37"/>
  <c r="J317" i="37"/>
  <c r="J316" i="37"/>
  <c r="D520" i="38"/>
  <c r="I520" i="38"/>
  <c r="B520" i="38"/>
  <c r="J425" i="38"/>
  <c r="J424" i="38"/>
  <c r="J423" i="38"/>
  <c r="J318" i="38"/>
  <c r="J317" i="38"/>
  <c r="J316" i="38"/>
  <c r="I519" i="49"/>
  <c r="I520" i="46"/>
  <c r="J520" i="38"/>
  <c r="C520" i="38"/>
  <c r="M521" i="38"/>
  <c r="M522" i="38"/>
  <c r="M523" i="38"/>
  <c r="M524" i="38"/>
  <c r="M525" i="38"/>
  <c r="M526" i="38"/>
  <c r="M527" i="38"/>
  <c r="M528" i="38"/>
  <c r="M520" i="38"/>
  <c r="C520" i="39"/>
  <c r="B520" i="39"/>
  <c r="M521" i="39"/>
  <c r="M522" i="39"/>
  <c r="M523" i="39"/>
  <c r="M524" i="39"/>
  <c r="M525" i="39"/>
  <c r="M526" i="39"/>
  <c r="M527" i="39"/>
  <c r="M528" i="39"/>
  <c r="M520" i="39"/>
  <c r="I520" i="39"/>
  <c r="D520" i="39"/>
  <c r="C521" i="40"/>
  <c r="I521" i="40"/>
  <c r="D521" i="40"/>
  <c r="B157" i="50" l="1"/>
  <c r="C157" i="50"/>
  <c r="D157" i="50" s="1"/>
  <c r="B158" i="50"/>
  <c r="C158" i="50"/>
  <c r="D158" i="50" s="1"/>
  <c r="B159" i="50"/>
  <c r="C159" i="50"/>
  <c r="B160" i="50"/>
  <c r="C160" i="50"/>
  <c r="E160" i="50" s="1"/>
  <c r="B161" i="50"/>
  <c r="C161" i="50"/>
  <c r="E161" i="50" s="1"/>
  <c r="W133" i="50"/>
  <c r="C520" i="50"/>
  <c r="A520" i="50" s="1"/>
  <c r="B520" i="50"/>
  <c r="M521" i="50"/>
  <c r="M522" i="50"/>
  <c r="M523" i="50"/>
  <c r="M524" i="50"/>
  <c r="M525" i="50"/>
  <c r="M526" i="50"/>
  <c r="M527" i="50"/>
  <c r="M528" i="50"/>
  <c r="M520" i="50"/>
  <c r="J520" i="50"/>
  <c r="I520" i="50"/>
  <c r="D520" i="50"/>
  <c r="J424" i="50"/>
  <c r="J423" i="50"/>
  <c r="J422" i="50"/>
  <c r="J317" i="50"/>
  <c r="J316" i="50"/>
  <c r="J315" i="50"/>
  <c r="J526" i="50"/>
  <c r="A524" i="50"/>
  <c r="A523" i="50"/>
  <c r="A439" i="50"/>
  <c r="A438" i="50"/>
  <c r="J420" i="50"/>
  <c r="A332" i="50"/>
  <c r="A331" i="50"/>
  <c r="J313" i="50"/>
  <c r="J210" i="50"/>
  <c r="J209" i="50"/>
  <c r="J208" i="50"/>
  <c r="J206" i="50"/>
  <c r="J204" i="50"/>
  <c r="A204" i="50"/>
  <c r="I189" i="50"/>
  <c r="G189" i="50"/>
  <c r="F189" i="50"/>
  <c r="E189" i="50"/>
  <c r="D189" i="50"/>
  <c r="C189" i="50"/>
  <c r="B189" i="50"/>
  <c r="I188" i="50"/>
  <c r="G188" i="50"/>
  <c r="F188" i="50"/>
  <c r="E188" i="50"/>
  <c r="D188" i="50"/>
  <c r="C188" i="50"/>
  <c r="B188" i="50"/>
  <c r="I187" i="50"/>
  <c r="G187" i="50"/>
  <c r="F187" i="50"/>
  <c r="E187" i="50"/>
  <c r="D187" i="50"/>
  <c r="C187" i="50"/>
  <c r="B187" i="50"/>
  <c r="I186" i="50"/>
  <c r="G186" i="50"/>
  <c r="F186" i="50"/>
  <c r="E186" i="50"/>
  <c r="D186" i="50"/>
  <c r="C186" i="50"/>
  <c r="B186" i="50"/>
  <c r="J173" i="50"/>
  <c r="J172" i="50"/>
  <c r="A172" i="50"/>
  <c r="A173" i="50" s="1"/>
  <c r="A174" i="50" s="1"/>
  <c r="A175" i="50" s="1"/>
  <c r="A176" i="50" s="1"/>
  <c r="A177" i="50" s="1"/>
  <c r="A178" i="50" s="1"/>
  <c r="A179" i="50" s="1"/>
  <c r="A180" i="50" s="1"/>
  <c r="A181" i="50" s="1"/>
  <c r="A182" i="50" s="1"/>
  <c r="A183" i="50" s="1"/>
  <c r="A184" i="50" s="1"/>
  <c r="A185" i="50" s="1"/>
  <c r="C156" i="50"/>
  <c r="D156" i="50" s="1"/>
  <c r="B156" i="50"/>
  <c r="C155" i="50"/>
  <c r="D155" i="50" s="1"/>
  <c r="B155" i="50"/>
  <c r="A155" i="50" s="1"/>
  <c r="J153" i="50"/>
  <c r="A153" i="50"/>
  <c r="J152" i="50"/>
  <c r="J151" i="50"/>
  <c r="J150" i="50"/>
  <c r="H147" i="50"/>
  <c r="G147" i="50"/>
  <c r="J147" i="50" s="1"/>
  <c r="C304" i="50" s="1"/>
  <c r="F147" i="50"/>
  <c r="E147" i="50"/>
  <c r="D147" i="50"/>
  <c r="C147" i="50"/>
  <c r="C169" i="50" s="1"/>
  <c r="B147" i="50"/>
  <c r="B169" i="50" s="1"/>
  <c r="H146" i="50"/>
  <c r="G146" i="50"/>
  <c r="J146" i="50" s="1"/>
  <c r="C302" i="50" s="1"/>
  <c r="F146" i="50"/>
  <c r="E146" i="50"/>
  <c r="D146" i="50"/>
  <c r="C146" i="50"/>
  <c r="C168" i="50" s="1"/>
  <c r="B146" i="50"/>
  <c r="B168" i="50" s="1"/>
  <c r="J145" i="50"/>
  <c r="G167" i="50" s="1"/>
  <c r="I145" i="50"/>
  <c r="F167" i="50" s="1"/>
  <c r="J144" i="50"/>
  <c r="G166" i="50" s="1"/>
  <c r="I144" i="50"/>
  <c r="F166" i="50" s="1"/>
  <c r="J143" i="50"/>
  <c r="G165" i="50" s="1"/>
  <c r="I143" i="50"/>
  <c r="J142" i="50"/>
  <c r="G164" i="50" s="1"/>
  <c r="I142" i="50"/>
  <c r="F164" i="50" s="1"/>
  <c r="J141" i="50"/>
  <c r="G163" i="50" s="1"/>
  <c r="I141" i="50"/>
  <c r="J139" i="50"/>
  <c r="C278" i="50" s="1"/>
  <c r="I139" i="50"/>
  <c r="C277" i="50" s="1"/>
  <c r="W138" i="50"/>
  <c r="V138" i="50"/>
  <c r="J138" i="50"/>
  <c r="I138" i="50"/>
  <c r="W137" i="50"/>
  <c r="V137" i="50"/>
  <c r="J137" i="50"/>
  <c r="I137" i="50"/>
  <c r="C266" i="50" s="1"/>
  <c r="W136" i="50"/>
  <c r="V136" i="50"/>
  <c r="J136" i="50"/>
  <c r="C257" i="50" s="1"/>
  <c r="I136" i="50"/>
  <c r="C256" i="50" s="1"/>
  <c r="W135" i="50"/>
  <c r="V135" i="50"/>
  <c r="J135" i="50"/>
  <c r="C246" i="50" s="1"/>
  <c r="I135" i="50"/>
  <c r="C245" i="50" s="1"/>
  <c r="W134" i="50"/>
  <c r="V134" i="50"/>
  <c r="J134" i="50"/>
  <c r="C236" i="50" s="1"/>
  <c r="C235" i="50"/>
  <c r="V133" i="50"/>
  <c r="J133" i="50"/>
  <c r="C223" i="50" s="1"/>
  <c r="I133" i="50"/>
  <c r="C222" i="50" s="1"/>
  <c r="A133" i="50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30" i="50"/>
  <c r="A129" i="50"/>
  <c r="J115" i="50"/>
  <c r="J114" i="50"/>
  <c r="J113" i="50"/>
  <c r="J520" i="22"/>
  <c r="I520" i="22"/>
  <c r="J425" i="22"/>
  <c r="J424" i="22"/>
  <c r="J423" i="22"/>
  <c r="J318" i="22"/>
  <c r="J317" i="22"/>
  <c r="J316" i="22"/>
  <c r="J424" i="9"/>
  <c r="J423" i="9"/>
  <c r="J422" i="9"/>
  <c r="J317" i="9"/>
  <c r="J316" i="9"/>
  <c r="J315" i="9"/>
  <c r="V138" i="9"/>
  <c r="V137" i="9"/>
  <c r="V136" i="9"/>
  <c r="V135" i="9"/>
  <c r="V134" i="9"/>
  <c r="V133" i="9"/>
  <c r="C147" i="9"/>
  <c r="C169" i="9" s="1"/>
  <c r="C146" i="9"/>
  <c r="J520" i="9"/>
  <c r="K521" i="9" s="1"/>
  <c r="M521" i="9"/>
  <c r="M522" i="9"/>
  <c r="M523" i="9"/>
  <c r="M524" i="9"/>
  <c r="M525" i="9"/>
  <c r="M526" i="9"/>
  <c r="M527" i="9"/>
  <c r="M528" i="9"/>
  <c r="M520" i="9"/>
  <c r="J179" i="43"/>
  <c r="J202" i="44"/>
  <c r="J203" i="45"/>
  <c r="E169" i="50" l="1"/>
  <c r="G169" i="50"/>
  <c r="A147" i="50"/>
  <c r="F170" i="9"/>
  <c r="D170" i="9"/>
  <c r="G170" i="9"/>
  <c r="E170" i="9"/>
  <c r="C168" i="9"/>
  <c r="D168" i="50"/>
  <c r="G168" i="50"/>
  <c r="E168" i="50"/>
  <c r="C291" i="50"/>
  <c r="F165" i="50"/>
  <c r="C289" i="50"/>
  <c r="F163" i="50"/>
  <c r="A186" i="50"/>
  <c r="A187" i="50" s="1"/>
  <c r="A188" i="50" s="1"/>
  <c r="A189" i="50" s="1"/>
  <c r="C267" i="50"/>
  <c r="C290" i="50"/>
  <c r="C292" i="50"/>
  <c r="U173" i="50"/>
  <c r="W173" i="50" s="1"/>
  <c r="U176" i="50"/>
  <c r="U172" i="50"/>
  <c r="W172" i="50" s="1"/>
  <c r="U174" i="50"/>
  <c r="U175" i="50"/>
  <c r="H188" i="50" s="1"/>
  <c r="F159" i="50"/>
  <c r="I146" i="50"/>
  <c r="F160" i="50"/>
  <c r="G158" i="50"/>
  <c r="I147" i="50"/>
  <c r="F169" i="50" s="1"/>
  <c r="G161" i="50"/>
  <c r="F157" i="50"/>
  <c r="F161" i="50"/>
  <c r="E159" i="50"/>
  <c r="D161" i="50"/>
  <c r="D159" i="50"/>
  <c r="G157" i="50"/>
  <c r="G159" i="50"/>
  <c r="F158" i="50"/>
  <c r="E157" i="50"/>
  <c r="G160" i="50"/>
  <c r="E158" i="50"/>
  <c r="E156" i="50"/>
  <c r="A156" i="50"/>
  <c r="A157" i="50" s="1"/>
  <c r="A158" i="50" s="1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E155" i="50"/>
  <c r="F156" i="50"/>
  <c r="F155" i="50"/>
  <c r="G155" i="50"/>
  <c r="U185" i="50"/>
  <c r="W185" i="50" s="1"/>
  <c r="G156" i="50"/>
  <c r="U183" i="50"/>
  <c r="W183" i="50" s="1"/>
  <c r="U184" i="50"/>
  <c r="W184" i="50" s="1"/>
  <c r="U186" i="50"/>
  <c r="W186" i="50" s="1"/>
  <c r="H163" i="50" l="1"/>
  <c r="H161" i="50"/>
  <c r="C301" i="50"/>
  <c r="F168" i="50"/>
  <c r="H168" i="50" s="1"/>
  <c r="H159" i="50"/>
  <c r="C303" i="50"/>
  <c r="W175" i="50"/>
  <c r="H187" i="50"/>
  <c r="J187" i="50" s="1"/>
  <c r="H186" i="50"/>
  <c r="J186" i="50" s="1"/>
  <c r="H157" i="50"/>
  <c r="H158" i="50"/>
  <c r="H156" i="50"/>
  <c r="H155" i="50"/>
  <c r="W176" i="50"/>
  <c r="J188" i="50"/>
  <c r="H189" i="50"/>
  <c r="J189" i="50" s="1"/>
  <c r="W174" i="50"/>
  <c r="A520" i="38"/>
  <c r="A521" i="37"/>
  <c r="A520" i="35"/>
  <c r="A521" i="34"/>
  <c r="A520" i="33"/>
  <c r="A520" i="32"/>
  <c r="A520" i="29"/>
  <c r="A520" i="28"/>
  <c r="A520" i="26"/>
  <c r="D520" i="25"/>
  <c r="A520" i="25"/>
  <c r="A521" i="24"/>
  <c r="A520" i="22"/>
  <c r="A521" i="21"/>
  <c r="A519" i="19"/>
  <c r="A520" i="18"/>
  <c r="A521" i="17"/>
  <c r="A521" i="15"/>
  <c r="A521" i="14"/>
  <c r="A521" i="13"/>
  <c r="A519" i="12"/>
  <c r="A520" i="11"/>
  <c r="A520" i="10"/>
  <c r="A520" i="9"/>
  <c r="A521" i="8"/>
  <c r="A521" i="7"/>
  <c r="D521" i="6"/>
  <c r="A521" i="6"/>
  <c r="J519" i="5"/>
  <c r="A519" i="5"/>
  <c r="J524" i="1"/>
  <c r="J524" i="5"/>
  <c r="I196" i="29" l="1"/>
  <c r="I195" i="29"/>
  <c r="G196" i="29"/>
  <c r="G195" i="29"/>
  <c r="F196" i="29"/>
  <c r="F195" i="29"/>
  <c r="D196" i="29"/>
  <c r="D195" i="29"/>
  <c r="C196" i="29"/>
  <c r="C195" i="29"/>
  <c r="B196" i="29"/>
  <c r="B195" i="29"/>
  <c r="I192" i="28"/>
  <c r="I195" i="28"/>
  <c r="I194" i="28"/>
  <c r="G195" i="28"/>
  <c r="G194" i="28"/>
  <c r="F195" i="28"/>
  <c r="F194" i="28"/>
  <c r="D195" i="28"/>
  <c r="D194" i="28"/>
  <c r="C195" i="28"/>
  <c r="C194" i="28"/>
  <c r="B195" i="28"/>
  <c r="B194" i="28"/>
  <c r="E196" i="29"/>
  <c r="E195" i="29"/>
  <c r="E195" i="28"/>
  <c r="E194" i="28"/>
  <c r="B190" i="5"/>
  <c r="B189" i="5"/>
  <c r="I189" i="1"/>
  <c r="I190" i="1"/>
  <c r="G190" i="1"/>
  <c r="G189" i="1"/>
  <c r="F190" i="1"/>
  <c r="F189" i="1"/>
  <c r="D190" i="1"/>
  <c r="D189" i="1"/>
  <c r="C190" i="1"/>
  <c r="C189" i="1"/>
  <c r="B190" i="1"/>
  <c r="B189" i="1"/>
  <c r="C193" i="49"/>
  <c r="B194" i="44"/>
  <c r="B194" i="49"/>
  <c r="B193" i="49"/>
  <c r="B195" i="48"/>
  <c r="B194" i="48"/>
  <c r="B196" i="46"/>
  <c r="B195" i="46"/>
  <c r="B194" i="45"/>
  <c r="B193" i="45"/>
  <c r="B198" i="43"/>
  <c r="B197" i="43"/>
  <c r="B195" i="42"/>
  <c r="B194" i="42"/>
  <c r="B194" i="41"/>
  <c r="B193" i="41"/>
  <c r="B196" i="40"/>
  <c r="B195" i="40"/>
  <c r="B194" i="39"/>
  <c r="B193" i="39"/>
  <c r="B198" i="38"/>
  <c r="B197" i="38"/>
  <c r="B198" i="37"/>
  <c r="B197" i="37"/>
  <c r="B195" i="35"/>
  <c r="B194" i="35"/>
  <c r="B196" i="34"/>
  <c r="B195" i="34"/>
  <c r="B195" i="33"/>
  <c r="B194" i="33"/>
  <c r="B195" i="32"/>
  <c r="B194" i="32"/>
  <c r="B188" i="26"/>
  <c r="B187" i="26"/>
  <c r="B188" i="25"/>
  <c r="B187" i="25"/>
  <c r="B196" i="24"/>
  <c r="B197" i="22"/>
  <c r="B196" i="22"/>
  <c r="B197" i="21"/>
  <c r="B196" i="21"/>
  <c r="B189" i="19"/>
  <c r="B188" i="19"/>
  <c r="C189" i="18"/>
  <c r="C188" i="18"/>
  <c r="C194" i="17"/>
  <c r="C193" i="17"/>
  <c r="B196" i="15"/>
  <c r="B195" i="15"/>
  <c r="B196" i="14"/>
  <c r="B195" i="14"/>
  <c r="B194" i="13"/>
  <c r="B193" i="13"/>
  <c r="B187" i="12"/>
  <c r="B186" i="12"/>
  <c r="B188" i="11"/>
  <c r="B187" i="11"/>
  <c r="B196" i="10"/>
  <c r="B195" i="10"/>
  <c r="B188" i="9"/>
  <c r="B189" i="9"/>
  <c r="B197" i="8"/>
  <c r="B196" i="8"/>
  <c r="B187" i="7"/>
  <c r="B186" i="7"/>
  <c r="B192" i="6"/>
  <c r="B191" i="6"/>
  <c r="E190" i="1"/>
  <c r="E189" i="1"/>
  <c r="B191" i="49"/>
  <c r="B158" i="8"/>
  <c r="C158" i="8"/>
  <c r="D158" i="8" s="1"/>
  <c r="B159" i="8"/>
  <c r="C159" i="8"/>
  <c r="D159" i="8" s="1"/>
  <c r="B160" i="8"/>
  <c r="C160" i="8"/>
  <c r="D160" i="8" s="1"/>
  <c r="B161" i="8"/>
  <c r="C161" i="8"/>
  <c r="C162" i="8"/>
  <c r="D162" i="8" s="1"/>
  <c r="B155" i="49" l="1"/>
  <c r="C155" i="49"/>
  <c r="D155" i="49" s="1"/>
  <c r="B156" i="49"/>
  <c r="C156" i="49"/>
  <c r="D156" i="49" s="1"/>
  <c r="B157" i="49"/>
  <c r="C157" i="49"/>
  <c r="D157" i="49" s="1"/>
  <c r="B158" i="49"/>
  <c r="C158" i="49"/>
  <c r="B159" i="49"/>
  <c r="C159" i="49"/>
  <c r="D159" i="49" s="1"/>
  <c r="B155" i="48"/>
  <c r="C155" i="48"/>
  <c r="D155" i="48" s="1"/>
  <c r="B156" i="48"/>
  <c r="C156" i="48"/>
  <c r="D156" i="48" s="1"/>
  <c r="B157" i="48"/>
  <c r="C157" i="48"/>
  <c r="D157" i="48" s="1"/>
  <c r="B158" i="48"/>
  <c r="C158" i="48"/>
  <c r="B159" i="48"/>
  <c r="C159" i="48"/>
  <c r="D159" i="48" s="1"/>
  <c r="B155" i="46"/>
  <c r="C155" i="46"/>
  <c r="D155" i="46" s="1"/>
  <c r="B156" i="46"/>
  <c r="C156" i="46"/>
  <c r="D156" i="46" s="1"/>
  <c r="B157" i="46"/>
  <c r="C157" i="46"/>
  <c r="D157" i="46" s="1"/>
  <c r="B158" i="46"/>
  <c r="C158" i="46"/>
  <c r="B159" i="46"/>
  <c r="C159" i="46"/>
  <c r="D159" i="46" s="1"/>
  <c r="B155" i="45"/>
  <c r="C155" i="45"/>
  <c r="D155" i="45" s="1"/>
  <c r="B156" i="45"/>
  <c r="C156" i="45"/>
  <c r="D156" i="45" s="1"/>
  <c r="B157" i="45"/>
  <c r="C157" i="45"/>
  <c r="D157" i="45" s="1"/>
  <c r="B158" i="45"/>
  <c r="C158" i="45"/>
  <c r="B159" i="45"/>
  <c r="C159" i="45"/>
  <c r="D159" i="45" s="1"/>
  <c r="B155" i="44"/>
  <c r="C155" i="44"/>
  <c r="D155" i="44" s="1"/>
  <c r="B156" i="44"/>
  <c r="C156" i="44"/>
  <c r="D156" i="44" s="1"/>
  <c r="B157" i="44"/>
  <c r="C157" i="44"/>
  <c r="D157" i="44" s="1"/>
  <c r="B158" i="44"/>
  <c r="C158" i="44"/>
  <c r="B159" i="44"/>
  <c r="C159" i="44"/>
  <c r="D159" i="44" s="1"/>
  <c r="V133" i="44"/>
  <c r="I146" i="43"/>
  <c r="B155" i="43"/>
  <c r="C155" i="43"/>
  <c r="D155" i="43" s="1"/>
  <c r="B156" i="43"/>
  <c r="C156" i="43"/>
  <c r="D156" i="43" s="1"/>
  <c r="B157" i="43"/>
  <c r="C157" i="43"/>
  <c r="D157" i="43" s="1"/>
  <c r="B158" i="43"/>
  <c r="C158" i="43"/>
  <c r="B159" i="43"/>
  <c r="C159" i="43"/>
  <c r="D159" i="43" s="1"/>
  <c r="B193" i="42"/>
  <c r="I146" i="42"/>
  <c r="F166" i="42" s="1"/>
  <c r="B155" i="42"/>
  <c r="C155" i="42"/>
  <c r="D155" i="42" s="1"/>
  <c r="B156" i="42"/>
  <c r="C156" i="42"/>
  <c r="D156" i="42" s="1"/>
  <c r="B157" i="42"/>
  <c r="C157" i="42"/>
  <c r="D157" i="42" s="1"/>
  <c r="B158" i="42"/>
  <c r="C158" i="42"/>
  <c r="B159" i="42"/>
  <c r="C159" i="42"/>
  <c r="D159" i="42" s="1"/>
  <c r="I137" i="41"/>
  <c r="C266" i="41" s="1"/>
  <c r="I139" i="41"/>
  <c r="C276" i="41" s="1"/>
  <c r="I146" i="41"/>
  <c r="B155" i="41"/>
  <c r="C155" i="41"/>
  <c r="D155" i="41" s="1"/>
  <c r="B156" i="41"/>
  <c r="C156" i="41"/>
  <c r="D156" i="41" s="1"/>
  <c r="B157" i="41"/>
  <c r="C157" i="41"/>
  <c r="D157" i="41" s="1"/>
  <c r="B158" i="41"/>
  <c r="C158" i="41"/>
  <c r="B159" i="41"/>
  <c r="C159" i="41"/>
  <c r="D159" i="41" s="1"/>
  <c r="B155" i="40"/>
  <c r="C155" i="40"/>
  <c r="D155" i="40" s="1"/>
  <c r="B156" i="40"/>
  <c r="C156" i="40"/>
  <c r="D156" i="40" s="1"/>
  <c r="B157" i="40"/>
  <c r="C157" i="40"/>
  <c r="D157" i="40" s="1"/>
  <c r="B158" i="40"/>
  <c r="C158" i="40"/>
  <c r="B159" i="40"/>
  <c r="C159" i="40"/>
  <c r="D159" i="40" s="1"/>
  <c r="I146" i="40"/>
  <c r="B155" i="39"/>
  <c r="C155" i="39"/>
  <c r="D155" i="39" s="1"/>
  <c r="B156" i="39"/>
  <c r="C156" i="39"/>
  <c r="D156" i="39" s="1"/>
  <c r="B157" i="39"/>
  <c r="C157" i="39"/>
  <c r="D157" i="39" s="1"/>
  <c r="B158" i="39"/>
  <c r="C158" i="39"/>
  <c r="B159" i="39"/>
  <c r="C159" i="39"/>
  <c r="D159" i="39" s="1"/>
  <c r="I146" i="39"/>
  <c r="F166" i="39" s="1"/>
  <c r="H194" i="43" l="1"/>
  <c r="J194" i="43" s="1"/>
  <c r="F166" i="43"/>
  <c r="H192" i="40"/>
  <c r="J192" i="40" s="1"/>
  <c r="F166" i="40"/>
  <c r="H190" i="41"/>
  <c r="J190" i="41" s="1"/>
  <c r="F166" i="41"/>
  <c r="H191" i="42"/>
  <c r="J191" i="42" s="1"/>
  <c r="B157" i="35"/>
  <c r="C157" i="35"/>
  <c r="D157" i="35" s="1"/>
  <c r="B158" i="35"/>
  <c r="C158" i="35"/>
  <c r="D158" i="35" s="1"/>
  <c r="B159" i="35"/>
  <c r="C159" i="35"/>
  <c r="D159" i="35" s="1"/>
  <c r="B160" i="35"/>
  <c r="C160" i="35"/>
  <c r="B161" i="35"/>
  <c r="C161" i="35"/>
  <c r="D161" i="35" s="1"/>
  <c r="B194" i="34" l="1"/>
  <c r="B193" i="34"/>
  <c r="B157" i="34"/>
  <c r="C157" i="34"/>
  <c r="D157" i="34" s="1"/>
  <c r="B158" i="34"/>
  <c r="C158" i="34"/>
  <c r="D158" i="34" s="1"/>
  <c r="B159" i="34"/>
  <c r="C159" i="34"/>
  <c r="D159" i="34" s="1"/>
  <c r="B160" i="34"/>
  <c r="C160" i="34"/>
  <c r="B161" i="34"/>
  <c r="C161" i="34"/>
  <c r="D161" i="34" s="1"/>
  <c r="B157" i="33"/>
  <c r="C157" i="33"/>
  <c r="D157" i="33" s="1"/>
  <c r="B158" i="33"/>
  <c r="C158" i="33"/>
  <c r="D158" i="33" s="1"/>
  <c r="B159" i="33"/>
  <c r="C159" i="33"/>
  <c r="D159" i="33" s="1"/>
  <c r="B160" i="33"/>
  <c r="C160" i="33"/>
  <c r="B161" i="33"/>
  <c r="C161" i="33"/>
  <c r="D161" i="33" s="1"/>
  <c r="B192" i="32"/>
  <c r="B193" i="32"/>
  <c r="B157" i="32"/>
  <c r="C157" i="32"/>
  <c r="D157" i="32" s="1"/>
  <c r="B158" i="32"/>
  <c r="C158" i="32"/>
  <c r="D158" i="32" s="1"/>
  <c r="B159" i="32"/>
  <c r="C159" i="32"/>
  <c r="D159" i="32" s="1"/>
  <c r="B160" i="32"/>
  <c r="C160" i="32"/>
  <c r="B161" i="32"/>
  <c r="C161" i="32"/>
  <c r="D161" i="32" s="1"/>
  <c r="B157" i="29" l="1"/>
  <c r="C157" i="29"/>
  <c r="D157" i="29" s="1"/>
  <c r="B158" i="29"/>
  <c r="C158" i="29"/>
  <c r="D158" i="29" s="1"/>
  <c r="B159" i="29"/>
  <c r="C159" i="29"/>
  <c r="D159" i="29" s="1"/>
  <c r="B160" i="29"/>
  <c r="C160" i="29"/>
  <c r="B161" i="29"/>
  <c r="C161" i="29"/>
  <c r="D161" i="29" s="1"/>
  <c r="B193" i="28"/>
  <c r="B192" i="28"/>
  <c r="C193" i="29"/>
  <c r="D193" i="29"/>
  <c r="E193" i="29"/>
  <c r="F193" i="29"/>
  <c r="G193" i="29"/>
  <c r="I193" i="29"/>
  <c r="C194" i="29"/>
  <c r="D194" i="29"/>
  <c r="E194" i="29"/>
  <c r="F194" i="29"/>
  <c r="G194" i="29"/>
  <c r="I194" i="29"/>
  <c r="B194" i="29"/>
  <c r="B193" i="29"/>
  <c r="C186" i="26"/>
  <c r="B186" i="26"/>
  <c r="B185" i="26"/>
  <c r="C185" i="26"/>
  <c r="B157" i="28"/>
  <c r="C157" i="28"/>
  <c r="D157" i="28" s="1"/>
  <c r="B158" i="28"/>
  <c r="C158" i="28"/>
  <c r="D158" i="28" s="1"/>
  <c r="B159" i="28"/>
  <c r="C159" i="28"/>
  <c r="D159" i="28" s="1"/>
  <c r="B160" i="28"/>
  <c r="C160" i="28"/>
  <c r="B161" i="28"/>
  <c r="C161" i="28"/>
  <c r="D161" i="28" s="1"/>
  <c r="B185" i="12"/>
  <c r="B184" i="12"/>
  <c r="B186" i="11"/>
  <c r="B185" i="11"/>
  <c r="B194" i="10"/>
  <c r="B193" i="10"/>
  <c r="B187" i="9"/>
  <c r="B186" i="9"/>
  <c r="B195" i="8"/>
  <c r="B194" i="8"/>
  <c r="B185" i="7"/>
  <c r="B184" i="7"/>
  <c r="B189" i="6"/>
  <c r="B190" i="6"/>
  <c r="C187" i="5"/>
  <c r="D187" i="5"/>
  <c r="E187" i="5"/>
  <c r="F187" i="5"/>
  <c r="G187" i="5"/>
  <c r="I187" i="5"/>
  <c r="C188" i="5"/>
  <c r="D188" i="5"/>
  <c r="E188" i="5"/>
  <c r="F188" i="5"/>
  <c r="G188" i="5"/>
  <c r="I188" i="5"/>
  <c r="B188" i="5"/>
  <c r="B187" i="5"/>
  <c r="C192" i="28"/>
  <c r="D192" i="28"/>
  <c r="E192" i="28"/>
  <c r="F192" i="28"/>
  <c r="G192" i="28"/>
  <c r="C193" i="28"/>
  <c r="D193" i="28"/>
  <c r="E193" i="28"/>
  <c r="F193" i="28"/>
  <c r="G193" i="28"/>
  <c r="I193" i="28"/>
  <c r="B185" i="25"/>
  <c r="B186" i="25"/>
  <c r="B157" i="24"/>
  <c r="C157" i="24"/>
  <c r="D157" i="24" s="1"/>
  <c r="B158" i="24"/>
  <c r="C158" i="24"/>
  <c r="D158" i="24" s="1"/>
  <c r="B159" i="24"/>
  <c r="C159" i="24"/>
  <c r="D159" i="24" s="1"/>
  <c r="B160" i="24"/>
  <c r="C160" i="24"/>
  <c r="B161" i="24"/>
  <c r="C161" i="24"/>
  <c r="D161" i="24" s="1"/>
  <c r="B157" i="22"/>
  <c r="C157" i="22"/>
  <c r="D157" i="22" s="1"/>
  <c r="B158" i="22"/>
  <c r="C158" i="22"/>
  <c r="D158" i="22" s="1"/>
  <c r="B159" i="22"/>
  <c r="C159" i="22"/>
  <c r="D159" i="22" s="1"/>
  <c r="B160" i="22"/>
  <c r="C160" i="22"/>
  <c r="C161" i="22"/>
  <c r="D161" i="22" s="1"/>
  <c r="B157" i="21" l="1"/>
  <c r="C157" i="21"/>
  <c r="D157" i="21" s="1"/>
  <c r="B158" i="21"/>
  <c r="C158" i="21"/>
  <c r="D158" i="21" s="1"/>
  <c r="B159" i="21"/>
  <c r="C159" i="21"/>
  <c r="D159" i="21" s="1"/>
  <c r="B160" i="21"/>
  <c r="C160" i="21"/>
  <c r="B161" i="21"/>
  <c r="C161" i="21"/>
  <c r="D161" i="21" s="1"/>
  <c r="B157" i="17" l="1"/>
  <c r="C157" i="17"/>
  <c r="D157" i="17" s="1"/>
  <c r="B158" i="17"/>
  <c r="C158" i="17"/>
  <c r="D158" i="17" s="1"/>
  <c r="B159" i="17"/>
  <c r="C159" i="17"/>
  <c r="D159" i="17" s="1"/>
  <c r="B160" i="17"/>
  <c r="C160" i="17"/>
  <c r="C161" i="17"/>
  <c r="D161" i="17" s="1"/>
  <c r="B157" i="15"/>
  <c r="C157" i="15"/>
  <c r="D157" i="15" s="1"/>
  <c r="B158" i="15"/>
  <c r="C158" i="15"/>
  <c r="D158" i="15" s="1"/>
  <c r="B159" i="15"/>
  <c r="C159" i="15"/>
  <c r="D159" i="15" s="1"/>
  <c r="B160" i="15"/>
  <c r="C160" i="15"/>
  <c r="C161" i="15"/>
  <c r="D161" i="15" s="1"/>
  <c r="B157" i="14"/>
  <c r="C157" i="14"/>
  <c r="D157" i="14" s="1"/>
  <c r="B158" i="14"/>
  <c r="C158" i="14"/>
  <c r="D158" i="14" s="1"/>
  <c r="B159" i="14"/>
  <c r="C159" i="14"/>
  <c r="D159" i="14" s="1"/>
  <c r="B160" i="14"/>
  <c r="C160" i="14"/>
  <c r="C161" i="14"/>
  <c r="D161" i="14" s="1"/>
  <c r="C157" i="13"/>
  <c r="D157" i="13" s="1"/>
  <c r="C158" i="13"/>
  <c r="C159" i="13"/>
  <c r="C160" i="13"/>
  <c r="C161" i="13"/>
  <c r="B157" i="13"/>
  <c r="B158" i="13"/>
  <c r="B159" i="13"/>
  <c r="B160" i="13"/>
  <c r="H145" i="12"/>
  <c r="C196" i="10"/>
  <c r="C195" i="10"/>
  <c r="C157" i="10"/>
  <c r="D157" i="10" s="1"/>
  <c r="C158" i="10"/>
  <c r="C159" i="10"/>
  <c r="D159" i="10" s="1"/>
  <c r="C160" i="10"/>
  <c r="C161" i="10"/>
  <c r="D161" i="10" s="1"/>
  <c r="B157" i="10"/>
  <c r="B158" i="10"/>
  <c r="B159" i="10"/>
  <c r="B160" i="10"/>
  <c r="D158" i="10" l="1"/>
  <c r="D161" i="13"/>
  <c r="D159" i="13"/>
  <c r="D158" i="13"/>
  <c r="J525" i="49"/>
  <c r="J420" i="49"/>
  <c r="J313" i="49"/>
  <c r="J206" i="49"/>
  <c r="J526" i="48"/>
  <c r="J421" i="48"/>
  <c r="J314" i="48"/>
  <c r="J207" i="48"/>
  <c r="J526" i="46"/>
  <c r="J421" i="46"/>
  <c r="J314" i="46"/>
  <c r="J207" i="46"/>
  <c r="J526" i="45"/>
  <c r="J421" i="45"/>
  <c r="J314" i="45"/>
  <c r="J207" i="45"/>
  <c r="J525" i="44"/>
  <c r="J420" i="44"/>
  <c r="J313" i="44"/>
  <c r="J206" i="44"/>
  <c r="J526" i="43"/>
  <c r="J421" i="43"/>
  <c r="J314" i="43"/>
  <c r="J207" i="43"/>
  <c r="J526" i="42"/>
  <c r="J421" i="42"/>
  <c r="J314" i="42"/>
  <c r="J207" i="42"/>
  <c r="J525" i="41"/>
  <c r="J420" i="41"/>
  <c r="J313" i="41"/>
  <c r="J206" i="41"/>
  <c r="J527" i="40"/>
  <c r="J421" i="40"/>
  <c r="J314" i="40"/>
  <c r="J207" i="40"/>
  <c r="J526" i="39"/>
  <c r="J421" i="39"/>
  <c r="J314" i="39"/>
  <c r="J207" i="39"/>
  <c r="J526" i="38"/>
  <c r="J421" i="38"/>
  <c r="J314" i="38"/>
  <c r="J207" i="38"/>
  <c r="J527" i="37"/>
  <c r="J421" i="37"/>
  <c r="J314" i="37"/>
  <c r="J207" i="37"/>
  <c r="J526" i="35"/>
  <c r="J421" i="35"/>
  <c r="J314" i="35"/>
  <c r="J207" i="35"/>
  <c r="J527" i="34"/>
  <c r="J421" i="34"/>
  <c r="J314" i="34"/>
  <c r="J207" i="34"/>
  <c r="J526" i="33"/>
  <c r="J421" i="33"/>
  <c r="J314" i="33"/>
  <c r="J207" i="33"/>
  <c r="J526" i="32"/>
  <c r="J421" i="32"/>
  <c r="J314" i="32"/>
  <c r="J207" i="32"/>
  <c r="J526" i="29"/>
  <c r="J421" i="29"/>
  <c r="J314" i="29"/>
  <c r="J207" i="29"/>
  <c r="J526" i="28"/>
  <c r="J421" i="28"/>
  <c r="J314" i="28"/>
  <c r="J207" i="28"/>
  <c r="J526" i="26"/>
  <c r="J420" i="26"/>
  <c r="J313" i="26"/>
  <c r="J206" i="26"/>
  <c r="J526" i="25"/>
  <c r="J420" i="25"/>
  <c r="J313" i="25"/>
  <c r="J206" i="25"/>
  <c r="J526" i="22"/>
  <c r="J421" i="22"/>
  <c r="J314" i="22"/>
  <c r="J207" i="22"/>
  <c r="J527" i="21"/>
  <c r="J421" i="21"/>
  <c r="J314" i="21"/>
  <c r="J207" i="21"/>
  <c r="J525" i="19"/>
  <c r="J420" i="19"/>
  <c r="J313" i="19"/>
  <c r="J206" i="19"/>
  <c r="J526" i="18"/>
  <c r="J420" i="18"/>
  <c r="J313" i="18"/>
  <c r="J206" i="18"/>
  <c r="J527" i="17"/>
  <c r="J421" i="17"/>
  <c r="J314" i="17"/>
  <c r="J207" i="17"/>
  <c r="J527" i="15"/>
  <c r="J421" i="15"/>
  <c r="J314" i="15"/>
  <c r="J207" i="15"/>
  <c r="J527" i="14"/>
  <c r="J421" i="14"/>
  <c r="J314" i="14"/>
  <c r="J207" i="14"/>
  <c r="J527" i="13"/>
  <c r="J421" i="13"/>
  <c r="J314" i="13"/>
  <c r="J207" i="13"/>
  <c r="J525" i="12"/>
  <c r="J420" i="12"/>
  <c r="J313" i="12"/>
  <c r="J206" i="12"/>
  <c r="J526" i="11"/>
  <c r="J420" i="11"/>
  <c r="J314" i="11"/>
  <c r="J207" i="11"/>
  <c r="J526" i="10"/>
  <c r="J421" i="10"/>
  <c r="J314" i="10"/>
  <c r="J207" i="10"/>
  <c r="J526" i="9"/>
  <c r="J420" i="9"/>
  <c r="J313" i="9"/>
  <c r="J206" i="9"/>
  <c r="J527" i="8"/>
  <c r="J421" i="8"/>
  <c r="J314" i="8"/>
  <c r="J207" i="8"/>
  <c r="J526" i="7"/>
  <c r="J420" i="7"/>
  <c r="J313" i="7"/>
  <c r="J206" i="7"/>
  <c r="J526" i="6"/>
  <c r="J420" i="6"/>
  <c r="J313" i="6"/>
  <c r="J206" i="6"/>
  <c r="J419" i="5"/>
  <c r="J313" i="5"/>
  <c r="J206" i="5"/>
  <c r="J420" i="1"/>
  <c r="J313" i="1"/>
  <c r="J206" i="1"/>
  <c r="V133" i="24" l="1"/>
  <c r="I142" i="1"/>
  <c r="F168" i="1" s="1"/>
  <c r="I141" i="1"/>
  <c r="C296" i="1" l="1"/>
  <c r="F167" i="1"/>
  <c r="B146" i="1"/>
  <c r="B172" i="1" s="1"/>
  <c r="B145" i="1"/>
  <c r="B171" i="1" l="1"/>
  <c r="I142" i="49"/>
  <c r="F162" i="49" s="1"/>
  <c r="I141" i="49"/>
  <c r="V134" i="49"/>
  <c r="V135" i="49"/>
  <c r="V133" i="49"/>
  <c r="I520" i="48"/>
  <c r="J520" i="48"/>
  <c r="I142" i="48"/>
  <c r="F162" i="48" s="1"/>
  <c r="I141" i="48"/>
  <c r="V134" i="48"/>
  <c r="V135" i="48"/>
  <c r="V133" i="48"/>
  <c r="I142" i="46"/>
  <c r="F162" i="46" s="1"/>
  <c r="I141" i="46"/>
  <c r="V134" i="46"/>
  <c r="V135" i="46"/>
  <c r="V133" i="46"/>
  <c r="I520" i="45"/>
  <c r="I142" i="45"/>
  <c r="F162" i="45" s="1"/>
  <c r="I141" i="45"/>
  <c r="V134" i="45"/>
  <c r="V135" i="45"/>
  <c r="V133" i="45"/>
  <c r="C147" i="44"/>
  <c r="D147" i="44"/>
  <c r="E147" i="44"/>
  <c r="F147" i="44"/>
  <c r="G147" i="44"/>
  <c r="H147" i="44"/>
  <c r="C148" i="44"/>
  <c r="C168" i="44" s="1"/>
  <c r="D148" i="44"/>
  <c r="E148" i="44"/>
  <c r="F148" i="44"/>
  <c r="G148" i="44"/>
  <c r="H148" i="44"/>
  <c r="B148" i="44"/>
  <c r="B168" i="44" s="1"/>
  <c r="B147" i="44"/>
  <c r="B167" i="44" s="1"/>
  <c r="B147" i="43"/>
  <c r="B167" i="43" s="1"/>
  <c r="H147" i="43"/>
  <c r="I519" i="44"/>
  <c r="I142" i="44"/>
  <c r="F162" i="44" s="1"/>
  <c r="I141" i="44"/>
  <c r="I141" i="43"/>
  <c r="V135" i="44"/>
  <c r="V134" i="44"/>
  <c r="I147" i="44" s="1"/>
  <c r="C299" i="44" s="1"/>
  <c r="I520" i="43"/>
  <c r="I142" i="43"/>
  <c r="F162" i="43" s="1"/>
  <c r="I141" i="42"/>
  <c r="V135" i="43"/>
  <c r="V134" i="43"/>
  <c r="V133" i="43"/>
  <c r="C288" i="48" l="1"/>
  <c r="F161" i="48"/>
  <c r="C288" i="42"/>
  <c r="F161" i="42"/>
  <c r="C287" i="49"/>
  <c r="F161" i="49"/>
  <c r="C288" i="46"/>
  <c r="F161" i="46"/>
  <c r="C288" i="45"/>
  <c r="F161" i="45"/>
  <c r="C167" i="44"/>
  <c r="D169" i="44"/>
  <c r="E169" i="44"/>
  <c r="E170" i="44"/>
  <c r="E168" i="44"/>
  <c r="C287" i="44"/>
  <c r="F161" i="44"/>
  <c r="C288" i="43"/>
  <c r="F161" i="43"/>
  <c r="I147" i="43"/>
  <c r="C299" i="43" s="1"/>
  <c r="I142" i="42"/>
  <c r="F162" i="42" s="1"/>
  <c r="V135" i="42"/>
  <c r="V134" i="42"/>
  <c r="V133" i="42"/>
  <c r="I520" i="42"/>
  <c r="I519" i="41"/>
  <c r="I142" i="41"/>
  <c r="F162" i="41" s="1"/>
  <c r="I141" i="41"/>
  <c r="I141" i="40"/>
  <c r="V135" i="41"/>
  <c r="V134" i="41"/>
  <c r="V133" i="41"/>
  <c r="I142" i="40"/>
  <c r="F162" i="40" s="1"/>
  <c r="V135" i="40"/>
  <c r="V134" i="40"/>
  <c r="V133" i="40"/>
  <c r="I142" i="39"/>
  <c r="F162" i="39" s="1"/>
  <c r="I141" i="39"/>
  <c r="V135" i="39"/>
  <c r="V134" i="39"/>
  <c r="V133" i="39"/>
  <c r="D167" i="44" l="1"/>
  <c r="F167" i="44"/>
  <c r="E167" i="44"/>
  <c r="C289" i="39"/>
  <c r="F161" i="39"/>
  <c r="C290" i="40"/>
  <c r="F161" i="40"/>
  <c r="C287" i="41"/>
  <c r="F161" i="41"/>
  <c r="I142" i="38"/>
  <c r="F164" i="38" s="1"/>
  <c r="I141" i="38"/>
  <c r="V135" i="38"/>
  <c r="V134" i="38"/>
  <c r="V133" i="38"/>
  <c r="I142" i="37"/>
  <c r="F164" i="37" s="1"/>
  <c r="C290" i="37"/>
  <c r="V134" i="37"/>
  <c r="V135" i="37"/>
  <c r="V133" i="37"/>
  <c r="I142" i="35"/>
  <c r="F164" i="35" s="1"/>
  <c r="I141" i="35"/>
  <c r="V135" i="35"/>
  <c r="V134" i="35"/>
  <c r="V133" i="35"/>
  <c r="I142" i="34"/>
  <c r="F164" i="34" s="1"/>
  <c r="I141" i="34"/>
  <c r="V135" i="34"/>
  <c r="V134" i="34"/>
  <c r="V133" i="34"/>
  <c r="I142" i="33"/>
  <c r="F164" i="33" s="1"/>
  <c r="I141" i="33"/>
  <c r="I141" i="32"/>
  <c r="V135" i="33"/>
  <c r="V134" i="33"/>
  <c r="V133" i="33"/>
  <c r="I142" i="32"/>
  <c r="F164" i="32" s="1"/>
  <c r="V134" i="32"/>
  <c r="V135" i="32"/>
  <c r="V133" i="32"/>
  <c r="I141" i="29"/>
  <c r="I142" i="29"/>
  <c r="F164" i="29" s="1"/>
  <c r="V134" i="29"/>
  <c r="V135" i="29"/>
  <c r="V133" i="29"/>
  <c r="H147" i="29"/>
  <c r="I142" i="28"/>
  <c r="F164" i="28" s="1"/>
  <c r="I141" i="28"/>
  <c r="V134" i="28"/>
  <c r="V135" i="28"/>
  <c r="V133" i="28"/>
  <c r="V133" i="26"/>
  <c r="C288" i="38" l="1"/>
  <c r="F163" i="38"/>
  <c r="C290" i="28"/>
  <c r="F163" i="28"/>
  <c r="C288" i="29"/>
  <c r="F163" i="29"/>
  <c r="C289" i="32"/>
  <c r="F163" i="32"/>
  <c r="C290" i="33"/>
  <c r="F163" i="33"/>
  <c r="C288" i="35"/>
  <c r="F163" i="35"/>
  <c r="C289" i="34"/>
  <c r="F163" i="34"/>
  <c r="I147" i="29"/>
  <c r="C300" i="29" s="1"/>
  <c r="I142" i="26"/>
  <c r="F164" i="26" s="1"/>
  <c r="I141" i="26"/>
  <c r="V134" i="26"/>
  <c r="V135" i="26"/>
  <c r="I143" i="25"/>
  <c r="I142" i="25"/>
  <c r="F164" i="25" s="1"/>
  <c r="I141" i="25"/>
  <c r="V133" i="25"/>
  <c r="V134" i="25"/>
  <c r="V135" i="25"/>
  <c r="I142" i="24"/>
  <c r="F164" i="24" s="1"/>
  <c r="I141" i="24"/>
  <c r="V135" i="24"/>
  <c r="V134" i="24"/>
  <c r="I142" i="22"/>
  <c r="F164" i="22" s="1"/>
  <c r="I141" i="22"/>
  <c r="V133" i="22"/>
  <c r="V134" i="22"/>
  <c r="V135" i="22"/>
  <c r="V133" i="21"/>
  <c r="I142" i="21"/>
  <c r="F164" i="21" s="1"/>
  <c r="I141" i="21"/>
  <c r="V134" i="21"/>
  <c r="V135" i="21"/>
  <c r="V133" i="19"/>
  <c r="I142" i="19"/>
  <c r="F164" i="19" s="1"/>
  <c r="I141" i="19"/>
  <c r="F163" i="19" s="1"/>
  <c r="V134" i="19"/>
  <c r="V135" i="19"/>
  <c r="I142" i="18"/>
  <c r="F164" i="18" s="1"/>
  <c r="I141" i="18"/>
  <c r="F163" i="18" s="1"/>
  <c r="V133" i="18"/>
  <c r="V134" i="18"/>
  <c r="V135" i="18"/>
  <c r="V133" i="17"/>
  <c r="I142" i="17"/>
  <c r="F164" i="17" s="1"/>
  <c r="I141" i="17"/>
  <c r="V134" i="17"/>
  <c r="V135" i="17"/>
  <c r="V133" i="15"/>
  <c r="I142" i="15"/>
  <c r="F164" i="15" s="1"/>
  <c r="I141" i="15"/>
  <c r="V134" i="15"/>
  <c r="V135" i="15"/>
  <c r="V134" i="14"/>
  <c r="V135" i="14"/>
  <c r="V133" i="13"/>
  <c r="I142" i="13"/>
  <c r="F164" i="13" s="1"/>
  <c r="I141" i="13"/>
  <c r="V134" i="13"/>
  <c r="V135" i="13"/>
  <c r="I142" i="12"/>
  <c r="F164" i="12" s="1"/>
  <c r="I141" i="12"/>
  <c r="F163" i="12" s="1"/>
  <c r="V133" i="12"/>
  <c r="V134" i="12"/>
  <c r="V135" i="12"/>
  <c r="C289" i="26" l="1"/>
  <c r="F163" i="26"/>
  <c r="C293" i="25"/>
  <c r="F163" i="25"/>
  <c r="C295" i="25"/>
  <c r="F165" i="25"/>
  <c r="C288" i="21"/>
  <c r="F163" i="21"/>
  <c r="C288" i="24"/>
  <c r="F163" i="24"/>
  <c r="C289" i="13"/>
  <c r="F163" i="13"/>
  <c r="C289" i="17"/>
  <c r="F163" i="17"/>
  <c r="C290" i="15"/>
  <c r="F163" i="15"/>
  <c r="C289" i="22"/>
  <c r="F163" i="22"/>
  <c r="C288" i="19"/>
  <c r="C289" i="18"/>
  <c r="C289" i="12"/>
  <c r="V134" i="11"/>
  <c r="V135" i="11"/>
  <c r="I142" i="11"/>
  <c r="F164" i="11" s="1"/>
  <c r="K164" i="11" s="1"/>
  <c r="I164" i="11" s="1"/>
  <c r="I141" i="11"/>
  <c r="F163" i="11" s="1"/>
  <c r="K163" i="11" s="1"/>
  <c r="I163" i="11" s="1"/>
  <c r="V133" i="11"/>
  <c r="V134" i="10"/>
  <c r="V135" i="10"/>
  <c r="V133" i="10"/>
  <c r="I142" i="10"/>
  <c r="F164" i="10" s="1"/>
  <c r="I141" i="10"/>
  <c r="I142" i="9"/>
  <c r="F164" i="9" s="1"/>
  <c r="I141" i="9"/>
  <c r="V134" i="8"/>
  <c r="V135" i="8"/>
  <c r="V133" i="8"/>
  <c r="I142" i="8"/>
  <c r="F165" i="8" s="1"/>
  <c r="I141" i="8"/>
  <c r="V134" i="7"/>
  <c r="V135" i="7"/>
  <c r="I142" i="7"/>
  <c r="F163" i="7" s="1"/>
  <c r="I141" i="7"/>
  <c r="V133" i="7"/>
  <c r="V134" i="6"/>
  <c r="V135" i="6"/>
  <c r="V133" i="6"/>
  <c r="I142" i="6"/>
  <c r="F168" i="6" s="1"/>
  <c r="I141" i="6"/>
  <c r="V134" i="5"/>
  <c r="V135" i="5"/>
  <c r="V133" i="5"/>
  <c r="I142" i="5"/>
  <c r="F168" i="5" s="1"/>
  <c r="I141" i="5"/>
  <c r="V135" i="1"/>
  <c r="V134" i="1"/>
  <c r="V133" i="1"/>
  <c r="I143" i="9"/>
  <c r="F165" i="9" s="1"/>
  <c r="H145" i="1"/>
  <c r="C295" i="5" l="1"/>
  <c r="F167" i="5"/>
  <c r="C293" i="7"/>
  <c r="F162" i="7"/>
  <c r="C289" i="9"/>
  <c r="F163" i="9"/>
  <c r="C290" i="8"/>
  <c r="F164" i="8"/>
  <c r="C289" i="10"/>
  <c r="F163" i="10"/>
  <c r="C294" i="6"/>
  <c r="F167" i="6"/>
  <c r="C294" i="11"/>
  <c r="C291" i="9"/>
  <c r="I194" i="49"/>
  <c r="G194" i="49"/>
  <c r="F194" i="49"/>
  <c r="E194" i="49"/>
  <c r="D194" i="49"/>
  <c r="C194" i="49"/>
  <c r="I193" i="49"/>
  <c r="G193" i="49"/>
  <c r="F193" i="49"/>
  <c r="E193" i="49"/>
  <c r="D193" i="49"/>
  <c r="I192" i="49"/>
  <c r="G192" i="49"/>
  <c r="F192" i="49"/>
  <c r="E192" i="49"/>
  <c r="D192" i="49"/>
  <c r="C192" i="49"/>
  <c r="B192" i="49"/>
  <c r="I191" i="49"/>
  <c r="G191" i="49"/>
  <c r="F191" i="49"/>
  <c r="E191" i="49"/>
  <c r="D191" i="49"/>
  <c r="C191" i="49"/>
  <c r="I195" i="48"/>
  <c r="G195" i="48"/>
  <c r="F195" i="48"/>
  <c r="E195" i="48"/>
  <c r="D195" i="48"/>
  <c r="C195" i="48"/>
  <c r="I194" i="48"/>
  <c r="G194" i="48"/>
  <c r="F194" i="48"/>
  <c r="E194" i="48"/>
  <c r="D194" i="48"/>
  <c r="C194" i="48"/>
  <c r="I193" i="48"/>
  <c r="G193" i="48"/>
  <c r="F193" i="48"/>
  <c r="E193" i="48"/>
  <c r="D193" i="48"/>
  <c r="C193" i="48"/>
  <c r="B193" i="48"/>
  <c r="I192" i="48"/>
  <c r="G192" i="48"/>
  <c r="F192" i="48"/>
  <c r="E192" i="48"/>
  <c r="D192" i="48"/>
  <c r="C192" i="48"/>
  <c r="B192" i="48"/>
  <c r="I196" i="46"/>
  <c r="G196" i="46"/>
  <c r="F196" i="46"/>
  <c r="E196" i="46"/>
  <c r="D196" i="46"/>
  <c r="C196" i="46"/>
  <c r="I195" i="46"/>
  <c r="G195" i="46"/>
  <c r="F195" i="46"/>
  <c r="E195" i="46"/>
  <c r="D195" i="46"/>
  <c r="C195" i="46"/>
  <c r="I194" i="46"/>
  <c r="G194" i="46"/>
  <c r="F194" i="46"/>
  <c r="E194" i="46"/>
  <c r="D194" i="46"/>
  <c r="C194" i="46"/>
  <c r="B194" i="46"/>
  <c r="I193" i="46"/>
  <c r="G193" i="46"/>
  <c r="F193" i="46"/>
  <c r="E193" i="46"/>
  <c r="D193" i="46"/>
  <c r="C193" i="46"/>
  <c r="B193" i="46"/>
  <c r="I194" i="45"/>
  <c r="G194" i="45"/>
  <c r="F194" i="45"/>
  <c r="E194" i="45"/>
  <c r="D194" i="45"/>
  <c r="C194" i="45"/>
  <c r="I193" i="45"/>
  <c r="G193" i="45"/>
  <c r="F193" i="45"/>
  <c r="E193" i="45"/>
  <c r="D193" i="45"/>
  <c r="C193" i="45"/>
  <c r="I192" i="45"/>
  <c r="G192" i="45"/>
  <c r="F192" i="45"/>
  <c r="E192" i="45"/>
  <c r="D192" i="45"/>
  <c r="C192" i="45"/>
  <c r="B192" i="45"/>
  <c r="I191" i="45"/>
  <c r="G191" i="45"/>
  <c r="F191" i="45"/>
  <c r="E191" i="45"/>
  <c r="D191" i="45"/>
  <c r="C191" i="45"/>
  <c r="B191" i="45"/>
  <c r="I194" i="44"/>
  <c r="G194" i="44"/>
  <c r="F194" i="44"/>
  <c r="E194" i="44"/>
  <c r="D194" i="44"/>
  <c r="C194" i="44"/>
  <c r="I198" i="43"/>
  <c r="G198" i="43"/>
  <c r="F198" i="43"/>
  <c r="E198" i="43"/>
  <c r="D198" i="43"/>
  <c r="C198" i="43"/>
  <c r="I197" i="43"/>
  <c r="G197" i="43"/>
  <c r="F197" i="43"/>
  <c r="E197" i="43"/>
  <c r="D197" i="43"/>
  <c r="C197" i="43"/>
  <c r="I196" i="43"/>
  <c r="G196" i="43"/>
  <c r="F196" i="43"/>
  <c r="E196" i="43"/>
  <c r="D196" i="43"/>
  <c r="C196" i="43"/>
  <c r="B196" i="43"/>
  <c r="I195" i="43"/>
  <c r="G195" i="43"/>
  <c r="F195" i="43"/>
  <c r="E195" i="43"/>
  <c r="D195" i="43"/>
  <c r="C195" i="43"/>
  <c r="B195" i="43"/>
  <c r="I195" i="42"/>
  <c r="G195" i="42"/>
  <c r="F195" i="42"/>
  <c r="E195" i="42"/>
  <c r="D195" i="42"/>
  <c r="C195" i="42"/>
  <c r="I194" i="42"/>
  <c r="G194" i="42"/>
  <c r="F194" i="42"/>
  <c r="E194" i="42"/>
  <c r="D194" i="42"/>
  <c r="C194" i="42"/>
  <c r="I193" i="42"/>
  <c r="G193" i="42"/>
  <c r="F193" i="42"/>
  <c r="E193" i="42"/>
  <c r="D193" i="42"/>
  <c r="C193" i="42"/>
  <c r="I192" i="42"/>
  <c r="G192" i="42"/>
  <c r="F192" i="42"/>
  <c r="E192" i="42"/>
  <c r="D192" i="42"/>
  <c r="C192" i="42"/>
  <c r="B192" i="42"/>
  <c r="I194" i="41"/>
  <c r="G194" i="41"/>
  <c r="F194" i="41"/>
  <c r="E194" i="41"/>
  <c r="D194" i="41"/>
  <c r="C194" i="41"/>
  <c r="I193" i="41"/>
  <c r="G193" i="41"/>
  <c r="F193" i="41"/>
  <c r="E193" i="41"/>
  <c r="D193" i="41"/>
  <c r="C193" i="41"/>
  <c r="I192" i="41"/>
  <c r="G192" i="41"/>
  <c r="F192" i="41"/>
  <c r="E192" i="41"/>
  <c r="D192" i="41"/>
  <c r="C192" i="41"/>
  <c r="B192" i="41"/>
  <c r="I191" i="41"/>
  <c r="G191" i="41"/>
  <c r="F191" i="41"/>
  <c r="E191" i="41"/>
  <c r="D191" i="41"/>
  <c r="C191" i="41"/>
  <c r="B191" i="41"/>
  <c r="I196" i="40"/>
  <c r="G196" i="40"/>
  <c r="F196" i="40"/>
  <c r="E196" i="40"/>
  <c r="D196" i="40"/>
  <c r="C196" i="40"/>
  <c r="I195" i="40"/>
  <c r="G195" i="40"/>
  <c r="F195" i="40"/>
  <c r="E195" i="40"/>
  <c r="D195" i="40"/>
  <c r="C195" i="40"/>
  <c r="I194" i="40"/>
  <c r="G194" i="40"/>
  <c r="F194" i="40"/>
  <c r="E194" i="40"/>
  <c r="D194" i="40"/>
  <c r="C194" i="40"/>
  <c r="B194" i="40"/>
  <c r="I193" i="40"/>
  <c r="G193" i="40"/>
  <c r="F193" i="40"/>
  <c r="E193" i="40"/>
  <c r="D193" i="40"/>
  <c r="C193" i="40"/>
  <c r="B193" i="40"/>
  <c r="I194" i="39"/>
  <c r="G194" i="39"/>
  <c r="F194" i="39"/>
  <c r="E194" i="39"/>
  <c r="D194" i="39"/>
  <c r="C194" i="39"/>
  <c r="I193" i="39"/>
  <c r="G193" i="39"/>
  <c r="F193" i="39"/>
  <c r="E193" i="39"/>
  <c r="D193" i="39"/>
  <c r="C193" i="39"/>
  <c r="I192" i="39"/>
  <c r="G192" i="39"/>
  <c r="F192" i="39"/>
  <c r="E192" i="39"/>
  <c r="D192" i="39"/>
  <c r="C192" i="39"/>
  <c r="B192" i="39"/>
  <c r="I191" i="39"/>
  <c r="G191" i="39"/>
  <c r="F191" i="39"/>
  <c r="E191" i="39"/>
  <c r="D191" i="39"/>
  <c r="C191" i="39"/>
  <c r="B191" i="39"/>
  <c r="I198" i="38"/>
  <c r="G198" i="38"/>
  <c r="F198" i="38"/>
  <c r="E198" i="38"/>
  <c r="D198" i="38"/>
  <c r="C198" i="38"/>
  <c r="I197" i="38"/>
  <c r="G197" i="38"/>
  <c r="F197" i="38"/>
  <c r="E197" i="38"/>
  <c r="D197" i="38"/>
  <c r="C197" i="38"/>
  <c r="I196" i="38"/>
  <c r="G196" i="38"/>
  <c r="F196" i="38"/>
  <c r="E196" i="38"/>
  <c r="D196" i="38"/>
  <c r="C196" i="38"/>
  <c r="B196" i="38"/>
  <c r="I195" i="38"/>
  <c r="G195" i="38"/>
  <c r="F195" i="38"/>
  <c r="E195" i="38"/>
  <c r="D195" i="38"/>
  <c r="C195" i="38"/>
  <c r="B195" i="38"/>
  <c r="I198" i="37"/>
  <c r="G198" i="37"/>
  <c r="F198" i="37"/>
  <c r="E198" i="37"/>
  <c r="D198" i="37"/>
  <c r="C198" i="37"/>
  <c r="I197" i="37"/>
  <c r="G197" i="37"/>
  <c r="F197" i="37"/>
  <c r="E197" i="37"/>
  <c r="D197" i="37"/>
  <c r="C197" i="37"/>
  <c r="I196" i="37"/>
  <c r="G196" i="37"/>
  <c r="F196" i="37"/>
  <c r="E196" i="37"/>
  <c r="D196" i="37"/>
  <c r="C196" i="37"/>
  <c r="B196" i="37"/>
  <c r="I195" i="37"/>
  <c r="G195" i="37"/>
  <c r="F195" i="37"/>
  <c r="E195" i="37"/>
  <c r="D195" i="37"/>
  <c r="C195" i="37"/>
  <c r="B195" i="37"/>
  <c r="I195" i="35"/>
  <c r="G195" i="35"/>
  <c r="F195" i="35"/>
  <c r="E195" i="35"/>
  <c r="D195" i="35"/>
  <c r="C195" i="35"/>
  <c r="I194" i="35"/>
  <c r="G194" i="35"/>
  <c r="F194" i="35"/>
  <c r="E194" i="35"/>
  <c r="D194" i="35"/>
  <c r="C194" i="35"/>
  <c r="I193" i="35"/>
  <c r="G193" i="35"/>
  <c r="F193" i="35"/>
  <c r="E193" i="35"/>
  <c r="D193" i="35"/>
  <c r="C193" i="35"/>
  <c r="B193" i="35"/>
  <c r="I192" i="35"/>
  <c r="G192" i="35"/>
  <c r="F192" i="35"/>
  <c r="E192" i="35"/>
  <c r="D192" i="35"/>
  <c r="C192" i="35"/>
  <c r="B192" i="35"/>
  <c r="I196" i="34"/>
  <c r="G196" i="34"/>
  <c r="F196" i="34"/>
  <c r="E196" i="34"/>
  <c r="D196" i="34"/>
  <c r="C196" i="34"/>
  <c r="I195" i="34"/>
  <c r="G195" i="34"/>
  <c r="F195" i="34"/>
  <c r="E195" i="34"/>
  <c r="D195" i="34"/>
  <c r="C195" i="34"/>
  <c r="I194" i="34"/>
  <c r="G194" i="34"/>
  <c r="F194" i="34"/>
  <c r="E194" i="34"/>
  <c r="D194" i="34"/>
  <c r="C194" i="34"/>
  <c r="I193" i="34"/>
  <c r="G193" i="34"/>
  <c r="F193" i="34"/>
  <c r="E193" i="34"/>
  <c r="D193" i="34"/>
  <c r="C193" i="34"/>
  <c r="I195" i="33"/>
  <c r="G195" i="33"/>
  <c r="F195" i="33"/>
  <c r="E195" i="33"/>
  <c r="D195" i="33"/>
  <c r="C195" i="33"/>
  <c r="I194" i="33"/>
  <c r="G194" i="33"/>
  <c r="F194" i="33"/>
  <c r="E194" i="33"/>
  <c r="D194" i="33"/>
  <c r="C194" i="33"/>
  <c r="I193" i="33"/>
  <c r="G193" i="33"/>
  <c r="F193" i="33"/>
  <c r="E193" i="33"/>
  <c r="D193" i="33"/>
  <c r="C193" i="33"/>
  <c r="B193" i="33"/>
  <c r="I192" i="33"/>
  <c r="G192" i="33"/>
  <c r="F192" i="33"/>
  <c r="E192" i="33"/>
  <c r="D192" i="33"/>
  <c r="C192" i="33"/>
  <c r="B192" i="33"/>
  <c r="I195" i="32"/>
  <c r="G195" i="32"/>
  <c r="F195" i="32"/>
  <c r="E195" i="32"/>
  <c r="D195" i="32"/>
  <c r="C195" i="32"/>
  <c r="I194" i="32"/>
  <c r="G194" i="32"/>
  <c r="F194" i="32"/>
  <c r="E194" i="32"/>
  <c r="D194" i="32"/>
  <c r="C194" i="32"/>
  <c r="I193" i="32"/>
  <c r="G193" i="32"/>
  <c r="F193" i="32"/>
  <c r="E193" i="32"/>
  <c r="D193" i="32"/>
  <c r="C193" i="32"/>
  <c r="I192" i="32"/>
  <c r="G192" i="32"/>
  <c r="F192" i="32"/>
  <c r="E192" i="32"/>
  <c r="D192" i="32"/>
  <c r="C192" i="32"/>
  <c r="I188" i="26"/>
  <c r="G188" i="26"/>
  <c r="F188" i="26"/>
  <c r="E188" i="26"/>
  <c r="D188" i="26"/>
  <c r="C188" i="26"/>
  <c r="I187" i="26"/>
  <c r="G187" i="26"/>
  <c r="F187" i="26"/>
  <c r="E187" i="26"/>
  <c r="D187" i="26"/>
  <c r="C187" i="26"/>
  <c r="I186" i="26"/>
  <c r="G186" i="26"/>
  <c r="F186" i="26"/>
  <c r="E186" i="26"/>
  <c r="D186" i="26"/>
  <c r="I185" i="26"/>
  <c r="G185" i="26"/>
  <c r="F185" i="26"/>
  <c r="E185" i="26"/>
  <c r="D185" i="26"/>
  <c r="I188" i="25"/>
  <c r="G188" i="25"/>
  <c r="F188" i="25"/>
  <c r="E188" i="25"/>
  <c r="D188" i="25"/>
  <c r="C188" i="25"/>
  <c r="I187" i="25"/>
  <c r="G187" i="25"/>
  <c r="F187" i="25"/>
  <c r="E187" i="25"/>
  <c r="D187" i="25"/>
  <c r="C187" i="25"/>
  <c r="I186" i="25"/>
  <c r="G186" i="25"/>
  <c r="F186" i="25"/>
  <c r="E186" i="25"/>
  <c r="D186" i="25"/>
  <c r="C186" i="25"/>
  <c r="I185" i="25"/>
  <c r="G185" i="25"/>
  <c r="F185" i="25"/>
  <c r="E185" i="25"/>
  <c r="D185" i="25"/>
  <c r="C185" i="25"/>
  <c r="I197" i="24"/>
  <c r="G197" i="24"/>
  <c r="F197" i="24"/>
  <c r="E197" i="24"/>
  <c r="D197" i="24"/>
  <c r="C197" i="24"/>
  <c r="B197" i="24"/>
  <c r="I196" i="24"/>
  <c r="G196" i="24"/>
  <c r="F196" i="24"/>
  <c r="E196" i="24"/>
  <c r="D196" i="24"/>
  <c r="C196" i="24"/>
  <c r="I195" i="24"/>
  <c r="G195" i="24"/>
  <c r="F195" i="24"/>
  <c r="E195" i="24"/>
  <c r="D195" i="24"/>
  <c r="C195" i="24"/>
  <c r="B195" i="24"/>
  <c r="I194" i="24"/>
  <c r="G194" i="24"/>
  <c r="F194" i="24"/>
  <c r="E194" i="24"/>
  <c r="D194" i="24"/>
  <c r="C194" i="24"/>
  <c r="B194" i="24"/>
  <c r="I197" i="22"/>
  <c r="G197" i="22"/>
  <c r="F197" i="22"/>
  <c r="E197" i="22"/>
  <c r="D197" i="22"/>
  <c r="C197" i="22"/>
  <c r="I196" i="22"/>
  <c r="G196" i="22"/>
  <c r="F196" i="22"/>
  <c r="E196" i="22"/>
  <c r="D196" i="22"/>
  <c r="C196" i="22"/>
  <c r="I195" i="22"/>
  <c r="G195" i="22"/>
  <c r="F195" i="22"/>
  <c r="E195" i="22"/>
  <c r="D195" i="22"/>
  <c r="C195" i="22"/>
  <c r="B195" i="22"/>
  <c r="I194" i="22"/>
  <c r="G194" i="22"/>
  <c r="F194" i="22"/>
  <c r="E194" i="22"/>
  <c r="D194" i="22"/>
  <c r="C194" i="22"/>
  <c r="B194" i="22"/>
  <c r="I197" i="21"/>
  <c r="G197" i="21"/>
  <c r="F197" i="21"/>
  <c r="E197" i="21"/>
  <c r="D197" i="21"/>
  <c r="C197" i="21"/>
  <c r="I196" i="21"/>
  <c r="G196" i="21"/>
  <c r="F196" i="21"/>
  <c r="E196" i="21"/>
  <c r="D196" i="21"/>
  <c r="C196" i="21"/>
  <c r="I195" i="21"/>
  <c r="G195" i="21"/>
  <c r="F195" i="21"/>
  <c r="E195" i="21"/>
  <c r="D195" i="21"/>
  <c r="C195" i="21"/>
  <c r="B195" i="21"/>
  <c r="I194" i="21"/>
  <c r="G194" i="21"/>
  <c r="F194" i="21"/>
  <c r="E194" i="21"/>
  <c r="D194" i="21"/>
  <c r="C194" i="21"/>
  <c r="B194" i="21"/>
  <c r="I189" i="19"/>
  <c r="G189" i="19"/>
  <c r="F189" i="19"/>
  <c r="E189" i="19"/>
  <c r="D189" i="19"/>
  <c r="C189" i="19"/>
  <c r="I188" i="19"/>
  <c r="G188" i="19"/>
  <c r="F188" i="19"/>
  <c r="E188" i="19"/>
  <c r="D188" i="19"/>
  <c r="C188" i="19"/>
  <c r="I187" i="19"/>
  <c r="G187" i="19"/>
  <c r="F187" i="19"/>
  <c r="E187" i="19"/>
  <c r="D187" i="19"/>
  <c r="C187" i="19"/>
  <c r="B187" i="19"/>
  <c r="I186" i="19"/>
  <c r="G186" i="19"/>
  <c r="F186" i="19"/>
  <c r="E186" i="19"/>
  <c r="D186" i="19"/>
  <c r="C186" i="19"/>
  <c r="B186" i="19"/>
  <c r="I189" i="18"/>
  <c r="G189" i="18"/>
  <c r="F189" i="18"/>
  <c r="E189" i="18"/>
  <c r="D189" i="18"/>
  <c r="B189" i="18"/>
  <c r="I188" i="18"/>
  <c r="G188" i="18"/>
  <c r="F188" i="18"/>
  <c r="E188" i="18"/>
  <c r="D188" i="18"/>
  <c r="B188" i="18"/>
  <c r="I187" i="18"/>
  <c r="G187" i="18"/>
  <c r="F187" i="18"/>
  <c r="E187" i="18"/>
  <c r="D187" i="18"/>
  <c r="C187" i="18"/>
  <c r="B187" i="18"/>
  <c r="I186" i="18"/>
  <c r="G186" i="18"/>
  <c r="F186" i="18"/>
  <c r="E186" i="18"/>
  <c r="D186" i="18"/>
  <c r="C186" i="18"/>
  <c r="B186" i="18"/>
  <c r="I194" i="17"/>
  <c r="G194" i="17"/>
  <c r="F194" i="17"/>
  <c r="E194" i="17"/>
  <c r="D194" i="17"/>
  <c r="B194" i="17"/>
  <c r="I193" i="17"/>
  <c r="G193" i="17"/>
  <c r="F193" i="17"/>
  <c r="E193" i="17"/>
  <c r="D193" i="17"/>
  <c r="B193" i="17"/>
  <c r="I192" i="17"/>
  <c r="G192" i="17"/>
  <c r="F192" i="17"/>
  <c r="E192" i="17"/>
  <c r="D192" i="17"/>
  <c r="C192" i="17"/>
  <c r="B192" i="17"/>
  <c r="I191" i="17"/>
  <c r="G191" i="17"/>
  <c r="F191" i="17"/>
  <c r="E191" i="17"/>
  <c r="D191" i="17"/>
  <c r="C191" i="17"/>
  <c r="B191" i="17"/>
  <c r="I196" i="15"/>
  <c r="G196" i="15"/>
  <c r="F196" i="15"/>
  <c r="E196" i="15"/>
  <c r="D196" i="15"/>
  <c r="C196" i="15"/>
  <c r="I195" i="15"/>
  <c r="G195" i="15"/>
  <c r="F195" i="15"/>
  <c r="E195" i="15"/>
  <c r="D195" i="15"/>
  <c r="C195" i="15"/>
  <c r="I194" i="15"/>
  <c r="G194" i="15"/>
  <c r="F194" i="15"/>
  <c r="E194" i="15"/>
  <c r="D194" i="15"/>
  <c r="C194" i="15"/>
  <c r="B194" i="15"/>
  <c r="I193" i="15"/>
  <c r="G193" i="15"/>
  <c r="F193" i="15"/>
  <c r="E193" i="15"/>
  <c r="D193" i="15"/>
  <c r="C193" i="15"/>
  <c r="B193" i="15"/>
  <c r="I196" i="14"/>
  <c r="G196" i="14"/>
  <c r="F196" i="14"/>
  <c r="E196" i="14"/>
  <c r="D196" i="14"/>
  <c r="C196" i="14"/>
  <c r="I195" i="14"/>
  <c r="G195" i="14"/>
  <c r="F195" i="14"/>
  <c r="E195" i="14"/>
  <c r="D195" i="14"/>
  <c r="C195" i="14"/>
  <c r="I194" i="14"/>
  <c r="G194" i="14"/>
  <c r="F194" i="14"/>
  <c r="E194" i="14"/>
  <c r="D194" i="14"/>
  <c r="C194" i="14"/>
  <c r="B194" i="14"/>
  <c r="I193" i="14"/>
  <c r="G193" i="14"/>
  <c r="F193" i="14"/>
  <c r="E193" i="14"/>
  <c r="D193" i="14"/>
  <c r="C193" i="14"/>
  <c r="B193" i="14"/>
  <c r="I194" i="13"/>
  <c r="G194" i="13"/>
  <c r="F194" i="13"/>
  <c r="E194" i="13"/>
  <c r="D194" i="13"/>
  <c r="C194" i="13"/>
  <c r="I193" i="13"/>
  <c r="G193" i="13"/>
  <c r="F193" i="13"/>
  <c r="E193" i="13"/>
  <c r="D193" i="13"/>
  <c r="C193" i="13"/>
  <c r="I192" i="13"/>
  <c r="G192" i="13"/>
  <c r="F192" i="13"/>
  <c r="E192" i="13"/>
  <c r="D192" i="13"/>
  <c r="C192" i="13"/>
  <c r="B192" i="13"/>
  <c r="I191" i="13"/>
  <c r="G191" i="13"/>
  <c r="F191" i="13"/>
  <c r="E191" i="13"/>
  <c r="D191" i="13"/>
  <c r="C191" i="13"/>
  <c r="B191" i="13"/>
  <c r="I187" i="12"/>
  <c r="G187" i="12"/>
  <c r="F187" i="12"/>
  <c r="E187" i="12"/>
  <c r="D187" i="12"/>
  <c r="C187" i="12"/>
  <c r="I186" i="12"/>
  <c r="G186" i="12"/>
  <c r="F186" i="12"/>
  <c r="E186" i="12"/>
  <c r="D186" i="12"/>
  <c r="C186" i="12"/>
  <c r="I185" i="12"/>
  <c r="G185" i="12"/>
  <c r="F185" i="12"/>
  <c r="E185" i="12"/>
  <c r="D185" i="12"/>
  <c r="C185" i="12"/>
  <c r="I184" i="12"/>
  <c r="G184" i="12"/>
  <c r="F184" i="12"/>
  <c r="E184" i="12"/>
  <c r="D184" i="12"/>
  <c r="C184" i="12"/>
  <c r="G188" i="11"/>
  <c r="F188" i="11"/>
  <c r="E188" i="11"/>
  <c r="D188" i="11"/>
  <c r="C188" i="11"/>
  <c r="G187" i="11"/>
  <c r="F187" i="11"/>
  <c r="E187" i="11"/>
  <c r="D187" i="11"/>
  <c r="C187" i="11"/>
  <c r="G186" i="11"/>
  <c r="F186" i="11"/>
  <c r="E186" i="11"/>
  <c r="D186" i="11"/>
  <c r="C186" i="11"/>
  <c r="G185" i="11"/>
  <c r="F185" i="11"/>
  <c r="E185" i="11"/>
  <c r="D185" i="11"/>
  <c r="C185" i="11"/>
  <c r="I196" i="10"/>
  <c r="G196" i="10"/>
  <c r="F196" i="10"/>
  <c r="E196" i="10"/>
  <c r="D196" i="10"/>
  <c r="I195" i="10"/>
  <c r="G195" i="10"/>
  <c r="F195" i="10"/>
  <c r="E195" i="10"/>
  <c r="D195" i="10"/>
  <c r="I194" i="10"/>
  <c r="G194" i="10"/>
  <c r="F194" i="10"/>
  <c r="E194" i="10"/>
  <c r="D194" i="10"/>
  <c r="C194" i="10"/>
  <c r="I193" i="10"/>
  <c r="G193" i="10"/>
  <c r="F193" i="10"/>
  <c r="E193" i="10"/>
  <c r="D193" i="10"/>
  <c r="C193" i="10"/>
  <c r="G189" i="9"/>
  <c r="F189" i="9"/>
  <c r="E189" i="9"/>
  <c r="D189" i="9"/>
  <c r="C189" i="9"/>
  <c r="G188" i="9"/>
  <c r="F188" i="9"/>
  <c r="E188" i="9"/>
  <c r="D188" i="9"/>
  <c r="C188" i="9"/>
  <c r="G187" i="9"/>
  <c r="F187" i="9"/>
  <c r="E187" i="9"/>
  <c r="D187" i="9"/>
  <c r="C187" i="9"/>
  <c r="G186" i="9"/>
  <c r="F186" i="9"/>
  <c r="E186" i="9"/>
  <c r="D186" i="9"/>
  <c r="C186" i="9"/>
  <c r="I197" i="8"/>
  <c r="G197" i="8"/>
  <c r="F197" i="8"/>
  <c r="E197" i="8"/>
  <c r="D197" i="8"/>
  <c r="C197" i="8"/>
  <c r="I196" i="8"/>
  <c r="G196" i="8"/>
  <c r="F196" i="8"/>
  <c r="E196" i="8"/>
  <c r="D196" i="8"/>
  <c r="C196" i="8"/>
  <c r="I195" i="8"/>
  <c r="G195" i="8"/>
  <c r="F195" i="8"/>
  <c r="E195" i="8"/>
  <c r="D195" i="8"/>
  <c r="C195" i="8"/>
  <c r="I194" i="8"/>
  <c r="G194" i="8"/>
  <c r="F194" i="8"/>
  <c r="E194" i="8"/>
  <c r="D194" i="8"/>
  <c r="C194" i="8"/>
  <c r="I187" i="7"/>
  <c r="G187" i="7"/>
  <c r="F187" i="7"/>
  <c r="E187" i="7"/>
  <c r="D187" i="7"/>
  <c r="C187" i="7"/>
  <c r="I186" i="7"/>
  <c r="G186" i="7"/>
  <c r="F186" i="7"/>
  <c r="E186" i="7"/>
  <c r="D186" i="7"/>
  <c r="C186" i="7"/>
  <c r="I185" i="7"/>
  <c r="G185" i="7"/>
  <c r="F185" i="7"/>
  <c r="E185" i="7"/>
  <c r="D185" i="7"/>
  <c r="C185" i="7"/>
  <c r="I184" i="7"/>
  <c r="G184" i="7"/>
  <c r="F184" i="7"/>
  <c r="E184" i="7"/>
  <c r="D184" i="7"/>
  <c r="C184" i="7"/>
  <c r="F192" i="6"/>
  <c r="F191" i="6"/>
  <c r="F189" i="6"/>
  <c r="I192" i="6"/>
  <c r="I191" i="6"/>
  <c r="I190" i="6"/>
  <c r="I189" i="6"/>
  <c r="G192" i="6"/>
  <c r="E192" i="6"/>
  <c r="D192" i="6"/>
  <c r="C192" i="6"/>
  <c r="G191" i="6"/>
  <c r="E191" i="6"/>
  <c r="D191" i="6"/>
  <c r="C191" i="6"/>
  <c r="G190" i="6"/>
  <c r="F190" i="6"/>
  <c r="E190" i="6"/>
  <c r="D190" i="6"/>
  <c r="C190" i="6"/>
  <c r="G189" i="6"/>
  <c r="E189" i="6"/>
  <c r="D189" i="6"/>
  <c r="C189" i="6"/>
  <c r="I190" i="5"/>
  <c r="I189" i="5"/>
  <c r="G190" i="5"/>
  <c r="G189" i="5"/>
  <c r="F190" i="5"/>
  <c r="F189" i="5"/>
  <c r="D190" i="5"/>
  <c r="D189" i="5"/>
  <c r="C190" i="5"/>
  <c r="C189" i="5"/>
  <c r="H145" i="5"/>
  <c r="E190" i="5"/>
  <c r="E189" i="5"/>
  <c r="C148" i="49"/>
  <c r="C168" i="49" s="1"/>
  <c r="C147" i="49"/>
  <c r="H148" i="49"/>
  <c r="G148" i="49"/>
  <c r="F148" i="49"/>
  <c r="E148" i="49"/>
  <c r="D148" i="49"/>
  <c r="B148" i="49"/>
  <c r="B168" i="49" s="1"/>
  <c r="I147" i="49"/>
  <c r="C298" i="49" s="1"/>
  <c r="H147" i="49"/>
  <c r="G147" i="49"/>
  <c r="F147" i="49"/>
  <c r="E147" i="49"/>
  <c r="D147" i="49"/>
  <c r="B147" i="49"/>
  <c r="B167" i="49" s="1"/>
  <c r="V138" i="49"/>
  <c r="V137" i="49"/>
  <c r="V136" i="49"/>
  <c r="B148" i="48"/>
  <c r="B168" i="48" s="1"/>
  <c r="B147" i="48"/>
  <c r="B167" i="48" s="1"/>
  <c r="C148" i="48"/>
  <c r="C168" i="48" s="1"/>
  <c r="C147" i="48"/>
  <c r="V138" i="48"/>
  <c r="V137" i="48"/>
  <c r="V136" i="48"/>
  <c r="H148" i="48"/>
  <c r="H147" i="48"/>
  <c r="G148" i="48"/>
  <c r="F148" i="48"/>
  <c r="E148" i="48"/>
  <c r="D148" i="48"/>
  <c r="I147" i="48"/>
  <c r="C299" i="48" s="1"/>
  <c r="G147" i="48"/>
  <c r="F147" i="48"/>
  <c r="E147" i="48"/>
  <c r="D147" i="48"/>
  <c r="F148" i="46"/>
  <c r="F147" i="46"/>
  <c r="B147" i="46"/>
  <c r="B167" i="46" s="1"/>
  <c r="H148" i="46"/>
  <c r="G148" i="46"/>
  <c r="E148" i="46"/>
  <c r="D148" i="46"/>
  <c r="C148" i="46"/>
  <c r="C168" i="46" s="1"/>
  <c r="B148" i="46"/>
  <c r="B168" i="46" s="1"/>
  <c r="I147" i="46"/>
  <c r="C299" i="46" s="1"/>
  <c r="H147" i="46"/>
  <c r="G147" i="46"/>
  <c r="E147" i="46"/>
  <c r="D147" i="46"/>
  <c r="C147" i="46"/>
  <c r="V138" i="46"/>
  <c r="V137" i="46"/>
  <c r="V136" i="46"/>
  <c r="V138" i="45"/>
  <c r="V137" i="45"/>
  <c r="V136" i="45"/>
  <c r="I147" i="45"/>
  <c r="C300" i="45" s="1"/>
  <c r="G148" i="45"/>
  <c r="G147" i="45"/>
  <c r="H148" i="45"/>
  <c r="F148" i="45"/>
  <c r="E148" i="45"/>
  <c r="D148" i="45"/>
  <c r="C148" i="45"/>
  <c r="C168" i="45" s="1"/>
  <c r="B148" i="45"/>
  <c r="B168" i="45" s="1"/>
  <c r="H147" i="45"/>
  <c r="F147" i="45"/>
  <c r="E147" i="45"/>
  <c r="D147" i="45"/>
  <c r="C147" i="45"/>
  <c r="B147" i="45"/>
  <c r="B167" i="45" s="1"/>
  <c r="V138" i="43"/>
  <c r="V137" i="43"/>
  <c r="V136" i="43"/>
  <c r="B148" i="43"/>
  <c r="B168" i="43" s="1"/>
  <c r="H148" i="43"/>
  <c r="G148" i="43"/>
  <c r="F148" i="43"/>
  <c r="E148" i="43"/>
  <c r="D148" i="43"/>
  <c r="C148" i="43"/>
  <c r="C168" i="43" s="1"/>
  <c r="G147" i="43"/>
  <c r="F147" i="43"/>
  <c r="E147" i="43"/>
  <c r="D147" i="43"/>
  <c r="C147" i="43"/>
  <c r="V138" i="42"/>
  <c r="V137" i="42"/>
  <c r="V136" i="42"/>
  <c r="H148" i="42"/>
  <c r="G148" i="42"/>
  <c r="F148" i="42"/>
  <c r="E148" i="42"/>
  <c r="D148" i="42"/>
  <c r="C148" i="42"/>
  <c r="C168" i="42" s="1"/>
  <c r="B148" i="42"/>
  <c r="B168" i="42" s="1"/>
  <c r="I147" i="42"/>
  <c r="C299" i="42" s="1"/>
  <c r="H147" i="42"/>
  <c r="G147" i="42"/>
  <c r="F147" i="42"/>
  <c r="E147" i="42"/>
  <c r="D147" i="42"/>
  <c r="C147" i="42"/>
  <c r="B147" i="42"/>
  <c r="B167" i="42" s="1"/>
  <c r="B148" i="41"/>
  <c r="B168" i="41" s="1"/>
  <c r="B147" i="41"/>
  <c r="B167" i="41" s="1"/>
  <c r="H148" i="41"/>
  <c r="G148" i="41"/>
  <c r="F148" i="41"/>
  <c r="E148" i="41"/>
  <c r="D148" i="41"/>
  <c r="C148" i="41"/>
  <c r="C168" i="41" s="1"/>
  <c r="I147" i="41"/>
  <c r="C299" i="41" s="1"/>
  <c r="H147" i="41"/>
  <c r="G147" i="41"/>
  <c r="F147" i="41"/>
  <c r="E147" i="41"/>
  <c r="D147" i="41"/>
  <c r="C147" i="41"/>
  <c r="V138" i="41"/>
  <c r="V137" i="41"/>
  <c r="V136" i="41"/>
  <c r="B147" i="40"/>
  <c r="B167" i="40" s="1"/>
  <c r="H148" i="40"/>
  <c r="F148" i="40"/>
  <c r="F147" i="40"/>
  <c r="B148" i="40"/>
  <c r="B168" i="40" s="1"/>
  <c r="V138" i="40"/>
  <c r="V137" i="40"/>
  <c r="V136" i="40"/>
  <c r="H147" i="40"/>
  <c r="G148" i="40"/>
  <c r="E148" i="40"/>
  <c r="D148" i="40"/>
  <c r="C148" i="40"/>
  <c r="C168" i="40" s="1"/>
  <c r="I147" i="40"/>
  <c r="C302" i="40" s="1"/>
  <c r="G147" i="40"/>
  <c r="E147" i="40"/>
  <c r="D147" i="40"/>
  <c r="C147" i="40"/>
  <c r="I147" i="39"/>
  <c r="C301" i="39" s="1"/>
  <c r="C147" i="39"/>
  <c r="V138" i="39"/>
  <c r="V137" i="39"/>
  <c r="V136" i="39"/>
  <c r="F148" i="39"/>
  <c r="F147" i="39"/>
  <c r="C148" i="39"/>
  <c r="C168" i="39" s="1"/>
  <c r="B148" i="39"/>
  <c r="B168" i="39" s="1"/>
  <c r="B147" i="39"/>
  <c r="B167" i="39" s="1"/>
  <c r="H148" i="39"/>
  <c r="G148" i="39"/>
  <c r="E148" i="39"/>
  <c r="D148" i="39"/>
  <c r="H147" i="39"/>
  <c r="G147" i="39"/>
  <c r="E147" i="39"/>
  <c r="D147" i="39"/>
  <c r="V138" i="38"/>
  <c r="V137" i="38"/>
  <c r="V136" i="38"/>
  <c r="C148" i="38"/>
  <c r="C170" i="38" s="1"/>
  <c r="C147" i="38"/>
  <c r="H148" i="38"/>
  <c r="G148" i="38"/>
  <c r="F148" i="38"/>
  <c r="E148" i="38"/>
  <c r="D148" i="38"/>
  <c r="B148" i="38"/>
  <c r="B170" i="38" s="1"/>
  <c r="I147" i="38"/>
  <c r="C299" i="38" s="1"/>
  <c r="H147" i="38"/>
  <c r="G147" i="38"/>
  <c r="F147" i="38"/>
  <c r="E147" i="38"/>
  <c r="D147" i="38"/>
  <c r="B147" i="38"/>
  <c r="B169" i="38" s="1"/>
  <c r="B148" i="37"/>
  <c r="B170" i="37" s="1"/>
  <c r="B147" i="37"/>
  <c r="B169" i="37" s="1"/>
  <c r="V138" i="37"/>
  <c r="V137" i="37"/>
  <c r="V136" i="37"/>
  <c r="C148" i="37"/>
  <c r="C170" i="37" s="1"/>
  <c r="C147" i="37"/>
  <c r="H148" i="37"/>
  <c r="G148" i="37"/>
  <c r="F148" i="37"/>
  <c r="E148" i="37"/>
  <c r="D148" i="37"/>
  <c r="I147" i="37"/>
  <c r="C302" i="37" s="1"/>
  <c r="H147" i="37"/>
  <c r="G147" i="37"/>
  <c r="F147" i="37"/>
  <c r="E147" i="37"/>
  <c r="D147" i="37"/>
  <c r="I146" i="35"/>
  <c r="C300" i="35" s="1"/>
  <c r="F147" i="35"/>
  <c r="F146" i="35"/>
  <c r="V138" i="35"/>
  <c r="V137" i="35"/>
  <c r="V136" i="35"/>
  <c r="H147" i="35"/>
  <c r="H146" i="35"/>
  <c r="G147" i="35"/>
  <c r="E147" i="35"/>
  <c r="D147" i="35"/>
  <c r="C147" i="35"/>
  <c r="C169" i="35" s="1"/>
  <c r="B147" i="35"/>
  <c r="B169" i="35" s="1"/>
  <c r="G146" i="35"/>
  <c r="E146" i="35"/>
  <c r="D146" i="35"/>
  <c r="C146" i="35"/>
  <c r="B146" i="35"/>
  <c r="B168" i="35" s="1"/>
  <c r="V138" i="34"/>
  <c r="V137" i="34"/>
  <c r="V136" i="34"/>
  <c r="I147" i="34"/>
  <c r="C301" i="34" s="1"/>
  <c r="F148" i="34"/>
  <c r="F147" i="34"/>
  <c r="H148" i="34"/>
  <c r="G148" i="34"/>
  <c r="E148" i="34"/>
  <c r="D148" i="34"/>
  <c r="C148" i="34"/>
  <c r="C170" i="34" s="1"/>
  <c r="B148" i="34"/>
  <c r="B170" i="34" s="1"/>
  <c r="H147" i="34"/>
  <c r="G147" i="34"/>
  <c r="E147" i="34"/>
  <c r="D147" i="34"/>
  <c r="C147" i="34"/>
  <c r="B147" i="34"/>
  <c r="B169" i="34" s="1"/>
  <c r="C147" i="33"/>
  <c r="V138" i="33"/>
  <c r="V137" i="33"/>
  <c r="I148" i="33" s="1"/>
  <c r="C304" i="33" s="1"/>
  <c r="V136" i="33"/>
  <c r="C148" i="33"/>
  <c r="C170" i="33" s="1"/>
  <c r="H148" i="33"/>
  <c r="G148" i="33"/>
  <c r="F148" i="33"/>
  <c r="E148" i="33"/>
  <c r="D148" i="33"/>
  <c r="B148" i="33"/>
  <c r="B170" i="33" s="1"/>
  <c r="I147" i="33"/>
  <c r="C302" i="33" s="1"/>
  <c r="H147" i="33"/>
  <c r="G147" i="33"/>
  <c r="F147" i="33"/>
  <c r="E147" i="33"/>
  <c r="D147" i="33"/>
  <c r="B147" i="33"/>
  <c r="B169" i="33" s="1"/>
  <c r="F147" i="32"/>
  <c r="V138" i="32"/>
  <c r="V137" i="32"/>
  <c r="V136" i="32"/>
  <c r="H148" i="32"/>
  <c r="G148" i="32"/>
  <c r="F148" i="32"/>
  <c r="E148" i="32"/>
  <c r="D148" i="32"/>
  <c r="C148" i="32"/>
  <c r="C170" i="32" s="1"/>
  <c r="B148" i="32"/>
  <c r="B170" i="32" s="1"/>
  <c r="I147" i="32"/>
  <c r="C301" i="32" s="1"/>
  <c r="H147" i="32"/>
  <c r="G147" i="32"/>
  <c r="E147" i="32"/>
  <c r="D147" i="32"/>
  <c r="C147" i="32"/>
  <c r="B147" i="32"/>
  <c r="B169" i="32" s="1"/>
  <c r="V138" i="29"/>
  <c r="V137" i="29"/>
  <c r="V136" i="29"/>
  <c r="I148" i="29" s="1"/>
  <c r="C302" i="29" s="1"/>
  <c r="B148" i="29"/>
  <c r="B170" i="29" s="1"/>
  <c r="B147" i="29"/>
  <c r="B169" i="29" s="1"/>
  <c r="H148" i="29"/>
  <c r="G148" i="29"/>
  <c r="F148" i="29"/>
  <c r="E148" i="29"/>
  <c r="D148" i="29"/>
  <c r="C148" i="29"/>
  <c r="C170" i="29" s="1"/>
  <c r="G147" i="29"/>
  <c r="F147" i="29"/>
  <c r="E147" i="29"/>
  <c r="D147" i="29"/>
  <c r="C147" i="29"/>
  <c r="V138" i="28"/>
  <c r="V137" i="28"/>
  <c r="V136" i="28"/>
  <c r="I147" i="28" s="1"/>
  <c r="C304" i="28" s="1"/>
  <c r="H147" i="28"/>
  <c r="H146" i="28"/>
  <c r="G147" i="28"/>
  <c r="F147" i="28"/>
  <c r="E147" i="28"/>
  <c r="D147" i="28"/>
  <c r="C147" i="28"/>
  <c r="C169" i="28" s="1"/>
  <c r="B147" i="28"/>
  <c r="B169" i="28" s="1"/>
  <c r="I146" i="28"/>
  <c r="C302" i="28" s="1"/>
  <c r="G146" i="28"/>
  <c r="F146" i="28"/>
  <c r="E146" i="28"/>
  <c r="D146" i="28"/>
  <c r="C146" i="28"/>
  <c r="B146" i="28"/>
  <c r="B168" i="28" s="1"/>
  <c r="H146" i="26"/>
  <c r="H145" i="26"/>
  <c r="C146" i="26"/>
  <c r="C168" i="26" s="1"/>
  <c r="C145" i="26"/>
  <c r="C167" i="26" s="1"/>
  <c r="V138" i="26"/>
  <c r="V137" i="26"/>
  <c r="V136" i="26"/>
  <c r="I146" i="26" s="1"/>
  <c r="I145" i="26"/>
  <c r="B146" i="26"/>
  <c r="B168" i="26" s="1"/>
  <c r="B145" i="26"/>
  <c r="G146" i="26"/>
  <c r="F146" i="26"/>
  <c r="E146" i="26"/>
  <c r="D146" i="26"/>
  <c r="G145" i="26"/>
  <c r="F145" i="26"/>
  <c r="E145" i="26"/>
  <c r="D145" i="26"/>
  <c r="I145" i="25"/>
  <c r="C306" i="25" s="1"/>
  <c r="H146" i="25"/>
  <c r="H145" i="25"/>
  <c r="F146" i="25"/>
  <c r="F145" i="25"/>
  <c r="V138" i="25"/>
  <c r="V137" i="25"/>
  <c r="V136" i="25"/>
  <c r="G146" i="25"/>
  <c r="E146" i="25"/>
  <c r="D146" i="25"/>
  <c r="C146" i="25"/>
  <c r="C168" i="25" s="1"/>
  <c r="B146" i="25"/>
  <c r="B168" i="25" s="1"/>
  <c r="G145" i="25"/>
  <c r="E145" i="25"/>
  <c r="D145" i="25"/>
  <c r="C145" i="25"/>
  <c r="C167" i="25" s="1"/>
  <c r="B145" i="25"/>
  <c r="H147" i="24"/>
  <c r="H146" i="24"/>
  <c r="C146" i="24"/>
  <c r="V138" i="24"/>
  <c r="V137" i="24"/>
  <c r="V136" i="24"/>
  <c r="I146" i="24"/>
  <c r="C299" i="24" s="1"/>
  <c r="F147" i="24"/>
  <c r="F146" i="24"/>
  <c r="B147" i="24"/>
  <c r="B169" i="24" s="1"/>
  <c r="G147" i="24"/>
  <c r="E147" i="24"/>
  <c r="D147" i="24"/>
  <c r="C147" i="24"/>
  <c r="C169" i="24" s="1"/>
  <c r="G146" i="24"/>
  <c r="E146" i="24"/>
  <c r="D146" i="24"/>
  <c r="B146" i="24"/>
  <c r="B168" i="24" s="1"/>
  <c r="C147" i="22"/>
  <c r="F147" i="22"/>
  <c r="V138" i="22"/>
  <c r="V137" i="22"/>
  <c r="V136" i="22"/>
  <c r="F148" i="22"/>
  <c r="B148" i="22"/>
  <c r="B170" i="22" s="1"/>
  <c r="B147" i="22"/>
  <c r="B169" i="22" s="1"/>
  <c r="H148" i="22"/>
  <c r="G148" i="22"/>
  <c r="E148" i="22"/>
  <c r="D148" i="22"/>
  <c r="C148" i="22"/>
  <c r="C170" i="22" s="1"/>
  <c r="I147" i="22"/>
  <c r="C301" i="22" s="1"/>
  <c r="H147" i="22"/>
  <c r="G147" i="22"/>
  <c r="E147" i="22"/>
  <c r="D147" i="22"/>
  <c r="I146" i="21"/>
  <c r="C299" i="21" s="1"/>
  <c r="H147" i="21"/>
  <c r="H146" i="21"/>
  <c r="F147" i="21"/>
  <c r="F146" i="21"/>
  <c r="D147" i="21"/>
  <c r="D146" i="21"/>
  <c r="V138" i="21"/>
  <c r="V137" i="21"/>
  <c r="V136" i="21"/>
  <c r="B147" i="21"/>
  <c r="B169" i="21" s="1"/>
  <c r="B146" i="21"/>
  <c r="B168" i="21" s="1"/>
  <c r="G147" i="21"/>
  <c r="E147" i="21"/>
  <c r="C147" i="21"/>
  <c r="C169" i="21" s="1"/>
  <c r="G146" i="21"/>
  <c r="E146" i="21"/>
  <c r="C146" i="21"/>
  <c r="V138" i="19"/>
  <c r="V137" i="19"/>
  <c r="V136" i="19"/>
  <c r="I146" i="19"/>
  <c r="C300" i="19" s="1"/>
  <c r="B147" i="19"/>
  <c r="B169" i="19" s="1"/>
  <c r="B146" i="19"/>
  <c r="H147" i="19"/>
  <c r="G147" i="19"/>
  <c r="F147" i="19"/>
  <c r="E147" i="19"/>
  <c r="D147" i="19"/>
  <c r="C147" i="19"/>
  <c r="C169" i="19" s="1"/>
  <c r="H146" i="19"/>
  <c r="G146" i="19"/>
  <c r="F146" i="19"/>
  <c r="E146" i="19"/>
  <c r="D146" i="19"/>
  <c r="C146" i="19"/>
  <c r="C168" i="19" s="1"/>
  <c r="C146" i="18"/>
  <c r="C168" i="18" s="1"/>
  <c r="V138" i="18"/>
  <c r="V137" i="18"/>
  <c r="V136" i="18"/>
  <c r="I146" i="18"/>
  <c r="C301" i="18" s="1"/>
  <c r="D146" i="18"/>
  <c r="E146" i="18"/>
  <c r="F146" i="18"/>
  <c r="G146" i="18"/>
  <c r="H146" i="18"/>
  <c r="C147" i="18"/>
  <c r="C169" i="18" s="1"/>
  <c r="D147" i="18"/>
  <c r="E147" i="18"/>
  <c r="F147" i="18"/>
  <c r="G147" i="18"/>
  <c r="H147" i="18"/>
  <c r="B147" i="18"/>
  <c r="B169" i="18" s="1"/>
  <c r="B146" i="18"/>
  <c r="B168" i="18" s="1"/>
  <c r="V138" i="17"/>
  <c r="V137" i="17"/>
  <c r="V136" i="17"/>
  <c r="I147" i="17" s="1"/>
  <c r="C303" i="17" s="1"/>
  <c r="I146" i="17"/>
  <c r="C301" i="17" s="1"/>
  <c r="C146" i="17"/>
  <c r="D146" i="17"/>
  <c r="E146" i="17"/>
  <c r="F146" i="17"/>
  <c r="G146" i="17"/>
  <c r="H146" i="17"/>
  <c r="C147" i="17"/>
  <c r="C169" i="17" s="1"/>
  <c r="D147" i="17"/>
  <c r="E147" i="17"/>
  <c r="F147" i="17"/>
  <c r="G147" i="17"/>
  <c r="H147" i="17"/>
  <c r="B147" i="17"/>
  <c r="B169" i="17" s="1"/>
  <c r="B146" i="17"/>
  <c r="B168" i="17" s="1"/>
  <c r="F148" i="15"/>
  <c r="F147" i="15"/>
  <c r="H148" i="15"/>
  <c r="H147" i="15"/>
  <c r="I147" i="15"/>
  <c r="C301" i="15" s="1"/>
  <c r="V138" i="15"/>
  <c r="V137" i="15"/>
  <c r="V136" i="15"/>
  <c r="D148" i="15"/>
  <c r="D147" i="15"/>
  <c r="C148" i="15"/>
  <c r="C170" i="15" s="1"/>
  <c r="C147" i="15"/>
  <c r="B148" i="15"/>
  <c r="B170" i="15" s="1"/>
  <c r="B147" i="15"/>
  <c r="B169" i="15" s="1"/>
  <c r="G148" i="15"/>
  <c r="E148" i="15"/>
  <c r="G147" i="15"/>
  <c r="E147" i="15"/>
  <c r="H148" i="14"/>
  <c r="H147" i="14"/>
  <c r="C147" i="14"/>
  <c r="V138" i="14"/>
  <c r="V137" i="14"/>
  <c r="V136" i="14"/>
  <c r="D147" i="14"/>
  <c r="E147" i="14"/>
  <c r="F147" i="14"/>
  <c r="G147" i="14"/>
  <c r="I147" i="14"/>
  <c r="C301" i="14" s="1"/>
  <c r="C148" i="14"/>
  <c r="C170" i="14" s="1"/>
  <c r="D148" i="14"/>
  <c r="E148" i="14"/>
  <c r="F148" i="14"/>
  <c r="G148" i="14"/>
  <c r="B148" i="14"/>
  <c r="B170" i="14" s="1"/>
  <c r="B147" i="14"/>
  <c r="B169" i="14" s="1"/>
  <c r="V138" i="13"/>
  <c r="V137" i="13"/>
  <c r="V136" i="13"/>
  <c r="C146" i="13"/>
  <c r="D146" i="13"/>
  <c r="E146" i="13"/>
  <c r="F146" i="13"/>
  <c r="G146" i="13"/>
  <c r="H146" i="13"/>
  <c r="I146" i="13"/>
  <c r="C301" i="13" s="1"/>
  <c r="C147" i="13"/>
  <c r="C169" i="13" s="1"/>
  <c r="D147" i="13"/>
  <c r="E147" i="13"/>
  <c r="F147" i="13"/>
  <c r="G147" i="13"/>
  <c r="H147" i="13"/>
  <c r="B147" i="13"/>
  <c r="B169" i="13" s="1"/>
  <c r="B146" i="13"/>
  <c r="B168" i="13" s="1"/>
  <c r="F146" i="12"/>
  <c r="V138" i="12"/>
  <c r="V137" i="12"/>
  <c r="I146" i="12" s="1"/>
  <c r="V136" i="12"/>
  <c r="I145" i="12"/>
  <c r="B146" i="12"/>
  <c r="B168" i="12" s="1"/>
  <c r="B145" i="12"/>
  <c r="H146" i="12"/>
  <c r="G146" i="12"/>
  <c r="E146" i="12"/>
  <c r="D146" i="12"/>
  <c r="C146" i="12"/>
  <c r="C168" i="12" s="1"/>
  <c r="G145" i="12"/>
  <c r="F145" i="12"/>
  <c r="E145" i="12"/>
  <c r="D145" i="12"/>
  <c r="C145" i="12"/>
  <c r="C167" i="12" s="1"/>
  <c r="V138" i="11"/>
  <c r="V137" i="11"/>
  <c r="V136" i="11"/>
  <c r="C145" i="11"/>
  <c r="C167" i="11" s="1"/>
  <c r="D145" i="11"/>
  <c r="E145" i="11"/>
  <c r="F145" i="11"/>
  <c r="G145" i="11"/>
  <c r="H145" i="11"/>
  <c r="I145" i="11"/>
  <c r="C146" i="11"/>
  <c r="C168" i="11" s="1"/>
  <c r="D146" i="11"/>
  <c r="E146" i="11"/>
  <c r="F146" i="11"/>
  <c r="G146" i="11"/>
  <c r="H146" i="11"/>
  <c r="B146" i="11"/>
  <c r="B168" i="11" s="1"/>
  <c r="B145" i="11"/>
  <c r="C146" i="10"/>
  <c r="D146" i="10"/>
  <c r="E146" i="10"/>
  <c r="F146" i="10"/>
  <c r="G146" i="10"/>
  <c r="H146" i="10"/>
  <c r="I146" i="10"/>
  <c r="C301" i="10" s="1"/>
  <c r="C147" i="10"/>
  <c r="C169" i="10" s="1"/>
  <c r="D147" i="10"/>
  <c r="E147" i="10"/>
  <c r="F147" i="10"/>
  <c r="G147" i="10"/>
  <c r="H147" i="10"/>
  <c r="B146" i="10"/>
  <c r="B168" i="10" s="1"/>
  <c r="B147" i="10"/>
  <c r="B169" i="10" s="1"/>
  <c r="D146" i="9"/>
  <c r="D168" i="9" s="1"/>
  <c r="E146" i="9"/>
  <c r="E168" i="9" s="1"/>
  <c r="F146" i="9"/>
  <c r="G146" i="9"/>
  <c r="H146" i="9"/>
  <c r="I146" i="9"/>
  <c r="D147" i="9"/>
  <c r="E147" i="9"/>
  <c r="E169" i="9" s="1"/>
  <c r="F147" i="9"/>
  <c r="G147" i="9"/>
  <c r="H147" i="9"/>
  <c r="B147" i="9"/>
  <c r="B169" i="9" s="1"/>
  <c r="B146" i="9"/>
  <c r="B168" i="9" s="1"/>
  <c r="C146" i="8"/>
  <c r="D146" i="8"/>
  <c r="E146" i="8"/>
  <c r="F146" i="8"/>
  <c r="G146" i="8"/>
  <c r="J146" i="8" s="1"/>
  <c r="C303" i="8" s="1"/>
  <c r="H146" i="8"/>
  <c r="C147" i="8"/>
  <c r="C170" i="8" s="1"/>
  <c r="D147" i="8"/>
  <c r="E147" i="8"/>
  <c r="F147" i="8"/>
  <c r="G147" i="8"/>
  <c r="H147" i="8"/>
  <c r="B147" i="8"/>
  <c r="B170" i="8" s="1"/>
  <c r="B146" i="8"/>
  <c r="B169" i="8" s="1"/>
  <c r="G147" i="7"/>
  <c r="G146" i="7"/>
  <c r="F147" i="7"/>
  <c r="F146" i="7"/>
  <c r="B147" i="7"/>
  <c r="B168" i="7" s="1"/>
  <c r="B146" i="7"/>
  <c r="H147" i="7"/>
  <c r="E147" i="7"/>
  <c r="D147" i="7"/>
  <c r="C147" i="7"/>
  <c r="C168" i="7" s="1"/>
  <c r="I146" i="7"/>
  <c r="H146" i="7"/>
  <c r="E146" i="7"/>
  <c r="D146" i="7"/>
  <c r="C146" i="7"/>
  <c r="C167" i="7" s="1"/>
  <c r="C146" i="6"/>
  <c r="C172" i="6" s="1"/>
  <c r="D146" i="6"/>
  <c r="E146" i="6"/>
  <c r="F146" i="6"/>
  <c r="G146" i="6"/>
  <c r="H146" i="6"/>
  <c r="C147" i="6"/>
  <c r="C173" i="6" s="1"/>
  <c r="D147" i="6"/>
  <c r="E147" i="6"/>
  <c r="F147" i="6"/>
  <c r="G147" i="6"/>
  <c r="H147" i="6"/>
  <c r="B146" i="6"/>
  <c r="B147" i="6"/>
  <c r="B173" i="6" s="1"/>
  <c r="H146" i="1"/>
  <c r="G146" i="1"/>
  <c r="F146" i="1"/>
  <c r="E146" i="1"/>
  <c r="D146" i="1"/>
  <c r="C146" i="1"/>
  <c r="C172" i="1" s="1"/>
  <c r="G145" i="1"/>
  <c r="F145" i="1"/>
  <c r="E145" i="1"/>
  <c r="D145" i="1"/>
  <c r="C145" i="1"/>
  <c r="C171" i="1" s="1"/>
  <c r="B145" i="5"/>
  <c r="H146" i="5"/>
  <c r="G146" i="5"/>
  <c r="F146" i="5"/>
  <c r="E146" i="5"/>
  <c r="D146" i="5"/>
  <c r="C146" i="5"/>
  <c r="C172" i="5" s="1"/>
  <c r="B146" i="5"/>
  <c r="B172" i="5" s="1"/>
  <c r="G145" i="5"/>
  <c r="F145" i="5"/>
  <c r="E145" i="5"/>
  <c r="D145" i="5"/>
  <c r="C145" i="5"/>
  <c r="C171" i="5" s="1"/>
  <c r="C519" i="49"/>
  <c r="C520" i="48"/>
  <c r="C520" i="46"/>
  <c r="C520" i="45"/>
  <c r="C519" i="44"/>
  <c r="C520" i="43"/>
  <c r="C520" i="42"/>
  <c r="C519" i="41"/>
  <c r="D519" i="49"/>
  <c r="V138" i="10"/>
  <c r="V137" i="10"/>
  <c r="V136" i="10"/>
  <c r="I147" i="9"/>
  <c r="V138" i="8"/>
  <c r="V137" i="8"/>
  <c r="V136" i="8"/>
  <c r="I146" i="8"/>
  <c r="C302" i="8" s="1"/>
  <c r="V138" i="7"/>
  <c r="V137" i="7"/>
  <c r="V136" i="7"/>
  <c r="V138" i="6"/>
  <c r="V137" i="6"/>
  <c r="V136" i="6"/>
  <c r="E168" i="42" l="1"/>
  <c r="C167" i="48"/>
  <c r="E170" i="48"/>
  <c r="E169" i="48"/>
  <c r="D169" i="48"/>
  <c r="E168" i="48"/>
  <c r="C167" i="42"/>
  <c r="E169" i="42"/>
  <c r="D169" i="42"/>
  <c r="E170" i="42"/>
  <c r="E171" i="5"/>
  <c r="D171" i="5"/>
  <c r="B171" i="5"/>
  <c r="E172" i="5"/>
  <c r="E173" i="6"/>
  <c r="B172" i="6"/>
  <c r="E172" i="6"/>
  <c r="D172" i="6"/>
  <c r="B167" i="26"/>
  <c r="D167" i="26"/>
  <c r="E167" i="26"/>
  <c r="E168" i="26"/>
  <c r="C301" i="26"/>
  <c r="F167" i="26"/>
  <c r="C303" i="26"/>
  <c r="F168" i="26"/>
  <c r="I148" i="37"/>
  <c r="C304" i="37" s="1"/>
  <c r="D167" i="7"/>
  <c r="E167" i="7"/>
  <c r="E168" i="7"/>
  <c r="B167" i="7"/>
  <c r="C307" i="7"/>
  <c r="F167" i="7"/>
  <c r="D167" i="11"/>
  <c r="E167" i="11"/>
  <c r="E168" i="11"/>
  <c r="B167" i="11"/>
  <c r="C307" i="11"/>
  <c r="F167" i="11"/>
  <c r="K167" i="11" s="1"/>
  <c r="I167" i="11" s="1"/>
  <c r="C301" i="9"/>
  <c r="F168" i="9"/>
  <c r="C303" i="9"/>
  <c r="F169" i="9"/>
  <c r="E172" i="1"/>
  <c r="D171" i="1"/>
  <c r="E171" i="1"/>
  <c r="E168" i="25"/>
  <c r="B167" i="25"/>
  <c r="E167" i="25"/>
  <c r="F167" i="25"/>
  <c r="D167" i="25"/>
  <c r="C167" i="49"/>
  <c r="E170" i="49"/>
  <c r="D169" i="49"/>
  <c r="E169" i="49"/>
  <c r="E168" i="49"/>
  <c r="E168" i="46"/>
  <c r="C167" i="46"/>
  <c r="E170" i="46"/>
  <c r="E169" i="46"/>
  <c r="D169" i="46"/>
  <c r="C167" i="45"/>
  <c r="E169" i="45"/>
  <c r="D169" i="45"/>
  <c r="E170" i="45"/>
  <c r="E168" i="45"/>
  <c r="E168" i="43"/>
  <c r="C167" i="43"/>
  <c r="E169" i="43"/>
  <c r="D169" i="43"/>
  <c r="E170" i="43"/>
  <c r="C167" i="39"/>
  <c r="E170" i="39"/>
  <c r="D169" i="39"/>
  <c r="E169" i="39"/>
  <c r="E168" i="39"/>
  <c r="E168" i="40"/>
  <c r="C167" i="40"/>
  <c r="E170" i="40"/>
  <c r="E169" i="40"/>
  <c r="D169" i="40"/>
  <c r="E168" i="41"/>
  <c r="F168" i="41"/>
  <c r="C167" i="41"/>
  <c r="D169" i="41"/>
  <c r="E170" i="41"/>
  <c r="E169" i="41"/>
  <c r="C169" i="37"/>
  <c r="E171" i="37"/>
  <c r="E172" i="37"/>
  <c r="D171" i="37"/>
  <c r="E169" i="37"/>
  <c r="E170" i="37"/>
  <c r="E170" i="38"/>
  <c r="C169" i="38"/>
  <c r="D171" i="38"/>
  <c r="E171" i="38"/>
  <c r="E172" i="38"/>
  <c r="E169" i="28"/>
  <c r="F169" i="28"/>
  <c r="C168" i="28"/>
  <c r="E170" i="28"/>
  <c r="D170" i="28"/>
  <c r="E171" i="28"/>
  <c r="C169" i="29"/>
  <c r="E172" i="29"/>
  <c r="E171" i="29"/>
  <c r="D171" i="29"/>
  <c r="E170" i="29"/>
  <c r="F170" i="29"/>
  <c r="E170" i="32"/>
  <c r="C169" i="32"/>
  <c r="D171" i="32"/>
  <c r="E172" i="32"/>
  <c r="E171" i="32"/>
  <c r="C169" i="33"/>
  <c r="E172" i="33"/>
  <c r="D171" i="33"/>
  <c r="E171" i="33"/>
  <c r="F170" i="33"/>
  <c r="E170" i="33"/>
  <c r="E169" i="35"/>
  <c r="C168" i="35"/>
  <c r="D170" i="35"/>
  <c r="E170" i="35"/>
  <c r="E171" i="35"/>
  <c r="E170" i="34"/>
  <c r="C169" i="34"/>
  <c r="E171" i="34"/>
  <c r="E172" i="34"/>
  <c r="D171" i="34"/>
  <c r="C168" i="21"/>
  <c r="D170" i="21"/>
  <c r="E170" i="21"/>
  <c r="E171" i="21"/>
  <c r="E169" i="21"/>
  <c r="C168" i="24"/>
  <c r="E170" i="24"/>
  <c r="D170" i="24"/>
  <c r="E171" i="24"/>
  <c r="E169" i="24"/>
  <c r="D168" i="18"/>
  <c r="E168" i="18"/>
  <c r="F168" i="18"/>
  <c r="E169" i="18"/>
  <c r="C168" i="13"/>
  <c r="E170" i="13"/>
  <c r="E171" i="13"/>
  <c r="D170" i="13"/>
  <c r="E169" i="13"/>
  <c r="F169" i="13"/>
  <c r="E170" i="17"/>
  <c r="C168" i="17"/>
  <c r="E171" i="17"/>
  <c r="D170" i="17"/>
  <c r="E169" i="17"/>
  <c r="F169" i="17"/>
  <c r="E172" i="14"/>
  <c r="C169" i="14"/>
  <c r="E171" i="14"/>
  <c r="D171" i="14"/>
  <c r="E170" i="14"/>
  <c r="E171" i="15"/>
  <c r="C169" i="15"/>
  <c r="E172" i="15"/>
  <c r="D171" i="15"/>
  <c r="E170" i="15"/>
  <c r="C169" i="8"/>
  <c r="D171" i="8"/>
  <c r="E172" i="8"/>
  <c r="E171" i="8"/>
  <c r="E170" i="8"/>
  <c r="E171" i="10"/>
  <c r="C168" i="10"/>
  <c r="D170" i="10"/>
  <c r="E170" i="10"/>
  <c r="E169" i="10"/>
  <c r="E168" i="19"/>
  <c r="F168" i="19"/>
  <c r="D168" i="19"/>
  <c r="B168" i="19"/>
  <c r="E169" i="19"/>
  <c r="E170" i="22"/>
  <c r="C169" i="22"/>
  <c r="D171" i="22"/>
  <c r="E171" i="22"/>
  <c r="E172" i="22"/>
  <c r="E168" i="12"/>
  <c r="D167" i="12"/>
  <c r="E167" i="12"/>
  <c r="B167" i="12"/>
  <c r="C301" i="12"/>
  <c r="F167" i="12"/>
  <c r="C303" i="12"/>
  <c r="F168" i="12"/>
  <c r="I148" i="43"/>
  <c r="C301" i="43" s="1"/>
  <c r="I148" i="15"/>
  <c r="C303" i="15" s="1"/>
  <c r="I147" i="6"/>
  <c r="I147" i="10"/>
  <c r="C303" i="10" s="1"/>
  <c r="I146" i="11"/>
  <c r="I147" i="13"/>
  <c r="I148" i="14"/>
  <c r="C303" i="14" s="1"/>
  <c r="I147" i="18"/>
  <c r="C303" i="18" s="1"/>
  <c r="I147" i="19"/>
  <c r="C302" i="19" s="1"/>
  <c r="I147" i="21"/>
  <c r="C301" i="21" s="1"/>
  <c r="I148" i="22"/>
  <c r="C303" i="22" s="1"/>
  <c r="I147" i="24"/>
  <c r="C301" i="24" s="1"/>
  <c r="I146" i="25"/>
  <c r="C308" i="25" s="1"/>
  <c r="I148" i="32"/>
  <c r="C303" i="32" s="1"/>
  <c r="I148" i="34"/>
  <c r="C303" i="34" s="1"/>
  <c r="I147" i="35"/>
  <c r="C302" i="35" s="1"/>
  <c r="I148" i="38"/>
  <c r="C301" i="38" s="1"/>
  <c r="I148" i="39"/>
  <c r="C303" i="39" s="1"/>
  <c r="I148" i="40"/>
  <c r="C304" i="40" s="1"/>
  <c r="I148" i="41"/>
  <c r="C301" i="41" s="1"/>
  <c r="I148" i="42"/>
  <c r="C301" i="42" s="1"/>
  <c r="I148" i="45"/>
  <c r="C302" i="45" s="1"/>
  <c r="I148" i="46"/>
  <c r="C301" i="46" s="1"/>
  <c r="I148" i="48"/>
  <c r="C301" i="48" s="1"/>
  <c r="I148" i="49"/>
  <c r="C300" i="49" s="1"/>
  <c r="I147" i="8"/>
  <c r="C304" i="8" s="1"/>
  <c r="I147" i="7"/>
  <c r="I146" i="6"/>
  <c r="J151" i="38"/>
  <c r="J152" i="38"/>
  <c r="J151" i="37"/>
  <c r="J152" i="37"/>
  <c r="J152" i="35"/>
  <c r="J152" i="34"/>
  <c r="J152" i="33"/>
  <c r="J152" i="32"/>
  <c r="J148" i="6"/>
  <c r="J149" i="6"/>
  <c r="J150" i="6"/>
  <c r="J152" i="6"/>
  <c r="J153" i="6"/>
  <c r="J154" i="6"/>
  <c r="J155" i="6"/>
  <c r="J156" i="6"/>
  <c r="J147" i="5"/>
  <c r="J148" i="5"/>
  <c r="J149" i="5"/>
  <c r="J150" i="5"/>
  <c r="J151" i="5"/>
  <c r="J152" i="5"/>
  <c r="J153" i="5"/>
  <c r="J154" i="5"/>
  <c r="J155" i="5"/>
  <c r="J156" i="5"/>
  <c r="J147" i="1"/>
  <c r="J148" i="1"/>
  <c r="J149" i="1"/>
  <c r="J150" i="1"/>
  <c r="J151" i="1"/>
  <c r="J152" i="1"/>
  <c r="J153" i="1"/>
  <c r="J154" i="1"/>
  <c r="J155" i="1"/>
  <c r="J156" i="1"/>
  <c r="A189" i="11"/>
  <c r="A190" i="11"/>
  <c r="A188" i="12"/>
  <c r="W177" i="28"/>
  <c r="W176" i="28"/>
  <c r="W175" i="28"/>
  <c r="W174" i="28"/>
  <c r="A175" i="14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75" i="15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74" i="17"/>
  <c r="A175" i="17" s="1"/>
  <c r="A176" i="17" s="1"/>
  <c r="A177" i="17" s="1"/>
  <c r="A178" i="17" s="1"/>
  <c r="A179" i="17" s="1"/>
  <c r="A180" i="17" s="1"/>
  <c r="A181" i="17" s="1"/>
  <c r="A182" i="17" s="1"/>
  <c r="A183" i="17" s="1"/>
  <c r="A184" i="17" s="1"/>
  <c r="A185" i="17" s="1"/>
  <c r="A186" i="17" s="1"/>
  <c r="A187" i="17" s="1"/>
  <c r="A188" i="17" s="1"/>
  <c r="A189" i="17" s="1"/>
  <c r="A190" i="17" s="1"/>
  <c r="A191" i="17" s="1"/>
  <c r="A192" i="17" s="1"/>
  <c r="A193" i="17" s="1"/>
  <c r="A194" i="17" s="1"/>
  <c r="A172" i="18"/>
  <c r="A173" i="18" s="1"/>
  <c r="A174" i="18" s="1"/>
  <c r="A175" i="18" s="1"/>
  <c r="A176" i="18" s="1"/>
  <c r="A177" i="18" s="1"/>
  <c r="A178" i="18" s="1"/>
  <c r="A179" i="18" s="1"/>
  <c r="A180" i="18" s="1"/>
  <c r="A181" i="18" s="1"/>
  <c r="A182" i="18" s="1"/>
  <c r="A183" i="18" s="1"/>
  <c r="A184" i="18" s="1"/>
  <c r="A185" i="18" s="1"/>
  <c r="A186" i="18" s="1"/>
  <c r="A187" i="18" s="1"/>
  <c r="A188" i="18" s="1"/>
  <c r="A189" i="18" s="1"/>
  <c r="A172" i="19"/>
  <c r="A173" i="19" s="1"/>
  <c r="A174" i="19" s="1"/>
  <c r="A175" i="19" s="1"/>
  <c r="A176" i="19" s="1"/>
  <c r="A177" i="19" s="1"/>
  <c r="A178" i="19" s="1"/>
  <c r="A179" i="19" s="1"/>
  <c r="A180" i="19" s="1"/>
  <c r="A181" i="19" s="1"/>
  <c r="A182" i="19" s="1"/>
  <c r="A183" i="19" s="1"/>
  <c r="A184" i="19" s="1"/>
  <c r="A185" i="19" s="1"/>
  <c r="A186" i="19" s="1"/>
  <c r="A187" i="19" s="1"/>
  <c r="A188" i="19" s="1"/>
  <c r="A189" i="19" s="1"/>
  <c r="A174" i="21"/>
  <c r="A175" i="21" s="1"/>
  <c r="A176" i="21" s="1"/>
  <c r="A177" i="21" s="1"/>
  <c r="A178" i="21" s="1"/>
  <c r="A179" i="21" s="1"/>
  <c r="A180" i="21" s="1"/>
  <c r="A181" i="21" s="1"/>
  <c r="A182" i="21" s="1"/>
  <c r="A183" i="21" s="1"/>
  <c r="A184" i="21" s="1"/>
  <c r="A185" i="21" s="1"/>
  <c r="A186" i="21" s="1"/>
  <c r="A187" i="21" s="1"/>
  <c r="A188" i="21" s="1"/>
  <c r="A189" i="21" s="1"/>
  <c r="A190" i="21" s="1"/>
  <c r="A191" i="21" s="1"/>
  <c r="A192" i="21" s="1"/>
  <c r="A193" i="21" s="1"/>
  <c r="A194" i="21" s="1"/>
  <c r="A195" i="21" s="1"/>
  <c r="A196" i="21" s="1"/>
  <c r="A197" i="21" s="1"/>
  <c r="A175" i="22"/>
  <c r="A176" i="22" s="1"/>
  <c r="A177" i="22" s="1"/>
  <c r="A178" i="22" s="1"/>
  <c r="A179" i="22" s="1"/>
  <c r="A180" i="22" s="1"/>
  <c r="A181" i="22" s="1"/>
  <c r="A182" i="22" s="1"/>
  <c r="A183" i="22" s="1"/>
  <c r="A184" i="22" s="1"/>
  <c r="A185" i="22" s="1"/>
  <c r="A186" i="22" s="1"/>
  <c r="A187" i="22" s="1"/>
  <c r="A188" i="22" s="1"/>
  <c r="A189" i="22" s="1"/>
  <c r="A190" i="22" s="1"/>
  <c r="A191" i="22" s="1"/>
  <c r="A192" i="22" s="1"/>
  <c r="A193" i="22" s="1"/>
  <c r="A194" i="22" s="1"/>
  <c r="A195" i="22" s="1"/>
  <c r="A196" i="22" s="1"/>
  <c r="A197" i="22" s="1"/>
  <c r="A174" i="24"/>
  <c r="A175" i="24" s="1"/>
  <c r="A176" i="24" s="1"/>
  <c r="A177" i="24" s="1"/>
  <c r="A178" i="24" s="1"/>
  <c r="A179" i="24" s="1"/>
  <c r="A180" i="24" s="1"/>
  <c r="A181" i="24" s="1"/>
  <c r="A182" i="24" s="1"/>
  <c r="A183" i="24" s="1"/>
  <c r="A184" i="24" s="1"/>
  <c r="A185" i="24" s="1"/>
  <c r="A186" i="24" s="1"/>
  <c r="A187" i="24" s="1"/>
  <c r="A188" i="24" s="1"/>
  <c r="A189" i="24" s="1"/>
  <c r="A190" i="24" s="1"/>
  <c r="A191" i="24" s="1"/>
  <c r="A192" i="24" s="1"/>
  <c r="A193" i="24" s="1"/>
  <c r="A194" i="24" s="1"/>
  <c r="A195" i="24" s="1"/>
  <c r="A196" i="24" s="1"/>
  <c r="A197" i="24" s="1"/>
  <c r="A171" i="25"/>
  <c r="A172" i="25" s="1"/>
  <c r="A173" i="25" s="1"/>
  <c r="A174" i="25" s="1"/>
  <c r="A175" i="25" s="1"/>
  <c r="A176" i="25" s="1"/>
  <c r="A177" i="25" s="1"/>
  <c r="A178" i="25" s="1"/>
  <c r="A179" i="25" s="1"/>
  <c r="A180" i="25" s="1"/>
  <c r="A181" i="25" s="1"/>
  <c r="A182" i="25" s="1"/>
  <c r="A183" i="25" s="1"/>
  <c r="A184" i="25" s="1"/>
  <c r="A185" i="25" s="1"/>
  <c r="A186" i="25" s="1"/>
  <c r="A187" i="25" s="1"/>
  <c r="A188" i="25" s="1"/>
  <c r="A171" i="26"/>
  <c r="A172" i="26" s="1"/>
  <c r="A173" i="26" s="1"/>
  <c r="A174" i="26" s="1"/>
  <c r="A175" i="26" s="1"/>
  <c r="A176" i="26" s="1"/>
  <c r="A177" i="26" s="1"/>
  <c r="A178" i="26" s="1"/>
  <c r="A179" i="26" s="1"/>
  <c r="A180" i="26" s="1"/>
  <c r="A181" i="26" s="1"/>
  <c r="A182" i="26" s="1"/>
  <c r="A183" i="26" s="1"/>
  <c r="A184" i="26" s="1"/>
  <c r="A185" i="26" s="1"/>
  <c r="A186" i="26" s="1"/>
  <c r="A187" i="26" s="1"/>
  <c r="A188" i="26" s="1"/>
  <c r="A174" i="28"/>
  <c r="A175" i="28" s="1"/>
  <c r="A176" i="28" s="1"/>
  <c r="A177" i="28" s="1"/>
  <c r="A178" i="28" s="1"/>
  <c r="A179" i="28" s="1"/>
  <c r="A180" i="28" s="1"/>
  <c r="A181" i="28" s="1"/>
  <c r="A182" i="28" s="1"/>
  <c r="A183" i="28" s="1"/>
  <c r="A184" i="28" s="1"/>
  <c r="A185" i="28" s="1"/>
  <c r="A186" i="28" s="1"/>
  <c r="A187" i="28" s="1"/>
  <c r="A188" i="28" s="1"/>
  <c r="A189" i="28" s="1"/>
  <c r="A190" i="28" s="1"/>
  <c r="A191" i="28" s="1"/>
  <c r="A192" i="28" s="1"/>
  <c r="A193" i="28" s="1"/>
  <c r="A194" i="28" s="1"/>
  <c r="A195" i="28" s="1"/>
  <c r="A175" i="29"/>
  <c r="A176" i="29" s="1"/>
  <c r="A177" i="29" s="1"/>
  <c r="A178" i="29" s="1"/>
  <c r="A179" i="29" s="1"/>
  <c r="A180" i="29" s="1"/>
  <c r="A181" i="29" s="1"/>
  <c r="A182" i="29" s="1"/>
  <c r="A183" i="29" s="1"/>
  <c r="A184" i="29" s="1"/>
  <c r="A185" i="29" s="1"/>
  <c r="A186" i="29" s="1"/>
  <c r="A187" i="29" s="1"/>
  <c r="A188" i="29" s="1"/>
  <c r="A189" i="29" s="1"/>
  <c r="A190" i="29" s="1"/>
  <c r="A191" i="29" s="1"/>
  <c r="A192" i="29" s="1"/>
  <c r="A193" i="29" s="1"/>
  <c r="A194" i="29" s="1"/>
  <c r="A195" i="29" s="1"/>
  <c r="A196" i="29" s="1"/>
  <c r="A175" i="32"/>
  <c r="A176" i="32" s="1"/>
  <c r="A177" i="32" s="1"/>
  <c r="A178" i="32" s="1"/>
  <c r="A179" i="32" s="1"/>
  <c r="A180" i="32" s="1"/>
  <c r="A181" i="32" s="1"/>
  <c r="A182" i="32" s="1"/>
  <c r="A183" i="32" s="1"/>
  <c r="A184" i="32" s="1"/>
  <c r="A185" i="32" s="1"/>
  <c r="A186" i="32" s="1"/>
  <c r="A187" i="32" s="1"/>
  <c r="A188" i="32" s="1"/>
  <c r="A189" i="32" s="1"/>
  <c r="A190" i="32" s="1"/>
  <c r="A191" i="32" s="1"/>
  <c r="A192" i="32" s="1"/>
  <c r="A193" i="32" s="1"/>
  <c r="A194" i="32" s="1"/>
  <c r="A195" i="32" s="1"/>
  <c r="A175" i="33"/>
  <c r="A176" i="33" s="1"/>
  <c r="A177" i="33" s="1"/>
  <c r="A178" i="33" s="1"/>
  <c r="A179" i="33" s="1"/>
  <c r="A180" i="33" s="1"/>
  <c r="A181" i="33" s="1"/>
  <c r="A182" i="33" s="1"/>
  <c r="A183" i="33" s="1"/>
  <c r="A184" i="33" s="1"/>
  <c r="A185" i="33" s="1"/>
  <c r="A186" i="33" s="1"/>
  <c r="A187" i="33" s="1"/>
  <c r="A188" i="33" s="1"/>
  <c r="A189" i="33" s="1"/>
  <c r="A190" i="33" s="1"/>
  <c r="A191" i="33" s="1"/>
  <c r="A192" i="33" s="1"/>
  <c r="A193" i="33" s="1"/>
  <c r="A194" i="33" s="1"/>
  <c r="A195" i="33" s="1"/>
  <c r="A175" i="34"/>
  <c r="A176" i="34" s="1"/>
  <c r="A177" i="34" s="1"/>
  <c r="A178" i="34" s="1"/>
  <c r="A179" i="34" s="1"/>
  <c r="A180" i="34" s="1"/>
  <c r="A181" i="34" s="1"/>
  <c r="A182" i="34" s="1"/>
  <c r="A183" i="34" s="1"/>
  <c r="A184" i="34" s="1"/>
  <c r="A185" i="34" s="1"/>
  <c r="A186" i="34" s="1"/>
  <c r="A187" i="34" s="1"/>
  <c r="A188" i="34" s="1"/>
  <c r="A189" i="34" s="1"/>
  <c r="A190" i="34" s="1"/>
  <c r="A191" i="34" s="1"/>
  <c r="A192" i="34" s="1"/>
  <c r="A193" i="34" s="1"/>
  <c r="A194" i="34" s="1"/>
  <c r="A195" i="34" s="1"/>
  <c r="A196" i="34" s="1"/>
  <c r="A174" i="35"/>
  <c r="A175" i="35" s="1"/>
  <c r="A176" i="35" s="1"/>
  <c r="A177" i="35" s="1"/>
  <c r="A178" i="35" s="1"/>
  <c r="A179" i="35" s="1"/>
  <c r="A180" i="35" s="1"/>
  <c r="A181" i="35" s="1"/>
  <c r="A182" i="35" s="1"/>
  <c r="A183" i="35" s="1"/>
  <c r="A184" i="35" s="1"/>
  <c r="A185" i="35" s="1"/>
  <c r="A186" i="35" s="1"/>
  <c r="A187" i="35" s="1"/>
  <c r="A188" i="35" s="1"/>
  <c r="A189" i="35" s="1"/>
  <c r="A190" i="35" s="1"/>
  <c r="A191" i="35" s="1"/>
  <c r="A192" i="35" s="1"/>
  <c r="A193" i="35" s="1"/>
  <c r="A194" i="35" s="1"/>
  <c r="A195" i="35" s="1"/>
  <c r="A175" i="37"/>
  <c r="A176" i="37" s="1"/>
  <c r="A177" i="37" s="1"/>
  <c r="A178" i="37" s="1"/>
  <c r="A179" i="37" s="1"/>
  <c r="A180" i="37" s="1"/>
  <c r="A181" i="37" s="1"/>
  <c r="A182" i="37" s="1"/>
  <c r="A183" i="37" s="1"/>
  <c r="A184" i="37" s="1"/>
  <c r="A185" i="37" s="1"/>
  <c r="A186" i="37" s="1"/>
  <c r="A187" i="37" s="1"/>
  <c r="A188" i="37" s="1"/>
  <c r="A189" i="37" s="1"/>
  <c r="A190" i="37" s="1"/>
  <c r="A191" i="37" s="1"/>
  <c r="A192" i="37" s="1"/>
  <c r="A193" i="37" s="1"/>
  <c r="A194" i="37" s="1"/>
  <c r="A195" i="37" s="1"/>
  <c r="A196" i="37" s="1"/>
  <c r="A197" i="37" s="1"/>
  <c r="A198" i="37" s="1"/>
  <c r="A175" i="38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73" i="39"/>
  <c r="A174" i="39" s="1"/>
  <c r="A175" i="39" s="1"/>
  <c r="A176" i="39" s="1"/>
  <c r="A177" i="39" s="1"/>
  <c r="A178" i="39" s="1"/>
  <c r="A179" i="39" s="1"/>
  <c r="A180" i="39" s="1"/>
  <c r="A181" i="39" s="1"/>
  <c r="A182" i="39" s="1"/>
  <c r="A183" i="39" s="1"/>
  <c r="A184" i="39" s="1"/>
  <c r="A185" i="39" s="1"/>
  <c r="A186" i="39" s="1"/>
  <c r="A187" i="39" s="1"/>
  <c r="A188" i="39" s="1"/>
  <c r="A189" i="39" s="1"/>
  <c r="A190" i="39" s="1"/>
  <c r="A191" i="39" s="1"/>
  <c r="A192" i="39" s="1"/>
  <c r="A193" i="39" s="1"/>
  <c r="A194" i="39" s="1"/>
  <c r="A173" i="40"/>
  <c r="A174" i="40" s="1"/>
  <c r="A175" i="40" s="1"/>
  <c r="A176" i="40" s="1"/>
  <c r="A177" i="40" s="1"/>
  <c r="A178" i="40" s="1"/>
  <c r="A179" i="40" s="1"/>
  <c r="A180" i="40" s="1"/>
  <c r="A181" i="40" s="1"/>
  <c r="A182" i="40" s="1"/>
  <c r="A183" i="40" s="1"/>
  <c r="A184" i="40" s="1"/>
  <c r="A185" i="40" s="1"/>
  <c r="A186" i="40" s="1"/>
  <c r="A187" i="40" s="1"/>
  <c r="A188" i="40" s="1"/>
  <c r="A189" i="40" s="1"/>
  <c r="A190" i="40" s="1"/>
  <c r="A191" i="40" s="1"/>
  <c r="A192" i="40" s="1"/>
  <c r="A193" i="40" s="1"/>
  <c r="A194" i="40" s="1"/>
  <c r="A195" i="40" s="1"/>
  <c r="A196" i="40" s="1"/>
  <c r="A173" i="41"/>
  <c r="A174" i="41" s="1"/>
  <c r="A175" i="41" s="1"/>
  <c r="A176" i="41" s="1"/>
  <c r="A177" i="41" s="1"/>
  <c r="A178" i="41" s="1"/>
  <c r="A179" i="41" s="1"/>
  <c r="A180" i="41" s="1"/>
  <c r="A181" i="41" s="1"/>
  <c r="A182" i="41" s="1"/>
  <c r="A183" i="41" s="1"/>
  <c r="A184" i="41" s="1"/>
  <c r="A185" i="41" s="1"/>
  <c r="A186" i="41" s="1"/>
  <c r="A187" i="41" s="1"/>
  <c r="A188" i="41" s="1"/>
  <c r="A189" i="41" s="1"/>
  <c r="A190" i="41" s="1"/>
  <c r="A191" i="41" s="1"/>
  <c r="A192" i="41" s="1"/>
  <c r="A193" i="41" s="1"/>
  <c r="A194" i="41" s="1"/>
  <c r="A173" i="42"/>
  <c r="A174" i="42" s="1"/>
  <c r="A175" i="42" s="1"/>
  <c r="A176" i="42" s="1"/>
  <c r="A177" i="42" s="1"/>
  <c r="A178" i="42" s="1"/>
  <c r="A179" i="42" s="1"/>
  <c r="A180" i="42" s="1"/>
  <c r="A181" i="42" s="1"/>
  <c r="A182" i="42" s="1"/>
  <c r="A183" i="42" s="1"/>
  <c r="A184" i="42" s="1"/>
  <c r="A185" i="42" s="1"/>
  <c r="A186" i="42" s="1"/>
  <c r="A187" i="42" s="1"/>
  <c r="A188" i="42" s="1"/>
  <c r="A189" i="42" s="1"/>
  <c r="A190" i="42" s="1"/>
  <c r="A191" i="42" s="1"/>
  <c r="A192" i="42" s="1"/>
  <c r="A193" i="42" s="1"/>
  <c r="A194" i="42" s="1"/>
  <c r="A195" i="42" s="1"/>
  <c r="A173" i="43"/>
  <c r="A174" i="43" s="1"/>
  <c r="A175" i="43" s="1"/>
  <c r="A176" i="43" s="1"/>
  <c r="A177" i="43" s="1"/>
  <c r="A178" i="43" s="1"/>
  <c r="A179" i="43" s="1"/>
  <c r="A180" i="43" s="1"/>
  <c r="A181" i="43" s="1"/>
  <c r="A182" i="43" s="1"/>
  <c r="A183" i="43" s="1"/>
  <c r="A184" i="43" s="1"/>
  <c r="A185" i="43" s="1"/>
  <c r="A186" i="43" s="1"/>
  <c r="A187" i="43" s="1"/>
  <c r="A188" i="43" s="1"/>
  <c r="A189" i="43" s="1"/>
  <c r="A190" i="43" s="1"/>
  <c r="A191" i="43" s="1"/>
  <c r="A192" i="43" s="1"/>
  <c r="A193" i="43" s="1"/>
  <c r="A194" i="43" s="1"/>
  <c r="A195" i="43" s="1"/>
  <c r="A196" i="43" s="1"/>
  <c r="A197" i="43" s="1"/>
  <c r="A198" i="43" s="1"/>
  <c r="A173" i="44"/>
  <c r="A174" i="44" s="1"/>
  <c r="A175" i="44" s="1"/>
  <c r="A176" i="44" s="1"/>
  <c r="A177" i="44" s="1"/>
  <c r="A178" i="44" s="1"/>
  <c r="A179" i="44" s="1"/>
  <c r="A180" i="44" s="1"/>
  <c r="A181" i="44" s="1"/>
  <c r="A182" i="44" s="1"/>
  <c r="A183" i="44" s="1"/>
  <c r="A184" i="44" s="1"/>
  <c r="A185" i="44" s="1"/>
  <c r="A186" i="44" s="1"/>
  <c r="A187" i="44" s="1"/>
  <c r="A188" i="44" s="1"/>
  <c r="A189" i="44" s="1"/>
  <c r="A190" i="44" s="1"/>
  <c r="A191" i="44" s="1"/>
  <c r="A192" i="44" s="1"/>
  <c r="A193" i="44" s="1"/>
  <c r="A194" i="44" s="1"/>
  <c r="A173" i="45"/>
  <c r="A174" i="45" s="1"/>
  <c r="A175" i="45" s="1"/>
  <c r="A176" i="45" s="1"/>
  <c r="A177" i="45" s="1"/>
  <c r="A178" i="45" s="1"/>
  <c r="A179" i="45" s="1"/>
  <c r="A180" i="45" s="1"/>
  <c r="A181" i="45" s="1"/>
  <c r="A182" i="45" s="1"/>
  <c r="A183" i="45" s="1"/>
  <c r="A184" i="45" s="1"/>
  <c r="A185" i="45" s="1"/>
  <c r="A186" i="45" s="1"/>
  <c r="A187" i="45" s="1"/>
  <c r="A188" i="45" s="1"/>
  <c r="A189" i="45" s="1"/>
  <c r="A190" i="45" s="1"/>
  <c r="A191" i="45" s="1"/>
  <c r="A192" i="45" s="1"/>
  <c r="A193" i="45" s="1"/>
  <c r="A194" i="45" s="1"/>
  <c r="A173" i="46"/>
  <c r="A174" i="46" s="1"/>
  <c r="A175" i="46" s="1"/>
  <c r="A176" i="46" s="1"/>
  <c r="A177" i="46" s="1"/>
  <c r="A178" i="46" s="1"/>
  <c r="A179" i="46" s="1"/>
  <c r="A180" i="46" s="1"/>
  <c r="A181" i="46" s="1"/>
  <c r="A182" i="46" s="1"/>
  <c r="A183" i="46" s="1"/>
  <c r="A184" i="46" s="1"/>
  <c r="A185" i="46" s="1"/>
  <c r="A186" i="46" s="1"/>
  <c r="A187" i="46" s="1"/>
  <c r="A188" i="46" s="1"/>
  <c r="A189" i="46" s="1"/>
  <c r="A190" i="46" s="1"/>
  <c r="A191" i="46" s="1"/>
  <c r="A192" i="46" s="1"/>
  <c r="A193" i="46" s="1"/>
  <c r="A194" i="46" s="1"/>
  <c r="A195" i="46" s="1"/>
  <c r="A196" i="46" s="1"/>
  <c r="A173" i="48"/>
  <c r="A174" i="48" s="1"/>
  <c r="A175" i="48" s="1"/>
  <c r="A176" i="48" s="1"/>
  <c r="A177" i="48" s="1"/>
  <c r="A178" i="48" s="1"/>
  <c r="A179" i="48" s="1"/>
  <c r="A180" i="48" s="1"/>
  <c r="A181" i="48" s="1"/>
  <c r="A182" i="48" s="1"/>
  <c r="A183" i="48" s="1"/>
  <c r="A184" i="48" s="1"/>
  <c r="A185" i="48" s="1"/>
  <c r="A186" i="48" s="1"/>
  <c r="A187" i="48" s="1"/>
  <c r="A188" i="48" s="1"/>
  <c r="A189" i="48" s="1"/>
  <c r="A190" i="48" s="1"/>
  <c r="A191" i="48" s="1"/>
  <c r="A192" i="48" s="1"/>
  <c r="A193" i="48" s="1"/>
  <c r="A194" i="48" s="1"/>
  <c r="A195" i="48" s="1"/>
  <c r="A173" i="49"/>
  <c r="A174" i="49" s="1"/>
  <c r="A175" i="49" s="1"/>
  <c r="A176" i="49" s="1"/>
  <c r="A177" i="49" s="1"/>
  <c r="A178" i="49" s="1"/>
  <c r="A179" i="49" s="1"/>
  <c r="A180" i="49" s="1"/>
  <c r="A181" i="49" s="1"/>
  <c r="A182" i="49" s="1"/>
  <c r="A183" i="49" s="1"/>
  <c r="A184" i="49" s="1"/>
  <c r="A185" i="49" s="1"/>
  <c r="A186" i="49" s="1"/>
  <c r="A187" i="49" s="1"/>
  <c r="A188" i="49" s="1"/>
  <c r="A189" i="49" s="1"/>
  <c r="A190" i="49" s="1"/>
  <c r="A191" i="49" s="1"/>
  <c r="A192" i="49" s="1"/>
  <c r="A193" i="49" s="1"/>
  <c r="A194" i="49" s="1"/>
  <c r="J197" i="49"/>
  <c r="J201" i="49"/>
  <c r="J178" i="49"/>
  <c r="J179" i="49"/>
  <c r="J202" i="49"/>
  <c r="J203" i="49"/>
  <c r="A204" i="49"/>
  <c r="J204" i="49"/>
  <c r="A205" i="48"/>
  <c r="J205" i="48"/>
  <c r="J202" i="46"/>
  <c r="J178" i="46"/>
  <c r="J179" i="46"/>
  <c r="J203" i="46"/>
  <c r="J204" i="46"/>
  <c r="A205" i="46"/>
  <c r="J205" i="46"/>
  <c r="J178" i="45"/>
  <c r="J199" i="45"/>
  <c r="J204" i="45"/>
  <c r="A205" i="45"/>
  <c r="J205" i="45"/>
  <c r="J178" i="44"/>
  <c r="J179" i="44"/>
  <c r="J201" i="44"/>
  <c r="J203" i="44"/>
  <c r="A204" i="44"/>
  <c r="J204" i="44"/>
  <c r="J190" i="43"/>
  <c r="J178" i="43"/>
  <c r="J203" i="43"/>
  <c r="J204" i="43"/>
  <c r="A205" i="43"/>
  <c r="J205" i="43"/>
  <c r="A205" i="42"/>
  <c r="J205" i="42"/>
  <c r="J202" i="41"/>
  <c r="J203" i="41"/>
  <c r="A204" i="41"/>
  <c r="J204" i="41"/>
  <c r="J190" i="40"/>
  <c r="A205" i="40"/>
  <c r="J205" i="40"/>
  <c r="A205" i="38"/>
  <c r="J198" i="39"/>
  <c r="J199" i="39"/>
  <c r="A205" i="39"/>
  <c r="J205" i="39"/>
  <c r="J190" i="38"/>
  <c r="J192" i="38"/>
  <c r="J205" i="38"/>
  <c r="A205" i="37"/>
  <c r="J205" i="37"/>
  <c r="J199" i="35"/>
  <c r="J203" i="35"/>
  <c r="J204" i="35"/>
  <c r="A205" i="35"/>
  <c r="J205" i="35"/>
  <c r="J202" i="34"/>
  <c r="A205" i="34"/>
  <c r="J205" i="34"/>
  <c r="J204" i="33"/>
  <c r="A205" i="33"/>
  <c r="J205" i="33"/>
  <c r="J198" i="32"/>
  <c r="J189" i="32"/>
  <c r="J199" i="32"/>
  <c r="J200" i="32"/>
  <c r="A205" i="32"/>
  <c r="J205" i="32"/>
  <c r="J190" i="29"/>
  <c r="J201" i="29"/>
  <c r="J202" i="29"/>
  <c r="J204" i="29"/>
  <c r="A205" i="29"/>
  <c r="J205" i="29"/>
  <c r="A205" i="28"/>
  <c r="J205" i="28"/>
  <c r="J177" i="26"/>
  <c r="J202" i="26"/>
  <c r="J203" i="26"/>
  <c r="J204" i="26"/>
  <c r="A204" i="25"/>
  <c r="J200" i="24"/>
  <c r="J201" i="24"/>
  <c r="J202" i="24"/>
  <c r="J203" i="24"/>
  <c r="J204" i="24"/>
  <c r="A205" i="24"/>
  <c r="J205" i="24"/>
  <c r="J201" i="22"/>
  <c r="J202" i="22"/>
  <c r="J203" i="22"/>
  <c r="J204" i="22"/>
  <c r="A205" i="22"/>
  <c r="J205" i="22"/>
  <c r="A205" i="21"/>
  <c r="J205" i="21"/>
  <c r="J191" i="19"/>
  <c r="J192" i="19"/>
  <c r="J193" i="19"/>
  <c r="J194" i="19"/>
  <c r="J195" i="19"/>
  <c r="J196" i="19"/>
  <c r="J198" i="19"/>
  <c r="J199" i="19"/>
  <c r="J200" i="19"/>
  <c r="J201" i="19"/>
  <c r="J202" i="19"/>
  <c r="J203" i="19"/>
  <c r="A204" i="19"/>
  <c r="J204" i="19"/>
  <c r="J191" i="18"/>
  <c r="J192" i="18"/>
  <c r="J193" i="18"/>
  <c r="J194" i="18"/>
  <c r="J195" i="18"/>
  <c r="J196" i="18"/>
  <c r="J197" i="18"/>
  <c r="J198" i="18"/>
  <c r="J200" i="18"/>
  <c r="J201" i="18"/>
  <c r="J202" i="18"/>
  <c r="J203" i="18"/>
  <c r="A204" i="18"/>
  <c r="J204" i="18"/>
  <c r="J198" i="17"/>
  <c r="J199" i="17"/>
  <c r="J200" i="17"/>
  <c r="J201" i="17"/>
  <c r="J202" i="17"/>
  <c r="J203" i="17"/>
  <c r="J204" i="17"/>
  <c r="A205" i="17"/>
  <c r="J205" i="17"/>
  <c r="J200" i="15"/>
  <c r="J201" i="15"/>
  <c r="J202" i="15"/>
  <c r="J204" i="15"/>
  <c r="A205" i="15"/>
  <c r="J205" i="15"/>
  <c r="J200" i="14"/>
  <c r="J201" i="14"/>
  <c r="J202" i="14"/>
  <c r="J203" i="14"/>
  <c r="J204" i="14"/>
  <c r="J205" i="14"/>
  <c r="J197" i="13"/>
  <c r="J198" i="13"/>
  <c r="J199" i="13"/>
  <c r="J200" i="13"/>
  <c r="J201" i="13"/>
  <c r="J202" i="13"/>
  <c r="J203" i="13"/>
  <c r="J204" i="13"/>
  <c r="A205" i="13"/>
  <c r="J205" i="13"/>
  <c r="A190" i="12"/>
  <c r="J190" i="12"/>
  <c r="A191" i="12"/>
  <c r="J191" i="12"/>
  <c r="A192" i="12"/>
  <c r="J192" i="12"/>
  <c r="A193" i="12"/>
  <c r="J193" i="12"/>
  <c r="A194" i="12"/>
  <c r="J194" i="12"/>
  <c r="A195" i="12"/>
  <c r="J195" i="12"/>
  <c r="A196" i="12"/>
  <c r="J196" i="12"/>
  <c r="A197" i="12"/>
  <c r="J197" i="12"/>
  <c r="A198" i="12"/>
  <c r="J198" i="12"/>
  <c r="A199" i="12"/>
  <c r="J199" i="12"/>
  <c r="A200" i="12"/>
  <c r="J200" i="12"/>
  <c r="A201" i="12"/>
  <c r="J201" i="12"/>
  <c r="A202" i="12"/>
  <c r="J202" i="12"/>
  <c r="A203" i="12"/>
  <c r="J203" i="12"/>
  <c r="A204" i="12"/>
  <c r="J204" i="12"/>
  <c r="A191" i="11"/>
  <c r="J191" i="11"/>
  <c r="A192" i="11"/>
  <c r="J192" i="11"/>
  <c r="A193" i="11"/>
  <c r="J193" i="11"/>
  <c r="A194" i="11"/>
  <c r="J194" i="11"/>
  <c r="A195" i="11"/>
  <c r="J195" i="11"/>
  <c r="A197" i="11"/>
  <c r="J197" i="11"/>
  <c r="A202" i="11"/>
  <c r="J202" i="11"/>
  <c r="A203" i="11"/>
  <c r="J203" i="11"/>
  <c r="A204" i="11"/>
  <c r="J204" i="11"/>
  <c r="A205" i="11"/>
  <c r="J205" i="11"/>
  <c r="J198" i="10"/>
  <c r="J199" i="10"/>
  <c r="J202" i="10"/>
  <c r="J203" i="10"/>
  <c r="J204" i="10"/>
  <c r="A205" i="10"/>
  <c r="J205" i="10"/>
  <c r="J193" i="9"/>
  <c r="J194" i="9"/>
  <c r="J195" i="9"/>
  <c r="J196" i="9"/>
  <c r="J199" i="9"/>
  <c r="J200" i="9"/>
  <c r="J202" i="9"/>
  <c r="J203" i="9"/>
  <c r="A204" i="9"/>
  <c r="J204" i="9"/>
  <c r="J202" i="8"/>
  <c r="J203" i="8"/>
  <c r="J204" i="8"/>
  <c r="A205" i="8"/>
  <c r="J205" i="8"/>
  <c r="A193" i="5"/>
  <c r="A194" i="5"/>
  <c r="A195" i="5"/>
  <c r="A196" i="5"/>
  <c r="A197" i="5"/>
  <c r="A198" i="5"/>
  <c r="A199" i="5"/>
  <c r="A201" i="5"/>
  <c r="A202" i="5"/>
  <c r="A203" i="5"/>
  <c r="A204" i="5"/>
  <c r="A190" i="7"/>
  <c r="J190" i="7"/>
  <c r="A191" i="7"/>
  <c r="J191" i="7"/>
  <c r="A192" i="7"/>
  <c r="J192" i="7"/>
  <c r="A193" i="7"/>
  <c r="J193" i="7"/>
  <c r="A194" i="7"/>
  <c r="J194" i="7"/>
  <c r="A195" i="7"/>
  <c r="J195" i="7"/>
  <c r="A197" i="7"/>
  <c r="J197" i="7"/>
  <c r="A198" i="7"/>
  <c r="J198" i="7"/>
  <c r="A199" i="7"/>
  <c r="J199" i="7"/>
  <c r="A200" i="7"/>
  <c r="J200" i="7"/>
  <c r="A201" i="7"/>
  <c r="J201" i="7"/>
  <c r="A202" i="7"/>
  <c r="J202" i="7"/>
  <c r="A203" i="7"/>
  <c r="J203" i="7"/>
  <c r="A204" i="7"/>
  <c r="J204" i="7"/>
  <c r="W138" i="49"/>
  <c r="W137" i="49"/>
  <c r="W136" i="49"/>
  <c r="W135" i="49"/>
  <c r="W134" i="49"/>
  <c r="W133" i="49"/>
  <c r="W138" i="48"/>
  <c r="W137" i="48"/>
  <c r="W136" i="48"/>
  <c r="W135" i="48"/>
  <c r="W134" i="48"/>
  <c r="W133" i="48"/>
  <c r="W138" i="46"/>
  <c r="W137" i="46"/>
  <c r="W136" i="46"/>
  <c r="W135" i="46"/>
  <c r="W134" i="46"/>
  <c r="W133" i="46"/>
  <c r="W138" i="45"/>
  <c r="W137" i="45"/>
  <c r="W136" i="45"/>
  <c r="W135" i="45"/>
  <c r="W134" i="45"/>
  <c r="W133" i="45"/>
  <c r="W138" i="44"/>
  <c r="V138" i="44"/>
  <c r="W137" i="44"/>
  <c r="V137" i="44"/>
  <c r="W136" i="44"/>
  <c r="V136" i="44"/>
  <c r="W135" i="44"/>
  <c r="W134" i="44"/>
  <c r="W133" i="44"/>
  <c r="W138" i="43"/>
  <c r="W137" i="43"/>
  <c r="W136" i="43"/>
  <c r="W135" i="43"/>
  <c r="W134" i="43"/>
  <c r="W133" i="43"/>
  <c r="W138" i="42"/>
  <c r="W137" i="42"/>
  <c r="W136" i="42"/>
  <c r="W135" i="42"/>
  <c r="W134" i="42"/>
  <c r="W133" i="42"/>
  <c r="W138" i="41"/>
  <c r="W137" i="41"/>
  <c r="W136" i="41"/>
  <c r="W135" i="41"/>
  <c r="W134" i="41"/>
  <c r="W133" i="41"/>
  <c r="W138" i="40"/>
  <c r="W137" i="40"/>
  <c r="W136" i="40"/>
  <c r="W135" i="40"/>
  <c r="W134" i="40"/>
  <c r="W133" i="40"/>
  <c r="W138" i="39"/>
  <c r="W137" i="39"/>
  <c r="W136" i="39"/>
  <c r="W135" i="39"/>
  <c r="W134" i="39"/>
  <c r="W133" i="39"/>
  <c r="W138" i="38"/>
  <c r="W137" i="38"/>
  <c r="W136" i="38"/>
  <c r="W135" i="38"/>
  <c r="W134" i="38"/>
  <c r="W133" i="38"/>
  <c r="W138" i="37"/>
  <c r="W137" i="37"/>
  <c r="W136" i="37"/>
  <c r="W135" i="37"/>
  <c r="W134" i="37"/>
  <c r="W133" i="37"/>
  <c r="W138" i="35"/>
  <c r="W137" i="35"/>
  <c r="W136" i="35"/>
  <c r="W135" i="35"/>
  <c r="W134" i="35"/>
  <c r="W133" i="35"/>
  <c r="W138" i="34"/>
  <c r="W137" i="34"/>
  <c r="W136" i="34"/>
  <c r="W135" i="34"/>
  <c r="W134" i="34"/>
  <c r="W133" i="34"/>
  <c r="W138" i="33"/>
  <c r="W137" i="33"/>
  <c r="W136" i="33"/>
  <c r="W135" i="33"/>
  <c r="W134" i="33"/>
  <c r="W133" i="33"/>
  <c r="W138" i="32"/>
  <c r="W137" i="32"/>
  <c r="W136" i="32"/>
  <c r="W135" i="32"/>
  <c r="W134" i="32"/>
  <c r="W133" i="32"/>
  <c r="W138" i="29"/>
  <c r="W137" i="29"/>
  <c r="W136" i="29"/>
  <c r="W135" i="29"/>
  <c r="W134" i="29"/>
  <c r="W133" i="29"/>
  <c r="W138" i="28"/>
  <c r="W137" i="28"/>
  <c r="W136" i="28"/>
  <c r="W135" i="28"/>
  <c r="W134" i="28"/>
  <c r="W133" i="28"/>
  <c r="W138" i="26"/>
  <c r="W137" i="26"/>
  <c r="W136" i="26"/>
  <c r="W135" i="26"/>
  <c r="W134" i="26"/>
  <c r="W133" i="26"/>
  <c r="W138" i="25"/>
  <c r="W137" i="25"/>
  <c r="W136" i="25"/>
  <c r="W135" i="25"/>
  <c r="W134" i="25"/>
  <c r="W133" i="25"/>
  <c r="W138" i="24"/>
  <c r="W137" i="24"/>
  <c r="W136" i="24"/>
  <c r="W135" i="24"/>
  <c r="W134" i="24"/>
  <c r="W133" i="24"/>
  <c r="W138" i="22"/>
  <c r="W137" i="22"/>
  <c r="W136" i="22"/>
  <c r="W135" i="22"/>
  <c r="W134" i="22"/>
  <c r="W133" i="22"/>
  <c r="W138" i="21"/>
  <c r="W137" i="21"/>
  <c r="W136" i="21"/>
  <c r="W135" i="21"/>
  <c r="W134" i="21"/>
  <c r="W133" i="21"/>
  <c r="W138" i="19"/>
  <c r="W137" i="19"/>
  <c r="W136" i="19"/>
  <c r="W135" i="19"/>
  <c r="W134" i="19"/>
  <c r="W133" i="19"/>
  <c r="W138" i="18"/>
  <c r="W137" i="18"/>
  <c r="W136" i="18"/>
  <c r="W135" i="18"/>
  <c r="W134" i="18"/>
  <c r="W133" i="18"/>
  <c r="W138" i="17"/>
  <c r="W137" i="17"/>
  <c r="W136" i="17"/>
  <c r="W135" i="17"/>
  <c r="W134" i="17"/>
  <c r="W133" i="17"/>
  <c r="W138" i="15"/>
  <c r="W137" i="15"/>
  <c r="W136" i="15"/>
  <c r="W135" i="15"/>
  <c r="W134" i="15"/>
  <c r="W133" i="15"/>
  <c r="W138" i="14"/>
  <c r="W137" i="14"/>
  <c r="W136" i="14"/>
  <c r="W135" i="14"/>
  <c r="W134" i="14"/>
  <c r="W133" i="14"/>
  <c r="W138" i="13"/>
  <c r="W137" i="13"/>
  <c r="W136" i="13"/>
  <c r="W135" i="13"/>
  <c r="W134" i="13"/>
  <c r="W133" i="13"/>
  <c r="W138" i="12"/>
  <c r="W137" i="12"/>
  <c r="W136" i="12"/>
  <c r="W135" i="12"/>
  <c r="W134" i="12"/>
  <c r="W133" i="12"/>
  <c r="W138" i="11"/>
  <c r="W137" i="11"/>
  <c r="W136" i="11"/>
  <c r="W135" i="11"/>
  <c r="W134" i="11"/>
  <c r="W133" i="11"/>
  <c r="W138" i="10"/>
  <c r="W137" i="10"/>
  <c r="W136" i="10"/>
  <c r="W135" i="10"/>
  <c r="W134" i="10"/>
  <c r="W133" i="10"/>
  <c r="W138" i="9"/>
  <c r="W137" i="9"/>
  <c r="W136" i="9"/>
  <c r="W135" i="9"/>
  <c r="W134" i="9"/>
  <c r="W133" i="9"/>
  <c r="W138" i="8"/>
  <c r="W137" i="8"/>
  <c r="W136" i="8"/>
  <c r="W135" i="8"/>
  <c r="W134" i="8"/>
  <c r="W133" i="8"/>
  <c r="W138" i="7"/>
  <c r="W137" i="7"/>
  <c r="W136" i="7"/>
  <c r="W135" i="7"/>
  <c r="W134" i="7"/>
  <c r="W133" i="7"/>
  <c r="W138" i="6"/>
  <c r="W137" i="6"/>
  <c r="W136" i="6"/>
  <c r="W135" i="6"/>
  <c r="W134" i="6"/>
  <c r="W133" i="6"/>
  <c r="A200" i="6"/>
  <c r="J200" i="6"/>
  <c r="A201" i="6"/>
  <c r="J201" i="6"/>
  <c r="A202" i="6"/>
  <c r="J202" i="6"/>
  <c r="A204" i="6"/>
  <c r="J204" i="6"/>
  <c r="J191" i="5"/>
  <c r="A205" i="5"/>
  <c r="A193" i="1"/>
  <c r="J193" i="1"/>
  <c r="A194" i="1"/>
  <c r="J194" i="1"/>
  <c r="A195" i="1"/>
  <c r="J195" i="1"/>
  <c r="A196" i="1"/>
  <c r="J196" i="1"/>
  <c r="A197" i="1"/>
  <c r="J197" i="1"/>
  <c r="A198" i="1"/>
  <c r="J198" i="1"/>
  <c r="A199" i="1"/>
  <c r="J199" i="1"/>
  <c r="A202" i="1"/>
  <c r="J202" i="1"/>
  <c r="A203" i="1"/>
  <c r="J203" i="1"/>
  <c r="A204" i="1"/>
  <c r="J204" i="1"/>
  <c r="A205" i="1"/>
  <c r="J205" i="1"/>
  <c r="B188" i="1"/>
  <c r="W138" i="5"/>
  <c r="V138" i="5"/>
  <c r="W137" i="5"/>
  <c r="V137" i="5"/>
  <c r="W136" i="5"/>
  <c r="V136" i="5"/>
  <c r="W135" i="5"/>
  <c r="W134" i="5"/>
  <c r="W133" i="5"/>
  <c r="I145" i="5"/>
  <c r="A174" i="13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71" i="12"/>
  <c r="A172" i="12" s="1"/>
  <c r="A173" i="12" s="1"/>
  <c r="A172" i="1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74" i="10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73" i="9"/>
  <c r="A175" i="8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90" i="8" s="1"/>
  <c r="A191" i="8" s="1"/>
  <c r="A189" i="8" s="1"/>
  <c r="A192" i="8" s="1"/>
  <c r="A193" i="8" s="1"/>
  <c r="A194" i="8" s="1"/>
  <c r="A195" i="8" s="1"/>
  <c r="A196" i="8" s="1"/>
  <c r="A197" i="8" s="1"/>
  <c r="A188" i="7"/>
  <c r="A189" i="7"/>
  <c r="A171" i="7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93" i="6"/>
  <c r="A194" i="6"/>
  <c r="A195" i="6"/>
  <c r="A196" i="6"/>
  <c r="A197" i="6"/>
  <c r="A199" i="6"/>
  <c r="A176" i="6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91" i="5"/>
  <c r="A192" i="5"/>
  <c r="A175" i="5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91" i="1"/>
  <c r="A192" i="1"/>
  <c r="A175" i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9" i="12"/>
  <c r="J172" i="7"/>
  <c r="J173" i="7"/>
  <c r="J174" i="7"/>
  <c r="J175" i="7"/>
  <c r="J176" i="7"/>
  <c r="J177" i="7"/>
  <c r="J178" i="7"/>
  <c r="J179" i="7"/>
  <c r="J180" i="7"/>
  <c r="J181" i="7"/>
  <c r="J182" i="7"/>
  <c r="J183" i="7"/>
  <c r="J171" i="7"/>
  <c r="J177" i="6"/>
  <c r="J178" i="6"/>
  <c r="J179" i="6"/>
  <c r="J180" i="6"/>
  <c r="J181" i="6"/>
  <c r="J182" i="6"/>
  <c r="J183" i="6"/>
  <c r="J184" i="6"/>
  <c r="J185" i="6"/>
  <c r="J186" i="6"/>
  <c r="J187" i="6"/>
  <c r="J188" i="6"/>
  <c r="J193" i="6"/>
  <c r="J194" i="6"/>
  <c r="J195" i="6"/>
  <c r="J196" i="6"/>
  <c r="J197" i="6"/>
  <c r="J199" i="6"/>
  <c r="J176" i="6"/>
  <c r="J176" i="5"/>
  <c r="J177" i="5"/>
  <c r="J178" i="5"/>
  <c r="J179" i="5"/>
  <c r="J180" i="5"/>
  <c r="J181" i="5"/>
  <c r="J182" i="5"/>
  <c r="J183" i="5"/>
  <c r="J184" i="5"/>
  <c r="J185" i="5"/>
  <c r="J186" i="5"/>
  <c r="J175" i="5"/>
  <c r="W133" i="1"/>
  <c r="F170" i="14" l="1"/>
  <c r="F168" i="46"/>
  <c r="F168" i="48"/>
  <c r="F168" i="49"/>
  <c r="F170" i="8"/>
  <c r="F168" i="45"/>
  <c r="F170" i="38"/>
  <c r="F170" i="37"/>
  <c r="F169" i="21"/>
  <c r="F168" i="39"/>
  <c r="D167" i="48"/>
  <c r="F167" i="48"/>
  <c r="E167" i="48"/>
  <c r="F168" i="42"/>
  <c r="E167" i="42"/>
  <c r="D167" i="42"/>
  <c r="F167" i="42"/>
  <c r="F169" i="19"/>
  <c r="F170" i="15"/>
  <c r="F170" i="32"/>
  <c r="F169" i="24"/>
  <c r="C308" i="5"/>
  <c r="F171" i="5"/>
  <c r="C309" i="6"/>
  <c r="F173" i="6"/>
  <c r="F169" i="18"/>
  <c r="F168" i="25"/>
  <c r="C309" i="7"/>
  <c r="F168" i="7"/>
  <c r="C309" i="11"/>
  <c r="F168" i="11"/>
  <c r="K168" i="11" s="1"/>
  <c r="I168" i="11" s="1"/>
  <c r="D167" i="49"/>
  <c r="E167" i="49"/>
  <c r="F167" i="49"/>
  <c r="F167" i="46"/>
  <c r="D167" i="46"/>
  <c r="E167" i="46"/>
  <c r="E167" i="45"/>
  <c r="D167" i="45"/>
  <c r="F167" i="45"/>
  <c r="D167" i="43"/>
  <c r="E167" i="43"/>
  <c r="F167" i="43"/>
  <c r="F168" i="43"/>
  <c r="D167" i="39"/>
  <c r="E167" i="39"/>
  <c r="F167" i="39"/>
  <c r="F167" i="40"/>
  <c r="D167" i="40"/>
  <c r="E167" i="40"/>
  <c r="F168" i="40"/>
  <c r="F167" i="41"/>
  <c r="D167" i="41"/>
  <c r="E167" i="41"/>
  <c r="F169" i="37"/>
  <c r="D169" i="37"/>
  <c r="E169" i="38"/>
  <c r="D169" i="38"/>
  <c r="F169" i="38"/>
  <c r="E168" i="28"/>
  <c r="F168" i="28"/>
  <c r="D168" i="28"/>
  <c r="D169" i="29"/>
  <c r="F169" i="29"/>
  <c r="E169" i="29"/>
  <c r="D169" i="32"/>
  <c r="F169" i="32"/>
  <c r="E169" i="32"/>
  <c r="D169" i="33"/>
  <c r="E169" i="33"/>
  <c r="F169" i="33"/>
  <c r="E168" i="35"/>
  <c r="F168" i="35"/>
  <c r="D168" i="35"/>
  <c r="F169" i="35"/>
  <c r="F169" i="34"/>
  <c r="D169" i="34"/>
  <c r="E169" i="34"/>
  <c r="F170" i="34"/>
  <c r="D168" i="21"/>
  <c r="E168" i="21"/>
  <c r="F168" i="21"/>
  <c r="D168" i="24"/>
  <c r="E168" i="24"/>
  <c r="F168" i="24"/>
  <c r="F168" i="13"/>
  <c r="E168" i="13"/>
  <c r="D168" i="13"/>
  <c r="F168" i="17"/>
  <c r="E168" i="17"/>
  <c r="D168" i="17"/>
  <c r="D169" i="14"/>
  <c r="F169" i="14"/>
  <c r="E169" i="14"/>
  <c r="F169" i="15"/>
  <c r="D169" i="15"/>
  <c r="E169" i="15"/>
  <c r="G169" i="8"/>
  <c r="F169" i="8"/>
  <c r="D169" i="8"/>
  <c r="E169" i="8"/>
  <c r="F169" i="10"/>
  <c r="E168" i="10"/>
  <c r="D168" i="10"/>
  <c r="F168" i="10"/>
  <c r="C307" i="6"/>
  <c r="F172" i="6"/>
  <c r="E169" i="22"/>
  <c r="D169" i="22"/>
  <c r="F169" i="22"/>
  <c r="F170" i="22"/>
  <c r="C303" i="13"/>
  <c r="I146" i="5"/>
  <c r="I148" i="44"/>
  <c r="A185" i="11"/>
  <c r="A186" i="11" s="1"/>
  <c r="A187" i="11" s="1"/>
  <c r="A188" i="11" s="1"/>
  <c r="A174" i="12"/>
  <c r="A175" i="12" s="1"/>
  <c r="A176" i="12" s="1"/>
  <c r="A177" i="12" s="1"/>
  <c r="A178" i="12" s="1"/>
  <c r="A179" i="12" s="1"/>
  <c r="A180" i="12" s="1"/>
  <c r="A181" i="12" s="1"/>
  <c r="A182" i="12" s="1"/>
  <c r="A183" i="12" s="1"/>
  <c r="A187" i="1"/>
  <c r="A188" i="1" s="1"/>
  <c r="A189" i="1" s="1"/>
  <c r="A190" i="1" s="1"/>
  <c r="C187" i="1"/>
  <c r="D187" i="1"/>
  <c r="E187" i="1"/>
  <c r="F187" i="1"/>
  <c r="G187" i="1"/>
  <c r="I187" i="1"/>
  <c r="C188" i="1"/>
  <c r="D188" i="1"/>
  <c r="E188" i="1"/>
  <c r="F188" i="1"/>
  <c r="G188" i="1"/>
  <c r="I188" i="1"/>
  <c r="C161" i="1"/>
  <c r="C162" i="1"/>
  <c r="C163" i="1"/>
  <c r="C164" i="1"/>
  <c r="C165" i="1"/>
  <c r="C160" i="1"/>
  <c r="B161" i="1"/>
  <c r="B162" i="1"/>
  <c r="B163" i="1"/>
  <c r="B164" i="1"/>
  <c r="B165" i="1"/>
  <c r="B160" i="1"/>
  <c r="W134" i="1"/>
  <c r="W135" i="1"/>
  <c r="W137" i="1"/>
  <c r="W138" i="1"/>
  <c r="J176" i="1"/>
  <c r="J177" i="1"/>
  <c r="J178" i="1"/>
  <c r="J179" i="1"/>
  <c r="J180" i="1"/>
  <c r="J181" i="1"/>
  <c r="J182" i="1"/>
  <c r="J183" i="1"/>
  <c r="J184" i="1"/>
  <c r="J185" i="1"/>
  <c r="J186" i="1"/>
  <c r="J191" i="1"/>
  <c r="J192" i="1"/>
  <c r="J175" i="1"/>
  <c r="V136" i="1"/>
  <c r="V138" i="1"/>
  <c r="V137" i="1"/>
  <c r="I145" i="1"/>
  <c r="C310" i="5" l="1"/>
  <c r="F172" i="5"/>
  <c r="C308" i="1"/>
  <c r="F171" i="1"/>
  <c r="C301" i="44"/>
  <c r="F168" i="44"/>
  <c r="J145" i="1"/>
  <c r="I146" i="1"/>
  <c r="W136" i="1"/>
  <c r="J146" i="1" s="1"/>
  <c r="J173" i="18"/>
  <c r="J174" i="18"/>
  <c r="J175" i="18"/>
  <c r="J176" i="18"/>
  <c r="J177" i="18"/>
  <c r="J178" i="18"/>
  <c r="J179" i="18"/>
  <c r="J180" i="18"/>
  <c r="J181" i="18"/>
  <c r="J182" i="18"/>
  <c r="J183" i="18"/>
  <c r="J184" i="18"/>
  <c r="J185" i="18"/>
  <c r="J190" i="18"/>
  <c r="J172" i="18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8" i="12"/>
  <c r="J189" i="12"/>
  <c r="J171" i="12"/>
  <c r="J190" i="11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9" i="10"/>
  <c r="J190" i="10"/>
  <c r="J188" i="10"/>
  <c r="J191" i="9"/>
  <c r="J192" i="9"/>
  <c r="C311" i="1" l="1"/>
  <c r="G172" i="1"/>
  <c r="C310" i="1"/>
  <c r="F172" i="1"/>
  <c r="C309" i="1"/>
  <c r="G171" i="1"/>
  <c r="J173" i="19"/>
  <c r="J174" i="19"/>
  <c r="J175" i="19"/>
  <c r="J176" i="19"/>
  <c r="J177" i="19"/>
  <c r="J178" i="19"/>
  <c r="J179" i="19"/>
  <c r="J180" i="19"/>
  <c r="J181" i="19"/>
  <c r="J182" i="19"/>
  <c r="J183" i="19"/>
  <c r="J184" i="19"/>
  <c r="J185" i="19"/>
  <c r="J190" i="19"/>
  <c r="J172" i="19"/>
  <c r="J175" i="8"/>
  <c r="J174" i="10"/>
  <c r="J174" i="13"/>
  <c r="J175" i="14"/>
  <c r="J175" i="15"/>
  <c r="J174" i="17"/>
  <c r="J175" i="21"/>
  <c r="J174" i="21"/>
  <c r="J176" i="22"/>
  <c r="J177" i="22"/>
  <c r="J178" i="22"/>
  <c r="J179" i="22"/>
  <c r="J200" i="22"/>
  <c r="J175" i="24"/>
  <c r="J176" i="24"/>
  <c r="J177" i="24"/>
  <c r="J178" i="24"/>
  <c r="J179" i="24"/>
  <c r="J180" i="24"/>
  <c r="J181" i="24"/>
  <c r="J182" i="24"/>
  <c r="J183" i="24"/>
  <c r="J184" i="24"/>
  <c r="J185" i="24"/>
  <c r="J186" i="24"/>
  <c r="J199" i="24"/>
  <c r="J190" i="26"/>
  <c r="J184" i="26"/>
  <c r="J176" i="26"/>
  <c r="J172" i="26"/>
  <c r="J173" i="26"/>
  <c r="J174" i="26"/>
  <c r="J175" i="26"/>
  <c r="J178" i="26"/>
  <c r="J179" i="26"/>
  <c r="J180" i="26"/>
  <c r="J181" i="26"/>
  <c r="J182" i="26"/>
  <c r="J183" i="26"/>
  <c r="J189" i="26"/>
  <c r="J176" i="28"/>
  <c r="J197" i="28"/>
  <c r="J198" i="28"/>
  <c r="J175" i="28"/>
  <c r="J174" i="28"/>
  <c r="H171" i="1" l="1"/>
  <c r="J200" i="29"/>
  <c r="J176" i="29"/>
  <c r="J177" i="29"/>
  <c r="J178" i="29"/>
  <c r="J179" i="29"/>
  <c r="J180" i="29"/>
  <c r="J181" i="29"/>
  <c r="J182" i="29"/>
  <c r="J183" i="29"/>
  <c r="J187" i="29"/>
  <c r="J188" i="29"/>
  <c r="J189" i="29"/>
  <c r="J198" i="29"/>
  <c r="J199" i="29"/>
  <c r="J175" i="29"/>
  <c r="J176" i="32"/>
  <c r="J177" i="32"/>
  <c r="J178" i="32"/>
  <c r="J179" i="32"/>
  <c r="J181" i="32"/>
  <c r="J182" i="32"/>
  <c r="J183" i="32"/>
  <c r="J184" i="32"/>
  <c r="J185" i="32"/>
  <c r="J186" i="32"/>
  <c r="J187" i="32"/>
  <c r="J188" i="32"/>
  <c r="J197" i="32"/>
  <c r="J180" i="32"/>
  <c r="J175" i="32"/>
  <c r="J176" i="33"/>
  <c r="J177" i="33"/>
  <c r="J178" i="33"/>
  <c r="J179" i="33"/>
  <c r="J181" i="33"/>
  <c r="J182" i="33"/>
  <c r="J183" i="33"/>
  <c r="J184" i="33"/>
  <c r="J185" i="33"/>
  <c r="J186" i="33"/>
  <c r="J187" i="33"/>
  <c r="J188" i="33"/>
  <c r="J197" i="33"/>
  <c r="J198" i="33"/>
  <c r="J189" i="33"/>
  <c r="J180" i="33"/>
  <c r="J176" i="34"/>
  <c r="J177" i="34"/>
  <c r="J178" i="34"/>
  <c r="J179" i="34"/>
  <c r="J184" i="34"/>
  <c r="J185" i="34"/>
  <c r="J186" i="34"/>
  <c r="J189" i="34"/>
  <c r="J190" i="34"/>
  <c r="J175" i="34"/>
  <c r="J176" i="38"/>
  <c r="J177" i="38"/>
  <c r="J178" i="38"/>
  <c r="J179" i="38"/>
  <c r="J182" i="38"/>
  <c r="J183" i="38"/>
  <c r="J184" i="38"/>
  <c r="J186" i="38"/>
  <c r="J187" i="38"/>
  <c r="J188" i="38"/>
  <c r="J191" i="38"/>
  <c r="J200" i="38"/>
  <c r="J180" i="38"/>
  <c r="J181" i="38"/>
  <c r="J189" i="38"/>
  <c r="J175" i="38"/>
  <c r="J520" i="46" l="1"/>
  <c r="J519" i="49"/>
  <c r="J174" i="49"/>
  <c r="J175" i="49"/>
  <c r="J176" i="49"/>
  <c r="J177" i="49"/>
  <c r="J180" i="49"/>
  <c r="J181" i="49"/>
  <c r="J182" i="49"/>
  <c r="J183" i="49"/>
  <c r="J199" i="49"/>
  <c r="J200" i="49"/>
  <c r="J184" i="49"/>
  <c r="J185" i="49"/>
  <c r="J186" i="49"/>
  <c r="J195" i="49"/>
  <c r="J196" i="49"/>
  <c r="A523" i="49"/>
  <c r="A522" i="49"/>
  <c r="A519" i="49"/>
  <c r="A439" i="49"/>
  <c r="A438" i="49"/>
  <c r="J424" i="49"/>
  <c r="J423" i="49"/>
  <c r="J422" i="49"/>
  <c r="A332" i="49"/>
  <c r="A331" i="49"/>
  <c r="J317" i="49"/>
  <c r="J316" i="49"/>
  <c r="J315" i="49"/>
  <c r="J210" i="49"/>
  <c r="J209" i="49"/>
  <c r="J208" i="49"/>
  <c r="J173" i="49"/>
  <c r="E158" i="49"/>
  <c r="C154" i="49"/>
  <c r="D154" i="49" s="1"/>
  <c r="B154" i="49"/>
  <c r="C153" i="49"/>
  <c r="D153" i="49" s="1"/>
  <c r="B153" i="49"/>
  <c r="A153" i="49" s="1"/>
  <c r="J151" i="49"/>
  <c r="A151" i="49"/>
  <c r="J150" i="49"/>
  <c r="I150" i="49"/>
  <c r="J149" i="49"/>
  <c r="I149" i="49"/>
  <c r="J148" i="49"/>
  <c r="J147" i="49"/>
  <c r="J146" i="49"/>
  <c r="G166" i="49" s="1"/>
  <c r="I146" i="49"/>
  <c r="J145" i="49"/>
  <c r="I145" i="49"/>
  <c r="J144" i="49"/>
  <c r="I144" i="49"/>
  <c r="J143" i="49"/>
  <c r="G163" i="49" s="1"/>
  <c r="I143" i="49"/>
  <c r="J142" i="49"/>
  <c r="G162" i="49" s="1"/>
  <c r="J141" i="49"/>
  <c r="G161" i="49" s="1"/>
  <c r="J139" i="49"/>
  <c r="C277" i="49" s="1"/>
  <c r="I139" i="49"/>
  <c r="C276" i="49" s="1"/>
  <c r="J138" i="49"/>
  <c r="I138" i="49"/>
  <c r="J137" i="49"/>
  <c r="I137" i="49"/>
  <c r="C266" i="49" s="1"/>
  <c r="J136" i="49"/>
  <c r="C257" i="49" s="1"/>
  <c r="I136" i="49"/>
  <c r="C256" i="49" s="1"/>
  <c r="J135" i="49"/>
  <c r="C246" i="49" s="1"/>
  <c r="I135" i="49"/>
  <c r="C245" i="49" s="1"/>
  <c r="J134" i="49"/>
  <c r="C236" i="49" s="1"/>
  <c r="C235" i="49"/>
  <c r="J133" i="49"/>
  <c r="C223" i="49" s="1"/>
  <c r="I133" i="49"/>
  <c r="C222" i="49" s="1"/>
  <c r="A133" i="49"/>
  <c r="A134" i="49" s="1"/>
  <c r="A135" i="49" s="1"/>
  <c r="A136" i="49" s="1"/>
  <c r="A137" i="49" s="1"/>
  <c r="A138" i="49" s="1"/>
  <c r="A139" i="49" s="1"/>
  <c r="A140" i="49" s="1"/>
  <c r="A141" i="49" s="1"/>
  <c r="A142" i="49" s="1"/>
  <c r="A143" i="49" s="1"/>
  <c r="A144" i="49" s="1"/>
  <c r="A145" i="49" s="1"/>
  <c r="A146" i="49" s="1"/>
  <c r="A147" i="49" s="1"/>
  <c r="A148" i="49" s="1"/>
  <c r="A149" i="49" s="1"/>
  <c r="A150" i="49" s="1"/>
  <c r="A130" i="49"/>
  <c r="A129" i="49"/>
  <c r="J115" i="49"/>
  <c r="J114" i="49"/>
  <c r="J113" i="49"/>
  <c r="J174" i="48"/>
  <c r="J175" i="48"/>
  <c r="J176" i="48"/>
  <c r="J177" i="48"/>
  <c r="J180" i="48"/>
  <c r="J181" i="48"/>
  <c r="J182" i="48"/>
  <c r="J183" i="48"/>
  <c r="J184" i="48"/>
  <c r="J185" i="48"/>
  <c r="J186" i="48"/>
  <c r="J189" i="48"/>
  <c r="J196" i="48"/>
  <c r="A524" i="48"/>
  <c r="A523" i="48"/>
  <c r="D520" i="48"/>
  <c r="A520" i="48"/>
  <c r="A440" i="48"/>
  <c r="A439" i="48"/>
  <c r="J425" i="48"/>
  <c r="J424" i="48"/>
  <c r="J423" i="48"/>
  <c r="A333" i="48"/>
  <c r="A332" i="48"/>
  <c r="J318" i="48"/>
  <c r="J317" i="48"/>
  <c r="J316" i="48"/>
  <c r="J211" i="48"/>
  <c r="J210" i="48"/>
  <c r="J209" i="48"/>
  <c r="J178" i="48"/>
  <c r="J173" i="48"/>
  <c r="E159" i="48"/>
  <c r="E155" i="48"/>
  <c r="C154" i="48"/>
  <c r="B154" i="48"/>
  <c r="C153" i="48"/>
  <c r="B153" i="48"/>
  <c r="A153" i="48" s="1"/>
  <c r="J151" i="48"/>
  <c r="A151" i="48"/>
  <c r="J150" i="48"/>
  <c r="I150" i="48"/>
  <c r="J149" i="48"/>
  <c r="I149" i="48"/>
  <c r="J148" i="48"/>
  <c r="J147" i="48"/>
  <c r="J146" i="48"/>
  <c r="G166" i="48" s="1"/>
  <c r="I146" i="48"/>
  <c r="J145" i="48"/>
  <c r="I145" i="48"/>
  <c r="J144" i="48"/>
  <c r="I144" i="48"/>
  <c r="J143" i="48"/>
  <c r="G163" i="48" s="1"/>
  <c r="I143" i="48"/>
  <c r="J142" i="48"/>
  <c r="G162" i="48" s="1"/>
  <c r="J141" i="48"/>
  <c r="J139" i="48"/>
  <c r="C278" i="48" s="1"/>
  <c r="I139" i="48"/>
  <c r="C277" i="48" s="1"/>
  <c r="J138" i="48"/>
  <c r="I138" i="48"/>
  <c r="J137" i="48"/>
  <c r="I137" i="48"/>
  <c r="C267" i="48" s="1"/>
  <c r="J136" i="48"/>
  <c r="I136" i="48"/>
  <c r="C257" i="48" s="1"/>
  <c r="J135" i="48"/>
  <c r="C247" i="48" s="1"/>
  <c r="I135" i="48"/>
  <c r="C246" i="48" s="1"/>
  <c r="J134" i="48"/>
  <c r="C237" i="48" s="1"/>
  <c r="C236" i="48"/>
  <c r="J133" i="48"/>
  <c r="C224" i="48" s="1"/>
  <c r="I133" i="48"/>
  <c r="C223" i="48" s="1"/>
  <c r="A133" i="48"/>
  <c r="A134" i="48" s="1"/>
  <c r="A135" i="48" s="1"/>
  <c r="A136" i="48" s="1"/>
  <c r="A137" i="48" s="1"/>
  <c r="A138" i="48" s="1"/>
  <c r="A139" i="48" s="1"/>
  <c r="A140" i="48" s="1"/>
  <c r="A141" i="48" s="1"/>
  <c r="A142" i="48" s="1"/>
  <c r="A143" i="48" s="1"/>
  <c r="A144" i="48" s="1"/>
  <c r="A145" i="48" s="1"/>
  <c r="A146" i="48" s="1"/>
  <c r="A147" i="48" s="1"/>
  <c r="A148" i="48" s="1"/>
  <c r="A149" i="48" s="1"/>
  <c r="A150" i="48" s="1"/>
  <c r="A130" i="48"/>
  <c r="A129" i="48"/>
  <c r="J115" i="48"/>
  <c r="J114" i="48"/>
  <c r="J113" i="48"/>
  <c r="J174" i="46"/>
  <c r="J175" i="46"/>
  <c r="J176" i="46"/>
  <c r="J177" i="46"/>
  <c r="J180" i="46"/>
  <c r="J181" i="46"/>
  <c r="J182" i="46"/>
  <c r="J200" i="46"/>
  <c r="J201" i="46"/>
  <c r="J183" i="46"/>
  <c r="J184" i="46"/>
  <c r="J189" i="46"/>
  <c r="J197" i="46"/>
  <c r="J198" i="46"/>
  <c r="J199" i="46"/>
  <c r="A524" i="46"/>
  <c r="A523" i="46"/>
  <c r="D520" i="46"/>
  <c r="A520" i="46"/>
  <c r="A440" i="46"/>
  <c r="A439" i="46"/>
  <c r="J425" i="46"/>
  <c r="J424" i="46"/>
  <c r="J423" i="46"/>
  <c r="A333" i="46"/>
  <c r="A332" i="46"/>
  <c r="J318" i="46"/>
  <c r="J317" i="46"/>
  <c r="J316" i="46"/>
  <c r="J211" i="46"/>
  <c r="J210" i="46"/>
  <c r="J209" i="46"/>
  <c r="J173" i="46"/>
  <c r="E157" i="46"/>
  <c r="E156" i="46"/>
  <c r="E155" i="46"/>
  <c r="C154" i="46"/>
  <c r="E154" i="46" s="1"/>
  <c r="B154" i="46"/>
  <c r="C153" i="46"/>
  <c r="E153" i="46" s="1"/>
  <c r="B153" i="46"/>
  <c r="A153" i="46" s="1"/>
  <c r="J151" i="46"/>
  <c r="A151" i="46"/>
  <c r="J150" i="46"/>
  <c r="I150" i="46"/>
  <c r="J149" i="46"/>
  <c r="I149" i="46"/>
  <c r="J148" i="46"/>
  <c r="J147" i="46"/>
  <c r="J146" i="46"/>
  <c r="G166" i="46" s="1"/>
  <c r="I146" i="46"/>
  <c r="J145" i="46"/>
  <c r="I145" i="46"/>
  <c r="J144" i="46"/>
  <c r="I144" i="46"/>
  <c r="J143" i="46"/>
  <c r="G163" i="46" s="1"/>
  <c r="I143" i="46"/>
  <c r="J142" i="46"/>
  <c r="G162" i="46" s="1"/>
  <c r="J141" i="46"/>
  <c r="G161" i="46" s="1"/>
  <c r="J139" i="46"/>
  <c r="C278" i="46" s="1"/>
  <c r="I139" i="46"/>
  <c r="C277" i="46" s="1"/>
  <c r="J138" i="46"/>
  <c r="I138" i="46"/>
  <c r="J137" i="46"/>
  <c r="C268" i="46" s="1"/>
  <c r="I137" i="46"/>
  <c r="C267" i="46" s="1"/>
  <c r="J136" i="46"/>
  <c r="C258" i="46" s="1"/>
  <c r="I136" i="46"/>
  <c r="C257" i="46" s="1"/>
  <c r="J135" i="46"/>
  <c r="C247" i="46" s="1"/>
  <c r="I135" i="46"/>
  <c r="C246" i="46" s="1"/>
  <c r="J134" i="46"/>
  <c r="C237" i="46" s="1"/>
  <c r="C236" i="46"/>
  <c r="J133" i="46"/>
  <c r="C224" i="46" s="1"/>
  <c r="I133" i="46"/>
  <c r="C223" i="46" s="1"/>
  <c r="A133" i="46"/>
  <c r="A134" i="46" s="1"/>
  <c r="A135" i="46" s="1"/>
  <c r="A136" i="46" s="1"/>
  <c r="A137" i="46" s="1"/>
  <c r="A138" i="46" s="1"/>
  <c r="A139" i="46" s="1"/>
  <c r="A140" i="46" s="1"/>
  <c r="A141" i="46" s="1"/>
  <c r="A142" i="46" s="1"/>
  <c r="A143" i="46" s="1"/>
  <c r="A144" i="46" s="1"/>
  <c r="A145" i="46" s="1"/>
  <c r="A146" i="46" s="1"/>
  <c r="A147" i="46" s="1"/>
  <c r="A148" i="46" s="1"/>
  <c r="A149" i="46" s="1"/>
  <c r="A150" i="46" s="1"/>
  <c r="A130" i="46"/>
  <c r="A129" i="46"/>
  <c r="J115" i="46"/>
  <c r="J114" i="46"/>
  <c r="J113" i="46"/>
  <c r="H191" i="48" l="1"/>
  <c r="F166" i="48"/>
  <c r="C300" i="48"/>
  <c r="G167" i="48"/>
  <c r="C268" i="48"/>
  <c r="C302" i="48"/>
  <c r="G168" i="48"/>
  <c r="C309" i="48"/>
  <c r="F169" i="48"/>
  <c r="F170" i="48"/>
  <c r="C310" i="48"/>
  <c r="G169" i="48"/>
  <c r="G170" i="48"/>
  <c r="C289" i="48"/>
  <c r="G161" i="48"/>
  <c r="G165" i="48"/>
  <c r="G164" i="48"/>
  <c r="C290" i="48"/>
  <c r="F163" i="48"/>
  <c r="F164" i="48"/>
  <c r="F165" i="48"/>
  <c r="C289" i="49"/>
  <c r="F163" i="49"/>
  <c r="C299" i="49"/>
  <c r="G167" i="49"/>
  <c r="C301" i="49"/>
  <c r="G168" i="49"/>
  <c r="F165" i="49"/>
  <c r="F164" i="49"/>
  <c r="C308" i="49"/>
  <c r="F170" i="49"/>
  <c r="F169" i="49"/>
  <c r="G169" i="49"/>
  <c r="G170" i="49"/>
  <c r="G164" i="49"/>
  <c r="G165" i="49"/>
  <c r="H190" i="49"/>
  <c r="J190" i="49" s="1"/>
  <c r="F166" i="49"/>
  <c r="F164" i="46"/>
  <c r="F165" i="46"/>
  <c r="C309" i="46"/>
  <c r="F169" i="46"/>
  <c r="F170" i="46"/>
  <c r="G164" i="46"/>
  <c r="G165" i="46"/>
  <c r="G170" i="46"/>
  <c r="G169" i="46"/>
  <c r="C302" i="46"/>
  <c r="G168" i="46"/>
  <c r="H192" i="46"/>
  <c r="F166" i="46"/>
  <c r="C290" i="46"/>
  <c r="F163" i="46"/>
  <c r="C300" i="46"/>
  <c r="G167" i="46"/>
  <c r="H167" i="46" s="1"/>
  <c r="G156" i="48"/>
  <c r="C258" i="48"/>
  <c r="C291" i="48"/>
  <c r="C289" i="46"/>
  <c r="C291" i="46"/>
  <c r="C310" i="46"/>
  <c r="C288" i="49"/>
  <c r="C267" i="49"/>
  <c r="C290" i="49"/>
  <c r="C309" i="49"/>
  <c r="H190" i="48"/>
  <c r="J190" i="48" s="1"/>
  <c r="U185" i="49"/>
  <c r="W185" i="49" s="1"/>
  <c r="U184" i="49"/>
  <c r="W184" i="49" s="1"/>
  <c r="U187" i="49"/>
  <c r="W187" i="49" s="1"/>
  <c r="U177" i="49"/>
  <c r="W177" i="49" s="1"/>
  <c r="U173" i="49"/>
  <c r="W173" i="49" s="1"/>
  <c r="U176" i="49"/>
  <c r="U174" i="49"/>
  <c r="U186" i="49"/>
  <c r="W186" i="49" s="1"/>
  <c r="U175" i="49"/>
  <c r="W175" i="49" s="1"/>
  <c r="U173" i="46"/>
  <c r="W173" i="46" s="1"/>
  <c r="U186" i="46"/>
  <c r="W186" i="46" s="1"/>
  <c r="U177" i="46"/>
  <c r="W177" i="46" s="1"/>
  <c r="U176" i="46"/>
  <c r="W176" i="46" s="1"/>
  <c r="U175" i="46"/>
  <c r="U174" i="46"/>
  <c r="W174" i="46" s="1"/>
  <c r="U187" i="46"/>
  <c r="W187" i="46" s="1"/>
  <c r="U185" i="46"/>
  <c r="W185" i="46" s="1"/>
  <c r="U184" i="46"/>
  <c r="W184" i="46" s="1"/>
  <c r="A154" i="49"/>
  <c r="A155" i="49" s="1"/>
  <c r="A156" i="49" s="1"/>
  <c r="A157" i="49" s="1"/>
  <c r="A158" i="49" s="1"/>
  <c r="A159" i="49" s="1"/>
  <c r="A160" i="49" s="1"/>
  <c r="A161" i="49" s="1"/>
  <c r="A162" i="49" s="1"/>
  <c r="A163" i="49" s="1"/>
  <c r="A164" i="49" s="1"/>
  <c r="A165" i="49" s="1"/>
  <c r="A166" i="49" s="1"/>
  <c r="A167" i="49" s="1"/>
  <c r="A168" i="49" s="1"/>
  <c r="A169" i="49" s="1"/>
  <c r="A170" i="49" s="1"/>
  <c r="H189" i="49"/>
  <c r="J189" i="49" s="1"/>
  <c r="U184" i="48"/>
  <c r="W184" i="48" s="1"/>
  <c r="U185" i="48"/>
  <c r="W185" i="48" s="1"/>
  <c r="U176" i="48"/>
  <c r="U174" i="48"/>
  <c r="W174" i="48" s="1"/>
  <c r="U175" i="48"/>
  <c r="U187" i="48"/>
  <c r="W187" i="48" s="1"/>
  <c r="U173" i="48"/>
  <c r="U186" i="48"/>
  <c r="W186" i="48" s="1"/>
  <c r="U177" i="48"/>
  <c r="W177" i="48" s="1"/>
  <c r="G155" i="48"/>
  <c r="E157" i="49"/>
  <c r="F159" i="49"/>
  <c r="E154" i="49"/>
  <c r="F157" i="48"/>
  <c r="G153" i="46"/>
  <c r="G159" i="46"/>
  <c r="G158" i="46"/>
  <c r="F157" i="46"/>
  <c r="J192" i="46"/>
  <c r="H191" i="46"/>
  <c r="J191" i="46" s="1"/>
  <c r="A154" i="46"/>
  <c r="A155" i="46" s="1"/>
  <c r="A156" i="46" s="1"/>
  <c r="A157" i="46" s="1"/>
  <c r="A158" i="46" s="1"/>
  <c r="A159" i="46" s="1"/>
  <c r="A160" i="46" s="1"/>
  <c r="A161" i="46" s="1"/>
  <c r="A162" i="46" s="1"/>
  <c r="A163" i="46" s="1"/>
  <c r="A164" i="46" s="1"/>
  <c r="A165" i="46" s="1"/>
  <c r="A166" i="46" s="1"/>
  <c r="A167" i="46" s="1"/>
  <c r="A168" i="46" s="1"/>
  <c r="A169" i="46" s="1"/>
  <c r="A170" i="46" s="1"/>
  <c r="G157" i="46"/>
  <c r="F155" i="46"/>
  <c r="F154" i="48"/>
  <c r="G153" i="48"/>
  <c r="G154" i="48"/>
  <c r="G159" i="48"/>
  <c r="F156" i="48"/>
  <c r="F159" i="48"/>
  <c r="F158" i="48"/>
  <c r="E153" i="49"/>
  <c r="F158" i="49"/>
  <c r="F153" i="46"/>
  <c r="F158" i="46"/>
  <c r="G155" i="46"/>
  <c r="F156" i="46"/>
  <c r="G156" i="46"/>
  <c r="F154" i="46"/>
  <c r="G154" i="46"/>
  <c r="E157" i="48"/>
  <c r="G157" i="48"/>
  <c r="F153" i="48"/>
  <c r="J191" i="48"/>
  <c r="E153" i="48"/>
  <c r="G158" i="48"/>
  <c r="E156" i="48"/>
  <c r="E154" i="48"/>
  <c r="F155" i="48"/>
  <c r="E155" i="49"/>
  <c r="G159" i="49"/>
  <c r="E156" i="49"/>
  <c r="F153" i="49"/>
  <c r="F154" i="49"/>
  <c r="F155" i="49"/>
  <c r="F156" i="49"/>
  <c r="F157" i="49"/>
  <c r="G158" i="49"/>
  <c r="G153" i="49"/>
  <c r="G154" i="49"/>
  <c r="G155" i="49"/>
  <c r="G156" i="49"/>
  <c r="G157" i="49"/>
  <c r="E159" i="49"/>
  <c r="A154" i="48"/>
  <c r="A155" i="48" s="1"/>
  <c r="A156" i="48" s="1"/>
  <c r="A157" i="48" s="1"/>
  <c r="A158" i="48" s="1"/>
  <c r="A159" i="48" s="1"/>
  <c r="A160" i="48" s="1"/>
  <c r="A161" i="48" s="1"/>
  <c r="A162" i="48" s="1"/>
  <c r="A163" i="48" s="1"/>
  <c r="A164" i="48" s="1"/>
  <c r="A165" i="48" s="1"/>
  <c r="A166" i="48" s="1"/>
  <c r="A167" i="48" s="1"/>
  <c r="A168" i="48" s="1"/>
  <c r="A169" i="48" s="1"/>
  <c r="A170" i="48" s="1"/>
  <c r="W175" i="48"/>
  <c r="D153" i="48"/>
  <c r="D154" i="48"/>
  <c r="E158" i="48"/>
  <c r="E159" i="46"/>
  <c r="D153" i="46"/>
  <c r="D154" i="46"/>
  <c r="E158" i="46"/>
  <c r="F159" i="46"/>
  <c r="I146" i="45"/>
  <c r="I145" i="44"/>
  <c r="I146" i="44"/>
  <c r="A524" i="45"/>
  <c r="A523" i="45"/>
  <c r="D520" i="45"/>
  <c r="J520" i="45"/>
  <c r="A520" i="45"/>
  <c r="A440" i="45"/>
  <c r="A439" i="45"/>
  <c r="J425" i="45"/>
  <c r="J424" i="45"/>
  <c r="J423" i="45"/>
  <c r="A333" i="45"/>
  <c r="A332" i="45"/>
  <c r="J318" i="45"/>
  <c r="J317" i="45"/>
  <c r="J316" i="45"/>
  <c r="J211" i="45"/>
  <c r="J210" i="45"/>
  <c r="J209" i="45"/>
  <c r="J198" i="45"/>
  <c r="J188" i="45"/>
  <c r="J197" i="45"/>
  <c r="J195" i="45"/>
  <c r="J187" i="45"/>
  <c r="J186" i="45"/>
  <c r="J185" i="45"/>
  <c r="J184" i="45"/>
  <c r="J201" i="45"/>
  <c r="J200" i="45"/>
  <c r="J183" i="45"/>
  <c r="J181" i="45"/>
  <c r="J180" i="45"/>
  <c r="J177" i="45"/>
  <c r="J176" i="45"/>
  <c r="J175" i="45"/>
  <c r="J174" i="45"/>
  <c r="J173" i="45"/>
  <c r="E158" i="45"/>
  <c r="C154" i="45"/>
  <c r="D154" i="45" s="1"/>
  <c r="B154" i="45"/>
  <c r="C153" i="45"/>
  <c r="D153" i="45" s="1"/>
  <c r="B153" i="45"/>
  <c r="A153" i="45" s="1"/>
  <c r="J151" i="45"/>
  <c r="A151" i="45"/>
  <c r="J150" i="45"/>
  <c r="I150" i="45"/>
  <c r="J149" i="45"/>
  <c r="I149" i="45"/>
  <c r="J148" i="45"/>
  <c r="J147" i="45"/>
  <c r="J146" i="45"/>
  <c r="G166" i="45" s="1"/>
  <c r="J145" i="45"/>
  <c r="I145" i="45"/>
  <c r="J144" i="45"/>
  <c r="I144" i="45"/>
  <c r="J143" i="45"/>
  <c r="I143" i="45"/>
  <c r="J142" i="45"/>
  <c r="G162" i="45" s="1"/>
  <c r="J141" i="45"/>
  <c r="G161" i="45" s="1"/>
  <c r="J139" i="45"/>
  <c r="C278" i="45" s="1"/>
  <c r="I139" i="45"/>
  <c r="C277" i="45" s="1"/>
  <c r="J138" i="45"/>
  <c r="I138" i="45"/>
  <c r="J137" i="45"/>
  <c r="I137" i="45"/>
  <c r="C267" i="45" s="1"/>
  <c r="J136" i="45"/>
  <c r="C258" i="45" s="1"/>
  <c r="I136" i="45"/>
  <c r="C257" i="45" s="1"/>
  <c r="J135" i="45"/>
  <c r="C247" i="45" s="1"/>
  <c r="I135" i="45"/>
  <c r="C246" i="45" s="1"/>
  <c r="J134" i="45"/>
  <c r="C237" i="45" s="1"/>
  <c r="C236" i="45"/>
  <c r="J133" i="45"/>
  <c r="C224" i="45" s="1"/>
  <c r="I133" i="45"/>
  <c r="C223" i="45" s="1"/>
  <c r="A133" i="45"/>
  <c r="A134" i="45" s="1"/>
  <c r="A135" i="45" s="1"/>
  <c r="A136" i="45" s="1"/>
  <c r="A137" i="45" s="1"/>
  <c r="A138" i="45" s="1"/>
  <c r="A139" i="45" s="1"/>
  <c r="A140" i="45" s="1"/>
  <c r="A141" i="45" s="1"/>
  <c r="A142" i="45" s="1"/>
  <c r="A143" i="45" s="1"/>
  <c r="A144" i="45" s="1"/>
  <c r="A145" i="45" s="1"/>
  <c r="A146" i="45" s="1"/>
  <c r="A147" i="45" s="1"/>
  <c r="A148" i="45" s="1"/>
  <c r="A149" i="45" s="1"/>
  <c r="A150" i="45" s="1"/>
  <c r="A130" i="45"/>
  <c r="A129" i="45"/>
  <c r="J115" i="45"/>
  <c r="J114" i="45"/>
  <c r="J113" i="45"/>
  <c r="J519" i="44"/>
  <c r="J520" i="43"/>
  <c r="A523" i="44"/>
  <c r="A522" i="44"/>
  <c r="D519" i="44"/>
  <c r="A519" i="44"/>
  <c r="A439" i="44"/>
  <c r="A438" i="44"/>
  <c r="J424" i="44"/>
  <c r="J423" i="44"/>
  <c r="J422" i="44"/>
  <c r="A332" i="44"/>
  <c r="A331" i="44"/>
  <c r="J317" i="44"/>
  <c r="J316" i="44"/>
  <c r="J315" i="44"/>
  <c r="J210" i="44"/>
  <c r="J209" i="44"/>
  <c r="J208" i="44"/>
  <c r="J188" i="44"/>
  <c r="J199" i="44"/>
  <c r="J198" i="44"/>
  <c r="J187" i="44"/>
  <c r="J186" i="44"/>
  <c r="J185" i="44"/>
  <c r="J184" i="44"/>
  <c r="J183" i="44"/>
  <c r="J182" i="44"/>
  <c r="J181" i="44"/>
  <c r="J180" i="44"/>
  <c r="J177" i="44"/>
  <c r="J176" i="44"/>
  <c r="J175" i="44"/>
  <c r="J174" i="44"/>
  <c r="J173" i="44"/>
  <c r="E158" i="44"/>
  <c r="C154" i="44"/>
  <c r="D154" i="44" s="1"/>
  <c r="B154" i="44"/>
  <c r="C153" i="44"/>
  <c r="D153" i="44" s="1"/>
  <c r="B153" i="44"/>
  <c r="A153" i="44" s="1"/>
  <c r="J151" i="44"/>
  <c r="A151" i="44"/>
  <c r="J150" i="44"/>
  <c r="I150" i="44"/>
  <c r="J149" i="44"/>
  <c r="I149" i="44"/>
  <c r="J148" i="44"/>
  <c r="J147" i="44"/>
  <c r="J146" i="44"/>
  <c r="G166" i="44" s="1"/>
  <c r="J145" i="44"/>
  <c r="J144" i="44"/>
  <c r="I144" i="44"/>
  <c r="J143" i="44"/>
  <c r="G163" i="44" s="1"/>
  <c r="I143" i="44"/>
  <c r="J142" i="44"/>
  <c r="G162" i="44" s="1"/>
  <c r="J141" i="44"/>
  <c r="G161" i="44" s="1"/>
  <c r="J139" i="44"/>
  <c r="C277" i="44" s="1"/>
  <c r="I139" i="44"/>
  <c r="C276" i="44" s="1"/>
  <c r="J138" i="44"/>
  <c r="I138" i="44"/>
  <c r="J137" i="44"/>
  <c r="I137" i="44"/>
  <c r="C266" i="44" s="1"/>
  <c r="J136" i="44"/>
  <c r="C257" i="44" s="1"/>
  <c r="I136" i="44"/>
  <c r="C256" i="44" s="1"/>
  <c r="J135" i="44"/>
  <c r="C246" i="44" s="1"/>
  <c r="I135" i="44"/>
  <c r="C245" i="44" s="1"/>
  <c r="J134" i="44"/>
  <c r="C236" i="44" s="1"/>
  <c r="C235" i="44"/>
  <c r="J133" i="44"/>
  <c r="C223" i="44" s="1"/>
  <c r="I133" i="44"/>
  <c r="C222" i="44" s="1"/>
  <c r="A133" i="44"/>
  <c r="A134" i="44" s="1"/>
  <c r="A135" i="44" s="1"/>
  <c r="A136" i="44" s="1"/>
  <c r="A137" i="44" s="1"/>
  <c r="A138" i="44" s="1"/>
  <c r="A139" i="44" s="1"/>
  <c r="A140" i="44" s="1"/>
  <c r="A141" i="44" s="1"/>
  <c r="A142" i="44" s="1"/>
  <c r="A143" i="44" s="1"/>
  <c r="A144" i="44" s="1"/>
  <c r="A145" i="44" s="1"/>
  <c r="A146" i="44" s="1"/>
  <c r="A147" i="44" s="1"/>
  <c r="A148" i="44" s="1"/>
  <c r="A149" i="44" s="1"/>
  <c r="A150" i="44" s="1"/>
  <c r="A130" i="44"/>
  <c r="A129" i="44"/>
  <c r="J115" i="44"/>
  <c r="J114" i="44"/>
  <c r="J113" i="44"/>
  <c r="J174" i="43"/>
  <c r="J175" i="43"/>
  <c r="J176" i="43"/>
  <c r="J177" i="43"/>
  <c r="J180" i="43"/>
  <c r="J181" i="43"/>
  <c r="J182" i="43"/>
  <c r="J183" i="43"/>
  <c r="J184" i="43"/>
  <c r="J185" i="43"/>
  <c r="J186" i="43"/>
  <c r="J187" i="43"/>
  <c r="J188" i="43"/>
  <c r="J191" i="43"/>
  <c r="J199" i="43"/>
  <c r="J200" i="43"/>
  <c r="J201" i="43"/>
  <c r="J189" i="43"/>
  <c r="A524" i="43"/>
  <c r="A523" i="43"/>
  <c r="D520" i="43"/>
  <c r="A520" i="43"/>
  <c r="A440" i="43"/>
  <c r="A439" i="43"/>
  <c r="J425" i="43"/>
  <c r="J424" i="43"/>
  <c r="J423" i="43"/>
  <c r="A333" i="43"/>
  <c r="A332" i="43"/>
  <c r="J318" i="43"/>
  <c r="J317" i="43"/>
  <c r="J316" i="43"/>
  <c r="J211" i="43"/>
  <c r="J210" i="43"/>
  <c r="J209" i="43"/>
  <c r="J173" i="43"/>
  <c r="E158" i="43"/>
  <c r="C154" i="43"/>
  <c r="D154" i="43" s="1"/>
  <c r="B154" i="43"/>
  <c r="C153" i="43"/>
  <c r="D153" i="43" s="1"/>
  <c r="B153" i="43"/>
  <c r="A153" i="43" s="1"/>
  <c r="J151" i="43"/>
  <c r="A151" i="43"/>
  <c r="J150" i="43"/>
  <c r="I150" i="43"/>
  <c r="J149" i="43"/>
  <c r="I149" i="43"/>
  <c r="J148" i="43"/>
  <c r="J147" i="43"/>
  <c r="J146" i="43"/>
  <c r="G166" i="43" s="1"/>
  <c r="J145" i="43"/>
  <c r="I145" i="43"/>
  <c r="J144" i="43"/>
  <c r="I144" i="43"/>
  <c r="J143" i="43"/>
  <c r="G163" i="43" s="1"/>
  <c r="I143" i="43"/>
  <c r="J142" i="43"/>
  <c r="G162" i="43" s="1"/>
  <c r="J141" i="43"/>
  <c r="J139" i="43"/>
  <c r="C278" i="43" s="1"/>
  <c r="I139" i="43"/>
  <c r="C277" i="43" s="1"/>
  <c r="J138" i="43"/>
  <c r="I138" i="43"/>
  <c r="J137" i="43"/>
  <c r="C268" i="43" s="1"/>
  <c r="I137" i="43"/>
  <c r="C267" i="43" s="1"/>
  <c r="J136" i="43"/>
  <c r="C258" i="43" s="1"/>
  <c r="I136" i="43"/>
  <c r="C257" i="43" s="1"/>
  <c r="J135" i="43"/>
  <c r="C247" i="43" s="1"/>
  <c r="I135" i="43"/>
  <c r="C246" i="43" s="1"/>
  <c r="J134" i="43"/>
  <c r="C237" i="43" s="1"/>
  <c r="C236" i="43"/>
  <c r="J133" i="43"/>
  <c r="C224" i="43" s="1"/>
  <c r="I133" i="43"/>
  <c r="C223" i="43" s="1"/>
  <c r="A133" i="43"/>
  <c r="A134" i="43" s="1"/>
  <c r="A135" i="43" s="1"/>
  <c r="A136" i="43" s="1"/>
  <c r="A137" i="43" s="1"/>
  <c r="A138" i="43" s="1"/>
  <c r="A139" i="43" s="1"/>
  <c r="A140" i="43" s="1"/>
  <c r="A141" i="43" s="1"/>
  <c r="A142" i="43" s="1"/>
  <c r="A143" i="43" s="1"/>
  <c r="A144" i="43" s="1"/>
  <c r="A145" i="43" s="1"/>
  <c r="A146" i="43" s="1"/>
  <c r="A147" i="43" s="1"/>
  <c r="A148" i="43" s="1"/>
  <c r="A149" i="43" s="1"/>
  <c r="A150" i="43" s="1"/>
  <c r="A130" i="43"/>
  <c r="A129" i="43"/>
  <c r="J115" i="43"/>
  <c r="J114" i="43"/>
  <c r="J113" i="43"/>
  <c r="H161" i="48" l="1"/>
  <c r="H169" i="48"/>
  <c r="H167" i="48"/>
  <c r="H161" i="49"/>
  <c r="H159" i="49"/>
  <c r="H159" i="48"/>
  <c r="H167" i="49"/>
  <c r="H169" i="49"/>
  <c r="H161" i="46"/>
  <c r="H159" i="46"/>
  <c r="H169" i="46"/>
  <c r="H157" i="46"/>
  <c r="F164" i="45"/>
  <c r="F165" i="45"/>
  <c r="C301" i="45"/>
  <c r="G167" i="45"/>
  <c r="C290" i="45"/>
  <c r="F163" i="45"/>
  <c r="C303" i="45"/>
  <c r="G168" i="45"/>
  <c r="C268" i="45"/>
  <c r="C291" i="45"/>
  <c r="G163" i="45"/>
  <c r="C309" i="45"/>
  <c r="F170" i="45"/>
  <c r="F169" i="45"/>
  <c r="G164" i="45"/>
  <c r="G165" i="45"/>
  <c r="H190" i="45"/>
  <c r="F166" i="45"/>
  <c r="C310" i="45"/>
  <c r="G170" i="45"/>
  <c r="G169" i="45"/>
  <c r="F165" i="44"/>
  <c r="F164" i="44"/>
  <c r="G164" i="44"/>
  <c r="G165" i="44"/>
  <c r="C300" i="44"/>
  <c r="G167" i="44"/>
  <c r="H190" i="44"/>
  <c r="J190" i="44" s="1"/>
  <c r="F166" i="44"/>
  <c r="C302" i="44"/>
  <c r="G168" i="44"/>
  <c r="C289" i="44"/>
  <c r="F163" i="44"/>
  <c r="H161" i="44" s="1"/>
  <c r="C308" i="44"/>
  <c r="H189" i="44"/>
  <c r="J189" i="44" s="1"/>
  <c r="F170" i="44"/>
  <c r="F169" i="44"/>
  <c r="G169" i="44"/>
  <c r="G170" i="44"/>
  <c r="F165" i="43"/>
  <c r="F164" i="43"/>
  <c r="G169" i="43"/>
  <c r="G170" i="43"/>
  <c r="C289" i="43"/>
  <c r="G161" i="43"/>
  <c r="C309" i="43"/>
  <c r="F170" i="43"/>
  <c r="F169" i="43"/>
  <c r="G165" i="43"/>
  <c r="G164" i="43"/>
  <c r="C300" i="43"/>
  <c r="G167" i="43"/>
  <c r="C290" i="43"/>
  <c r="F163" i="43"/>
  <c r="C302" i="43"/>
  <c r="G168" i="43"/>
  <c r="H156" i="48"/>
  <c r="C289" i="45"/>
  <c r="C267" i="44"/>
  <c r="C290" i="44"/>
  <c r="C309" i="44"/>
  <c r="C288" i="44"/>
  <c r="C291" i="43"/>
  <c r="C310" i="43"/>
  <c r="H193" i="49"/>
  <c r="J193" i="49" s="1"/>
  <c r="H189" i="45"/>
  <c r="H157" i="49"/>
  <c r="H191" i="49"/>
  <c r="J191" i="49" s="1"/>
  <c r="H157" i="48"/>
  <c r="H155" i="48"/>
  <c r="H192" i="48"/>
  <c r="J192" i="48" s="1"/>
  <c r="H193" i="46"/>
  <c r="J193" i="46" s="1"/>
  <c r="U185" i="45"/>
  <c r="W185" i="45" s="1"/>
  <c r="U184" i="45"/>
  <c r="W184" i="45" s="1"/>
  <c r="U177" i="45"/>
  <c r="W177" i="45" s="1"/>
  <c r="U176" i="45"/>
  <c r="W176" i="45" s="1"/>
  <c r="U174" i="45"/>
  <c r="W174" i="45" s="1"/>
  <c r="U175" i="45"/>
  <c r="U187" i="45"/>
  <c r="W187" i="45" s="1"/>
  <c r="U173" i="45"/>
  <c r="U186" i="45"/>
  <c r="W186" i="45" s="1"/>
  <c r="U185" i="44"/>
  <c r="W185" i="44" s="1"/>
  <c r="U184" i="44"/>
  <c r="U177" i="44"/>
  <c r="W177" i="44" s="1"/>
  <c r="U176" i="44"/>
  <c r="W176" i="44" s="1"/>
  <c r="U175" i="44"/>
  <c r="H193" i="44" s="1"/>
  <c r="J193" i="44" s="1"/>
  <c r="U174" i="44"/>
  <c r="W174" i="44" s="1"/>
  <c r="U187" i="44"/>
  <c r="W187" i="44" s="1"/>
  <c r="U173" i="44"/>
  <c r="U186" i="44"/>
  <c r="H193" i="43"/>
  <c r="J193" i="43" s="1"/>
  <c r="U185" i="43"/>
  <c r="U184" i="43"/>
  <c r="W184" i="43" s="1"/>
  <c r="U177" i="43"/>
  <c r="W177" i="43" s="1"/>
  <c r="U176" i="43"/>
  <c r="W176" i="43" s="1"/>
  <c r="U186" i="43"/>
  <c r="W186" i="43" s="1"/>
  <c r="U175" i="43"/>
  <c r="U174" i="43"/>
  <c r="W174" i="43" s="1"/>
  <c r="U187" i="43"/>
  <c r="U173" i="43"/>
  <c r="W174" i="49"/>
  <c r="H194" i="49"/>
  <c r="J194" i="49" s="1"/>
  <c r="H192" i="49"/>
  <c r="J192" i="49" s="1"/>
  <c r="W176" i="49"/>
  <c r="W176" i="48"/>
  <c r="H194" i="48"/>
  <c r="J194" i="48" s="1"/>
  <c r="H193" i="48"/>
  <c r="J193" i="48" s="1"/>
  <c r="W173" i="48"/>
  <c r="H195" i="48"/>
  <c r="J195" i="48" s="1"/>
  <c r="H155" i="46"/>
  <c r="H196" i="46"/>
  <c r="J196" i="46" s="1"/>
  <c r="W175" i="46"/>
  <c r="H195" i="46"/>
  <c r="J195" i="46" s="1"/>
  <c r="H194" i="46"/>
  <c r="J194" i="46" s="1"/>
  <c r="G159" i="43"/>
  <c r="G155" i="43"/>
  <c r="H153" i="48"/>
  <c r="H153" i="46"/>
  <c r="F153" i="45"/>
  <c r="F155" i="45"/>
  <c r="F156" i="45"/>
  <c r="G158" i="44"/>
  <c r="F155" i="44"/>
  <c r="H154" i="48"/>
  <c r="H154" i="46"/>
  <c r="E156" i="45"/>
  <c r="F157" i="45"/>
  <c r="E157" i="45"/>
  <c r="G159" i="44"/>
  <c r="E156" i="43"/>
  <c r="G157" i="43"/>
  <c r="G154" i="43"/>
  <c r="E157" i="43"/>
  <c r="E155" i="43"/>
  <c r="F157" i="43"/>
  <c r="A154" i="43"/>
  <c r="A155" i="43" s="1"/>
  <c r="A156" i="43" s="1"/>
  <c r="A157" i="43" s="1"/>
  <c r="A158" i="43" s="1"/>
  <c r="A159" i="43" s="1"/>
  <c r="A160" i="43" s="1"/>
  <c r="A161" i="43" s="1"/>
  <c r="A162" i="43" s="1"/>
  <c r="A163" i="43" s="1"/>
  <c r="A164" i="43" s="1"/>
  <c r="A165" i="43" s="1"/>
  <c r="A166" i="43" s="1"/>
  <c r="A167" i="43" s="1"/>
  <c r="A168" i="43" s="1"/>
  <c r="A169" i="43" s="1"/>
  <c r="A170" i="43" s="1"/>
  <c r="G156" i="43"/>
  <c r="G153" i="43"/>
  <c r="E154" i="43"/>
  <c r="F156" i="43"/>
  <c r="F159" i="43"/>
  <c r="F154" i="43"/>
  <c r="E153" i="44"/>
  <c r="F153" i="44"/>
  <c r="E156" i="44"/>
  <c r="F156" i="44"/>
  <c r="F158" i="44"/>
  <c r="E157" i="44"/>
  <c r="A154" i="44"/>
  <c r="A155" i="44" s="1"/>
  <c r="A156" i="44" s="1"/>
  <c r="A157" i="44" s="1"/>
  <c r="A158" i="44" s="1"/>
  <c r="A159" i="44" s="1"/>
  <c r="A160" i="44" s="1"/>
  <c r="A161" i="44" s="1"/>
  <c r="A162" i="44" s="1"/>
  <c r="A163" i="44" s="1"/>
  <c r="A164" i="44" s="1"/>
  <c r="A165" i="44" s="1"/>
  <c r="A166" i="44" s="1"/>
  <c r="A167" i="44" s="1"/>
  <c r="A168" i="44" s="1"/>
  <c r="A169" i="44" s="1"/>
  <c r="A170" i="44" s="1"/>
  <c r="E155" i="44"/>
  <c r="F157" i="44"/>
  <c r="G158" i="45"/>
  <c r="F158" i="45"/>
  <c r="E154" i="45"/>
  <c r="J189" i="45"/>
  <c r="H156" i="46"/>
  <c r="F155" i="43"/>
  <c r="F158" i="43"/>
  <c r="G158" i="43"/>
  <c r="E153" i="43"/>
  <c r="F153" i="43"/>
  <c r="E154" i="44"/>
  <c r="F154" i="44"/>
  <c r="F159" i="44"/>
  <c r="G159" i="45"/>
  <c r="J190" i="45"/>
  <c r="F154" i="45"/>
  <c r="E153" i="45"/>
  <c r="E155" i="45"/>
  <c r="H154" i="49"/>
  <c r="H156" i="49"/>
  <c r="H155" i="49"/>
  <c r="H153" i="49"/>
  <c r="A154" i="45"/>
  <c r="A155" i="45" s="1"/>
  <c r="A156" i="45" s="1"/>
  <c r="A157" i="45" s="1"/>
  <c r="A158" i="45" s="1"/>
  <c r="A159" i="45" s="1"/>
  <c r="A160" i="45" s="1"/>
  <c r="A161" i="45" s="1"/>
  <c r="A162" i="45" s="1"/>
  <c r="A163" i="45" s="1"/>
  <c r="A164" i="45" s="1"/>
  <c r="A165" i="45" s="1"/>
  <c r="A166" i="45" s="1"/>
  <c r="A167" i="45" s="1"/>
  <c r="A168" i="45" s="1"/>
  <c r="A169" i="45" s="1"/>
  <c r="A170" i="45" s="1"/>
  <c r="G153" i="45"/>
  <c r="G154" i="45"/>
  <c r="G155" i="45"/>
  <c r="G156" i="45"/>
  <c r="G157" i="45"/>
  <c r="E159" i="45"/>
  <c r="F159" i="45"/>
  <c r="H159" i="45" s="1"/>
  <c r="G153" i="44"/>
  <c r="G154" i="44"/>
  <c r="G155" i="44"/>
  <c r="G156" i="44"/>
  <c r="G157" i="44"/>
  <c r="E159" i="44"/>
  <c r="E159" i="43"/>
  <c r="A524" i="42"/>
  <c r="A523" i="42"/>
  <c r="D520" i="42"/>
  <c r="J520" i="42"/>
  <c r="A520" i="42"/>
  <c r="A440" i="42"/>
  <c r="A439" i="42"/>
  <c r="J425" i="42"/>
  <c r="J424" i="42"/>
  <c r="J423" i="42"/>
  <c r="A333" i="42"/>
  <c r="A332" i="42"/>
  <c r="J318" i="42"/>
  <c r="J317" i="42"/>
  <c r="J316" i="42"/>
  <c r="J211" i="42"/>
  <c r="J210" i="42"/>
  <c r="J209" i="42"/>
  <c r="J197" i="42"/>
  <c r="J196" i="42"/>
  <c r="J175" i="42"/>
  <c r="J174" i="42"/>
  <c r="J173" i="42"/>
  <c r="E158" i="42"/>
  <c r="C154" i="42"/>
  <c r="D154" i="42" s="1"/>
  <c r="B154" i="42"/>
  <c r="C153" i="42"/>
  <c r="D153" i="42" s="1"/>
  <c r="B153" i="42"/>
  <c r="A153" i="42" s="1"/>
  <c r="J151" i="42"/>
  <c r="A151" i="42"/>
  <c r="J150" i="42"/>
  <c r="I150" i="42"/>
  <c r="J149" i="42"/>
  <c r="I149" i="42"/>
  <c r="J148" i="42"/>
  <c r="J147" i="42"/>
  <c r="J146" i="42"/>
  <c r="G166" i="42" s="1"/>
  <c r="J145" i="42"/>
  <c r="G165" i="42" s="1"/>
  <c r="I145" i="42"/>
  <c r="F165" i="42" s="1"/>
  <c r="J144" i="42"/>
  <c r="G164" i="42" s="1"/>
  <c r="I144" i="42"/>
  <c r="F164" i="42" s="1"/>
  <c r="J143" i="42"/>
  <c r="G163" i="42" s="1"/>
  <c r="I143" i="42"/>
  <c r="J142" i="42"/>
  <c r="G162" i="42" s="1"/>
  <c r="J141" i="42"/>
  <c r="G161" i="42" s="1"/>
  <c r="J139" i="42"/>
  <c r="C278" i="42" s="1"/>
  <c r="I139" i="42"/>
  <c r="C277" i="42" s="1"/>
  <c r="J138" i="42"/>
  <c r="I138" i="42"/>
  <c r="J137" i="42"/>
  <c r="I137" i="42"/>
  <c r="C267" i="42" s="1"/>
  <c r="J136" i="42"/>
  <c r="C258" i="42" s="1"/>
  <c r="I136" i="42"/>
  <c r="C257" i="42" s="1"/>
  <c r="J135" i="42"/>
  <c r="I135" i="42"/>
  <c r="C246" i="42" s="1"/>
  <c r="J134" i="42"/>
  <c r="C237" i="42" s="1"/>
  <c r="C236" i="42"/>
  <c r="J133" i="42"/>
  <c r="I133" i="42"/>
  <c r="C223" i="42" s="1"/>
  <c r="A133" i="42"/>
  <c r="A134" i="42" s="1"/>
  <c r="A135" i="42" s="1"/>
  <c r="A136" i="42" s="1"/>
  <c r="A137" i="42" s="1"/>
  <c r="A138" i="42" s="1"/>
  <c r="A139" i="42" s="1"/>
  <c r="A140" i="42" s="1"/>
  <c r="A141" i="42" s="1"/>
  <c r="A142" i="42" s="1"/>
  <c r="A143" i="42" s="1"/>
  <c r="A144" i="42" s="1"/>
  <c r="A145" i="42" s="1"/>
  <c r="A146" i="42" s="1"/>
  <c r="A147" i="42" s="1"/>
  <c r="A148" i="42" s="1"/>
  <c r="A149" i="42" s="1"/>
  <c r="A150" i="42" s="1"/>
  <c r="A130" i="42"/>
  <c r="A129" i="42"/>
  <c r="J115" i="42"/>
  <c r="J114" i="42"/>
  <c r="J113" i="42"/>
  <c r="A523" i="41"/>
  <c r="A522" i="41"/>
  <c r="D519" i="41"/>
  <c r="J519" i="41"/>
  <c r="A519" i="41"/>
  <c r="A439" i="41"/>
  <c r="A438" i="41"/>
  <c r="J424" i="41"/>
  <c r="J423" i="41"/>
  <c r="J422" i="41"/>
  <c r="A332" i="41"/>
  <c r="A331" i="41"/>
  <c r="J317" i="41"/>
  <c r="J316" i="41"/>
  <c r="J315" i="41"/>
  <c r="J210" i="41"/>
  <c r="J209" i="41"/>
  <c r="J208" i="41"/>
  <c r="J198" i="41"/>
  <c r="J197" i="41"/>
  <c r="J196" i="41"/>
  <c r="J175" i="41"/>
  <c r="J174" i="41"/>
  <c r="J173" i="41"/>
  <c r="E158" i="41"/>
  <c r="C154" i="41"/>
  <c r="D154" i="41" s="1"/>
  <c r="B154" i="41"/>
  <c r="C153" i="41"/>
  <c r="D153" i="41" s="1"/>
  <c r="B153" i="41"/>
  <c r="A153" i="41" s="1"/>
  <c r="J151" i="41"/>
  <c r="A151" i="41"/>
  <c r="J150" i="41"/>
  <c r="I150" i="41"/>
  <c r="J149" i="41"/>
  <c r="I149" i="41"/>
  <c r="J148" i="41"/>
  <c r="G168" i="41" s="1"/>
  <c r="J147" i="41"/>
  <c r="G167" i="41" s="1"/>
  <c r="J146" i="41"/>
  <c r="G166" i="41" s="1"/>
  <c r="J145" i="41"/>
  <c r="I145" i="41"/>
  <c r="J144" i="41"/>
  <c r="I144" i="41"/>
  <c r="J143" i="41"/>
  <c r="G163" i="41" s="1"/>
  <c r="I143" i="41"/>
  <c r="J142" i="41"/>
  <c r="G162" i="41" s="1"/>
  <c r="J141" i="41"/>
  <c r="G161" i="41" s="1"/>
  <c r="J139" i="41"/>
  <c r="C277" i="41" s="1"/>
  <c r="J138" i="41"/>
  <c r="I138" i="41"/>
  <c r="J137" i="41"/>
  <c r="J136" i="41"/>
  <c r="C257" i="41" s="1"/>
  <c r="I136" i="41"/>
  <c r="C256" i="41" s="1"/>
  <c r="J135" i="41"/>
  <c r="C246" i="41" s="1"/>
  <c r="I135" i="41"/>
  <c r="C245" i="41" s="1"/>
  <c r="J134" i="41"/>
  <c r="C236" i="41" s="1"/>
  <c r="C235" i="41"/>
  <c r="J133" i="41"/>
  <c r="C223" i="41" s="1"/>
  <c r="I133" i="41"/>
  <c r="C222" i="41" s="1"/>
  <c r="A133" i="41"/>
  <c r="A130" i="41"/>
  <c r="A129" i="41"/>
  <c r="J115" i="41"/>
  <c r="J114" i="41"/>
  <c r="J113" i="41"/>
  <c r="A525" i="40"/>
  <c r="A524" i="40"/>
  <c r="J521" i="40"/>
  <c r="A521" i="40"/>
  <c r="A440" i="40"/>
  <c r="A439" i="40"/>
  <c r="J425" i="40"/>
  <c r="J424" i="40"/>
  <c r="J423" i="40"/>
  <c r="A333" i="40"/>
  <c r="A332" i="40"/>
  <c r="J318" i="40"/>
  <c r="J317" i="40"/>
  <c r="J316" i="40"/>
  <c r="J211" i="40"/>
  <c r="J210" i="40"/>
  <c r="J209" i="40"/>
  <c r="J200" i="40"/>
  <c r="J199" i="40"/>
  <c r="J198" i="40"/>
  <c r="J189" i="40"/>
  <c r="J188" i="40"/>
  <c r="J187" i="40"/>
  <c r="J186" i="40"/>
  <c r="J185" i="40"/>
  <c r="J184" i="40"/>
  <c r="J183" i="40"/>
  <c r="J182" i="40"/>
  <c r="J181" i="40"/>
  <c r="J180" i="40"/>
  <c r="J177" i="40"/>
  <c r="J176" i="40"/>
  <c r="J175" i="40"/>
  <c r="J174" i="40"/>
  <c r="J173" i="40"/>
  <c r="E157" i="40"/>
  <c r="E156" i="40"/>
  <c r="E155" i="40"/>
  <c r="C154" i="40"/>
  <c r="E154" i="40" s="1"/>
  <c r="B154" i="40"/>
  <c r="C153" i="40"/>
  <c r="E153" i="40" s="1"/>
  <c r="B153" i="40"/>
  <c r="A153" i="40" s="1"/>
  <c r="J151" i="40"/>
  <c r="A151" i="40"/>
  <c r="J150" i="40"/>
  <c r="I150" i="40"/>
  <c r="J149" i="40"/>
  <c r="I149" i="40"/>
  <c r="J148" i="40"/>
  <c r="J147" i="40"/>
  <c r="J146" i="40"/>
  <c r="G166" i="40" s="1"/>
  <c r="J145" i="40"/>
  <c r="I145" i="40"/>
  <c r="J144" i="40"/>
  <c r="I144" i="40"/>
  <c r="J143" i="40"/>
  <c r="G163" i="40" s="1"/>
  <c r="I143" i="40"/>
  <c r="F163" i="40" s="1"/>
  <c r="J142" i="40"/>
  <c r="G162" i="40" s="1"/>
  <c r="J141" i="40"/>
  <c r="G161" i="40" s="1"/>
  <c r="J139" i="40"/>
  <c r="C281" i="40" s="1"/>
  <c r="I139" i="40"/>
  <c r="C280" i="40" s="1"/>
  <c r="J138" i="40"/>
  <c r="I138" i="40"/>
  <c r="J137" i="40"/>
  <c r="I137" i="40"/>
  <c r="C269" i="40" s="1"/>
  <c r="J136" i="40"/>
  <c r="C259" i="40" s="1"/>
  <c r="I136" i="40"/>
  <c r="C258" i="40" s="1"/>
  <c r="J135" i="40"/>
  <c r="I135" i="40"/>
  <c r="C246" i="40" s="1"/>
  <c r="J134" i="40"/>
  <c r="C237" i="40" s="1"/>
  <c r="C236" i="40"/>
  <c r="J133" i="40"/>
  <c r="C224" i="40" s="1"/>
  <c r="I133" i="40"/>
  <c r="C223" i="40" s="1"/>
  <c r="A133" i="40"/>
  <c r="A134" i="40" s="1"/>
  <c r="A135" i="40" s="1"/>
  <c r="A136" i="40" s="1"/>
  <c r="A137" i="40" s="1"/>
  <c r="A138" i="40" s="1"/>
  <c r="A139" i="40" s="1"/>
  <c r="A140" i="40" s="1"/>
  <c r="A141" i="40" s="1"/>
  <c r="A142" i="40" s="1"/>
  <c r="A143" i="40" s="1"/>
  <c r="A144" i="40" s="1"/>
  <c r="A145" i="40" s="1"/>
  <c r="A146" i="40" s="1"/>
  <c r="A147" i="40" s="1"/>
  <c r="A148" i="40" s="1"/>
  <c r="A149" i="40" s="1"/>
  <c r="A150" i="40" s="1"/>
  <c r="A130" i="40"/>
  <c r="A129" i="40"/>
  <c r="J115" i="40"/>
  <c r="J114" i="40"/>
  <c r="J113" i="40"/>
  <c r="C300" i="42" l="1"/>
  <c r="G167" i="42"/>
  <c r="C309" i="42"/>
  <c r="F170" i="42"/>
  <c r="F169" i="42"/>
  <c r="C302" i="42"/>
  <c r="G168" i="42"/>
  <c r="G170" i="42"/>
  <c r="G169" i="42"/>
  <c r="C290" i="42"/>
  <c r="F163" i="42"/>
  <c r="H161" i="42" s="1"/>
  <c r="H159" i="44"/>
  <c r="H167" i="44"/>
  <c r="H161" i="45"/>
  <c r="H169" i="45"/>
  <c r="H167" i="45"/>
  <c r="H192" i="44"/>
  <c r="J192" i="44" s="1"/>
  <c r="W186" i="44"/>
  <c r="H191" i="44"/>
  <c r="J191" i="44" s="1"/>
  <c r="W184" i="44"/>
  <c r="H169" i="44"/>
  <c r="H169" i="43"/>
  <c r="H159" i="43"/>
  <c r="H195" i="43"/>
  <c r="J195" i="43" s="1"/>
  <c r="W185" i="43"/>
  <c r="H161" i="43"/>
  <c r="H196" i="43"/>
  <c r="J196" i="43" s="1"/>
  <c r="W187" i="43"/>
  <c r="H167" i="43"/>
  <c r="C305" i="40"/>
  <c r="G168" i="40"/>
  <c r="C310" i="40"/>
  <c r="F170" i="40"/>
  <c r="F169" i="40"/>
  <c r="G170" i="40"/>
  <c r="G169" i="40"/>
  <c r="G164" i="40"/>
  <c r="G165" i="40"/>
  <c r="C303" i="40"/>
  <c r="G167" i="40"/>
  <c r="F165" i="40"/>
  <c r="F164" i="40"/>
  <c r="G164" i="41"/>
  <c r="G165" i="41"/>
  <c r="H167" i="41"/>
  <c r="C309" i="41"/>
  <c r="F170" i="41"/>
  <c r="F169" i="41"/>
  <c r="C289" i="41"/>
  <c r="F163" i="41"/>
  <c r="F165" i="41"/>
  <c r="F164" i="41"/>
  <c r="G169" i="41"/>
  <c r="G170" i="41"/>
  <c r="G153" i="42"/>
  <c r="C224" i="42"/>
  <c r="G157" i="42"/>
  <c r="C268" i="42"/>
  <c r="C291" i="42"/>
  <c r="C310" i="42"/>
  <c r="G155" i="42"/>
  <c r="C247" i="42"/>
  <c r="C289" i="42"/>
  <c r="C291" i="40"/>
  <c r="C292" i="40"/>
  <c r="C270" i="40"/>
  <c r="C293" i="40"/>
  <c r="C311" i="40"/>
  <c r="G155" i="40"/>
  <c r="C247" i="40"/>
  <c r="C267" i="41"/>
  <c r="C310" i="41"/>
  <c r="C302" i="41"/>
  <c r="C288" i="41"/>
  <c r="C300" i="41"/>
  <c r="C290" i="41"/>
  <c r="H198" i="43"/>
  <c r="J198" i="43" s="1"/>
  <c r="H197" i="43"/>
  <c r="J197" i="43" s="1"/>
  <c r="G153" i="40"/>
  <c r="H157" i="45"/>
  <c r="H157" i="43"/>
  <c r="U185" i="42"/>
  <c r="W185" i="42" s="1"/>
  <c r="U184" i="42"/>
  <c r="W184" i="42" s="1"/>
  <c r="U177" i="42"/>
  <c r="W177" i="42" s="1"/>
  <c r="U175" i="42"/>
  <c r="U173" i="42"/>
  <c r="U174" i="42"/>
  <c r="W174" i="42" s="1"/>
  <c r="U176" i="42"/>
  <c r="W176" i="42" s="1"/>
  <c r="U187" i="42"/>
  <c r="W187" i="42" s="1"/>
  <c r="U186" i="42"/>
  <c r="W186" i="42" s="1"/>
  <c r="U185" i="41"/>
  <c r="U184" i="41"/>
  <c r="W184" i="41" s="1"/>
  <c r="H189" i="41"/>
  <c r="J189" i="41" s="1"/>
  <c r="U175" i="41"/>
  <c r="W175" i="41" s="1"/>
  <c r="U174" i="41"/>
  <c r="W174" i="41" s="1"/>
  <c r="U187" i="41"/>
  <c r="W187" i="41" s="1"/>
  <c r="U173" i="41"/>
  <c r="W173" i="41" s="1"/>
  <c r="U186" i="41"/>
  <c r="W186" i="41" s="1"/>
  <c r="U177" i="41"/>
  <c r="W177" i="41" s="1"/>
  <c r="U176" i="41"/>
  <c r="W176" i="41" s="1"/>
  <c r="G153" i="41"/>
  <c r="A134" i="41"/>
  <c r="A135" i="41" s="1"/>
  <c r="A136" i="41" s="1"/>
  <c r="A137" i="41" s="1"/>
  <c r="A138" i="41" s="1"/>
  <c r="A139" i="41" s="1"/>
  <c r="A140" i="41" s="1"/>
  <c r="A141" i="41" s="1"/>
  <c r="A142" i="41" s="1"/>
  <c r="A143" i="41" s="1"/>
  <c r="A144" i="41" s="1"/>
  <c r="A145" i="41" s="1"/>
  <c r="A146" i="41" s="1"/>
  <c r="A147" i="41" s="1"/>
  <c r="A148" i="41" s="1"/>
  <c r="A149" i="41" s="1"/>
  <c r="A150" i="41" s="1"/>
  <c r="G158" i="41"/>
  <c r="G159" i="41"/>
  <c r="G155" i="41"/>
  <c r="F158" i="41"/>
  <c r="H191" i="40"/>
  <c r="J191" i="40" s="1"/>
  <c r="U185" i="40"/>
  <c r="W185" i="40" s="1"/>
  <c r="U184" i="40"/>
  <c r="W184" i="40" s="1"/>
  <c r="U187" i="40"/>
  <c r="W187" i="40" s="1"/>
  <c r="U174" i="40"/>
  <c r="W174" i="40" s="1"/>
  <c r="U186" i="40"/>
  <c r="W186" i="40" s="1"/>
  <c r="U173" i="40"/>
  <c r="U177" i="40"/>
  <c r="W177" i="40" s="1"/>
  <c r="U176" i="40"/>
  <c r="W176" i="40" s="1"/>
  <c r="U175" i="40"/>
  <c r="G158" i="40"/>
  <c r="H191" i="45"/>
  <c r="J191" i="45" s="1"/>
  <c r="H155" i="45"/>
  <c r="H153" i="43"/>
  <c r="W175" i="45"/>
  <c r="H193" i="45"/>
  <c r="J193" i="45" s="1"/>
  <c r="H192" i="45"/>
  <c r="J192" i="45" s="1"/>
  <c r="W173" i="45"/>
  <c r="H194" i="45"/>
  <c r="J194" i="45" s="1"/>
  <c r="W173" i="44"/>
  <c r="H194" i="44"/>
  <c r="J194" i="44" s="1"/>
  <c r="W175" i="44"/>
  <c r="W175" i="43"/>
  <c r="W173" i="43"/>
  <c r="H155" i="43"/>
  <c r="H156" i="43"/>
  <c r="H153" i="45"/>
  <c r="H156" i="44"/>
  <c r="H155" i="44"/>
  <c r="F153" i="42"/>
  <c r="A154" i="42"/>
  <c r="A155" i="42" s="1"/>
  <c r="A156" i="42" s="1"/>
  <c r="A157" i="42" s="1"/>
  <c r="A158" i="42" s="1"/>
  <c r="A159" i="42" s="1"/>
  <c r="A160" i="42" s="1"/>
  <c r="A161" i="42" s="1"/>
  <c r="A162" i="42" s="1"/>
  <c r="A163" i="42" s="1"/>
  <c r="A164" i="42" s="1"/>
  <c r="A165" i="42" s="1"/>
  <c r="A166" i="42" s="1"/>
  <c r="A167" i="42" s="1"/>
  <c r="A168" i="42" s="1"/>
  <c r="A169" i="42" s="1"/>
  <c r="A170" i="42" s="1"/>
  <c r="F153" i="41"/>
  <c r="H156" i="45"/>
  <c r="H154" i="45"/>
  <c r="H157" i="44"/>
  <c r="H154" i="43"/>
  <c r="F156" i="42"/>
  <c r="F155" i="41"/>
  <c r="F155" i="40"/>
  <c r="F157" i="40"/>
  <c r="A154" i="40"/>
  <c r="A155" i="40" s="1"/>
  <c r="A156" i="40" s="1"/>
  <c r="A157" i="40" s="1"/>
  <c r="A158" i="40" s="1"/>
  <c r="A159" i="40" s="1"/>
  <c r="A160" i="40" s="1"/>
  <c r="A161" i="40" s="1"/>
  <c r="A162" i="40" s="1"/>
  <c r="A163" i="40" s="1"/>
  <c r="A164" i="40" s="1"/>
  <c r="A165" i="40" s="1"/>
  <c r="A166" i="40" s="1"/>
  <c r="A167" i="40" s="1"/>
  <c r="A168" i="40" s="1"/>
  <c r="A169" i="40" s="1"/>
  <c r="A170" i="40" s="1"/>
  <c r="F156" i="40"/>
  <c r="G157" i="40"/>
  <c r="G156" i="40"/>
  <c r="G156" i="41"/>
  <c r="F157" i="41"/>
  <c r="H157" i="41" s="1"/>
  <c r="F156" i="41"/>
  <c r="A154" i="41"/>
  <c r="A155" i="41" s="1"/>
  <c r="A156" i="41" s="1"/>
  <c r="A157" i="41" s="1"/>
  <c r="A158" i="41" s="1"/>
  <c r="A159" i="41" s="1"/>
  <c r="A160" i="41" s="1"/>
  <c r="A161" i="41" s="1"/>
  <c r="A162" i="41" s="1"/>
  <c r="A163" i="41" s="1"/>
  <c r="A164" i="41" s="1"/>
  <c r="A165" i="41" s="1"/>
  <c r="A166" i="41" s="1"/>
  <c r="A167" i="41" s="1"/>
  <c r="A168" i="41" s="1"/>
  <c r="A169" i="41" s="1"/>
  <c r="A170" i="41" s="1"/>
  <c r="G157" i="41"/>
  <c r="E155" i="41"/>
  <c r="F154" i="41"/>
  <c r="G154" i="41"/>
  <c r="E157" i="41"/>
  <c r="E153" i="42"/>
  <c r="F157" i="42"/>
  <c r="G156" i="42"/>
  <c r="G158" i="42"/>
  <c r="E156" i="42"/>
  <c r="H153" i="44"/>
  <c r="F154" i="40"/>
  <c r="G159" i="40"/>
  <c r="G154" i="40"/>
  <c r="F153" i="40"/>
  <c r="F158" i="40"/>
  <c r="E154" i="41"/>
  <c r="E156" i="41"/>
  <c r="E153" i="41"/>
  <c r="F159" i="41"/>
  <c r="F155" i="42"/>
  <c r="F158" i="42"/>
  <c r="E154" i="42"/>
  <c r="G154" i="42"/>
  <c r="G159" i="42"/>
  <c r="E157" i="42"/>
  <c r="F154" i="42"/>
  <c r="H190" i="42"/>
  <c r="J190" i="42" s="1"/>
  <c r="E155" i="42"/>
  <c r="H154" i="44"/>
  <c r="E159" i="42"/>
  <c r="F159" i="42"/>
  <c r="E159" i="41"/>
  <c r="E159" i="40"/>
  <c r="D153" i="40"/>
  <c r="D154" i="40"/>
  <c r="E158" i="40"/>
  <c r="F159" i="40"/>
  <c r="J135" i="39"/>
  <c r="J136" i="39"/>
  <c r="J137" i="39"/>
  <c r="J138" i="39"/>
  <c r="G158" i="39" s="1"/>
  <c r="J139" i="39"/>
  <c r="C279" i="39" s="1"/>
  <c r="J141" i="39"/>
  <c r="G161" i="39" s="1"/>
  <c r="J142" i="39"/>
  <c r="G162" i="39" s="1"/>
  <c r="J143" i="39"/>
  <c r="G163" i="39" s="1"/>
  <c r="J144" i="39"/>
  <c r="J145" i="39"/>
  <c r="J146" i="39"/>
  <c r="G166" i="39" s="1"/>
  <c r="J147" i="39"/>
  <c r="J148" i="39"/>
  <c r="J149" i="39"/>
  <c r="J150" i="39"/>
  <c r="I150" i="39"/>
  <c r="J173" i="39"/>
  <c r="J520" i="39"/>
  <c r="J174" i="39"/>
  <c r="J175" i="39"/>
  <c r="J196" i="39"/>
  <c r="J197" i="39"/>
  <c r="H161" i="40" l="1"/>
  <c r="H169" i="42"/>
  <c r="H167" i="42"/>
  <c r="H159" i="40"/>
  <c r="H159" i="42"/>
  <c r="H153" i="42"/>
  <c r="H161" i="41"/>
  <c r="H159" i="41"/>
  <c r="C302" i="39"/>
  <c r="G167" i="39"/>
  <c r="G165" i="39"/>
  <c r="G164" i="39"/>
  <c r="G170" i="39"/>
  <c r="G169" i="39"/>
  <c r="C304" i="39"/>
  <c r="G168" i="39"/>
  <c r="H169" i="40"/>
  <c r="H167" i="40"/>
  <c r="H169" i="41"/>
  <c r="H191" i="41"/>
  <c r="J191" i="41" s="1"/>
  <c r="W185" i="41"/>
  <c r="H155" i="42"/>
  <c r="H155" i="40"/>
  <c r="C310" i="39"/>
  <c r="C290" i="39"/>
  <c r="G159" i="39"/>
  <c r="G157" i="39"/>
  <c r="C268" i="39"/>
  <c r="G156" i="39"/>
  <c r="C258" i="39"/>
  <c r="G155" i="39"/>
  <c r="C247" i="39"/>
  <c r="C292" i="39"/>
  <c r="H153" i="40"/>
  <c r="H192" i="42"/>
  <c r="J192" i="42" s="1"/>
  <c r="H153" i="41"/>
  <c r="H155" i="41"/>
  <c r="H157" i="40"/>
  <c r="H193" i="40"/>
  <c r="J193" i="40" s="1"/>
  <c r="W173" i="42"/>
  <c r="H195" i="42"/>
  <c r="J195" i="42" s="1"/>
  <c r="W175" i="42"/>
  <c r="H194" i="42"/>
  <c r="J194" i="42" s="1"/>
  <c r="H193" i="42"/>
  <c r="J193" i="42" s="1"/>
  <c r="H193" i="41"/>
  <c r="J193" i="41" s="1"/>
  <c r="H192" i="41"/>
  <c r="J192" i="41" s="1"/>
  <c r="H194" i="41"/>
  <c r="J194" i="41" s="1"/>
  <c r="W175" i="40"/>
  <c r="H195" i="40"/>
  <c r="J195" i="40" s="1"/>
  <c r="H194" i="40"/>
  <c r="J194" i="40" s="1"/>
  <c r="W173" i="40"/>
  <c r="H196" i="40"/>
  <c r="J196" i="40" s="1"/>
  <c r="H154" i="42"/>
  <c r="H154" i="40"/>
  <c r="H157" i="42"/>
  <c r="H156" i="42"/>
  <c r="H156" i="40"/>
  <c r="H156" i="41"/>
  <c r="H154" i="41"/>
  <c r="A524" i="39"/>
  <c r="A523" i="39"/>
  <c r="A520" i="39"/>
  <c r="A440" i="39"/>
  <c r="A439" i="39"/>
  <c r="J425" i="39"/>
  <c r="J424" i="39"/>
  <c r="J423" i="39"/>
  <c r="A333" i="39"/>
  <c r="A332" i="39"/>
  <c r="J318" i="39"/>
  <c r="J317" i="39"/>
  <c r="J316" i="39"/>
  <c r="J211" i="39"/>
  <c r="J210" i="39"/>
  <c r="J209" i="39"/>
  <c r="E158" i="39"/>
  <c r="C154" i="39"/>
  <c r="D154" i="39" s="1"/>
  <c r="B154" i="39"/>
  <c r="C153" i="39"/>
  <c r="D153" i="39" s="1"/>
  <c r="B153" i="39"/>
  <c r="A153" i="39" s="1"/>
  <c r="J151" i="39"/>
  <c r="A151" i="39"/>
  <c r="I149" i="39"/>
  <c r="I145" i="39"/>
  <c r="H190" i="39" s="1"/>
  <c r="I144" i="39"/>
  <c r="I143" i="39"/>
  <c r="I139" i="39"/>
  <c r="C278" i="39" s="1"/>
  <c r="I138" i="39"/>
  <c r="F158" i="39" s="1"/>
  <c r="I137" i="39"/>
  <c r="I136" i="39"/>
  <c r="I135" i="39"/>
  <c r="J134" i="39"/>
  <c r="C237" i="39" s="1"/>
  <c r="C236" i="39"/>
  <c r="J133" i="39"/>
  <c r="C224" i="39" s="1"/>
  <c r="I133" i="39"/>
  <c r="C223" i="39" s="1"/>
  <c r="A133" i="39"/>
  <c r="A134" i="39" s="1"/>
  <c r="A135" i="39" s="1"/>
  <c r="A136" i="39" s="1"/>
  <c r="A137" i="39" s="1"/>
  <c r="A138" i="39" s="1"/>
  <c r="A139" i="39" s="1"/>
  <c r="A140" i="39" s="1"/>
  <c r="A141" i="39" s="1"/>
  <c r="A142" i="39" s="1"/>
  <c r="A143" i="39" s="1"/>
  <c r="A144" i="39" s="1"/>
  <c r="A145" i="39" s="1"/>
  <c r="A146" i="39" s="1"/>
  <c r="A147" i="39" s="1"/>
  <c r="A148" i="39" s="1"/>
  <c r="A149" i="39" s="1"/>
  <c r="A150" i="39" s="1"/>
  <c r="A130" i="39"/>
  <c r="A129" i="39"/>
  <c r="J115" i="39"/>
  <c r="J114" i="39"/>
  <c r="J113" i="39"/>
  <c r="A524" i="38"/>
  <c r="A523" i="38"/>
  <c r="A440" i="38"/>
  <c r="A439" i="38"/>
  <c r="A333" i="38"/>
  <c r="A332" i="38"/>
  <c r="J211" i="38"/>
  <c r="J210" i="38"/>
  <c r="J209" i="38"/>
  <c r="C161" i="38"/>
  <c r="D161" i="38" s="1"/>
  <c r="B161" i="38"/>
  <c r="C160" i="38"/>
  <c r="B160" i="38"/>
  <c r="C159" i="38"/>
  <c r="B159" i="38"/>
  <c r="C158" i="38"/>
  <c r="B158" i="38"/>
  <c r="C157" i="38"/>
  <c r="B157" i="38"/>
  <c r="C156" i="38"/>
  <c r="B156" i="38"/>
  <c r="C155" i="38"/>
  <c r="B155" i="38"/>
  <c r="A155" i="38" s="1"/>
  <c r="J153" i="38"/>
  <c r="A153" i="38"/>
  <c r="J150" i="38"/>
  <c r="I150" i="38"/>
  <c r="J149" i="38"/>
  <c r="I149" i="38"/>
  <c r="J148" i="38"/>
  <c r="J147" i="38"/>
  <c r="J146" i="38"/>
  <c r="G168" i="38" s="1"/>
  <c r="I146" i="38"/>
  <c r="F168" i="38" s="1"/>
  <c r="J145" i="38"/>
  <c r="G167" i="38" s="1"/>
  <c r="I145" i="38"/>
  <c r="F167" i="38" s="1"/>
  <c r="J144" i="38"/>
  <c r="G166" i="38" s="1"/>
  <c r="I144" i="38"/>
  <c r="F166" i="38" s="1"/>
  <c r="J143" i="38"/>
  <c r="G165" i="38" s="1"/>
  <c r="I143" i="38"/>
  <c r="J142" i="38"/>
  <c r="G164" i="38" s="1"/>
  <c r="J141" i="38"/>
  <c r="G163" i="38" s="1"/>
  <c r="J139" i="38"/>
  <c r="C278" i="38" s="1"/>
  <c r="I139" i="38"/>
  <c r="C277" i="38" s="1"/>
  <c r="J138" i="38"/>
  <c r="I138" i="38"/>
  <c r="J137" i="38"/>
  <c r="I137" i="38"/>
  <c r="C267" i="38" s="1"/>
  <c r="J136" i="38"/>
  <c r="C258" i="38" s="1"/>
  <c r="I136" i="38"/>
  <c r="C257" i="38" s="1"/>
  <c r="J135" i="38"/>
  <c r="C247" i="38" s="1"/>
  <c r="I135" i="38"/>
  <c r="C246" i="38" s="1"/>
  <c r="J134" i="38"/>
  <c r="C237" i="38" s="1"/>
  <c r="C236" i="38"/>
  <c r="J133" i="38"/>
  <c r="C224" i="38" s="1"/>
  <c r="I133" i="38"/>
  <c r="C223" i="38" s="1"/>
  <c r="A133" i="38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30" i="38"/>
  <c r="A129" i="38"/>
  <c r="J115" i="38"/>
  <c r="J114" i="38"/>
  <c r="J113" i="38"/>
  <c r="J176" i="37"/>
  <c r="J177" i="37"/>
  <c r="J178" i="37"/>
  <c r="J179" i="37"/>
  <c r="J191" i="37"/>
  <c r="J200" i="37"/>
  <c r="J192" i="37"/>
  <c r="A525" i="37"/>
  <c r="A524" i="37"/>
  <c r="A440" i="37"/>
  <c r="A439" i="37"/>
  <c r="A333" i="37"/>
  <c r="A332" i="37"/>
  <c r="J211" i="37"/>
  <c r="J210" i="37"/>
  <c r="J209" i="37"/>
  <c r="J175" i="37"/>
  <c r="C161" i="37"/>
  <c r="E161" i="37" s="1"/>
  <c r="B161" i="37"/>
  <c r="C160" i="37"/>
  <c r="E160" i="37" s="1"/>
  <c r="B160" i="37"/>
  <c r="C159" i="37"/>
  <c r="E159" i="37" s="1"/>
  <c r="B159" i="37"/>
  <c r="C158" i="37"/>
  <c r="D158" i="37" s="1"/>
  <c r="B158" i="37"/>
  <c r="C157" i="37"/>
  <c r="E157" i="37" s="1"/>
  <c r="B157" i="37"/>
  <c r="C156" i="37"/>
  <c r="E156" i="37" s="1"/>
  <c r="B156" i="37"/>
  <c r="C155" i="37"/>
  <c r="B155" i="37"/>
  <c r="A155" i="37" s="1"/>
  <c r="J153" i="37"/>
  <c r="A153" i="37"/>
  <c r="J150" i="37"/>
  <c r="I150" i="37"/>
  <c r="J149" i="37"/>
  <c r="I149" i="37"/>
  <c r="J148" i="37"/>
  <c r="J147" i="37"/>
  <c r="J146" i="37"/>
  <c r="G168" i="37" s="1"/>
  <c r="I146" i="37"/>
  <c r="F168" i="37" s="1"/>
  <c r="J145" i="37"/>
  <c r="I145" i="37"/>
  <c r="J144" i="37"/>
  <c r="I144" i="37"/>
  <c r="J143" i="37"/>
  <c r="I143" i="37"/>
  <c r="J142" i="37"/>
  <c r="G164" i="37" s="1"/>
  <c r="J139" i="37"/>
  <c r="C279" i="37" s="1"/>
  <c r="I139" i="37"/>
  <c r="C278" i="37" s="1"/>
  <c r="J138" i="37"/>
  <c r="I138" i="37"/>
  <c r="J137" i="37"/>
  <c r="I137" i="37"/>
  <c r="C267" i="37" s="1"/>
  <c r="J136" i="37"/>
  <c r="C258" i="37" s="1"/>
  <c r="I136" i="37"/>
  <c r="C257" i="37" s="1"/>
  <c r="J135" i="37"/>
  <c r="C247" i="37" s="1"/>
  <c r="I135" i="37"/>
  <c r="C246" i="37" s="1"/>
  <c r="J134" i="37"/>
  <c r="C237" i="37" s="1"/>
  <c r="C236" i="37"/>
  <c r="J133" i="37"/>
  <c r="C224" i="37" s="1"/>
  <c r="I133" i="37"/>
  <c r="C223" i="37" s="1"/>
  <c r="A133" i="37"/>
  <c r="A134" i="37" s="1"/>
  <c r="A135" i="37" s="1"/>
  <c r="A136" i="37" s="1"/>
  <c r="A137" i="37" s="1"/>
  <c r="A138" i="37" s="1"/>
  <c r="A139" i="37" s="1"/>
  <c r="A140" i="37" s="1"/>
  <c r="A141" i="37" s="1"/>
  <c r="A142" i="37" s="1"/>
  <c r="A143" i="37" s="1"/>
  <c r="A144" i="37" s="1"/>
  <c r="A145" i="37" s="1"/>
  <c r="A146" i="37" s="1"/>
  <c r="A147" i="37" s="1"/>
  <c r="A148" i="37" s="1"/>
  <c r="A149" i="37" s="1"/>
  <c r="A150" i="37" s="1"/>
  <c r="A130" i="37"/>
  <c r="A129" i="37"/>
  <c r="J115" i="37"/>
  <c r="J114" i="37"/>
  <c r="J113" i="37"/>
  <c r="A187" i="5"/>
  <c r="A189" i="6"/>
  <c r="A184" i="7"/>
  <c r="A184" i="12"/>
  <c r="C291" i="39" l="1"/>
  <c r="F163" i="39"/>
  <c r="F164" i="39"/>
  <c r="F165" i="39"/>
  <c r="C309" i="39"/>
  <c r="F170" i="39"/>
  <c r="F169" i="39"/>
  <c r="H167" i="39"/>
  <c r="C268" i="37"/>
  <c r="G166" i="37"/>
  <c r="G167" i="37"/>
  <c r="C312" i="37"/>
  <c r="G172" i="37"/>
  <c r="G171" i="37"/>
  <c r="C292" i="37"/>
  <c r="F165" i="37"/>
  <c r="C303" i="37"/>
  <c r="G169" i="37"/>
  <c r="C293" i="37"/>
  <c r="G165" i="37"/>
  <c r="C305" i="37"/>
  <c r="G170" i="37"/>
  <c r="F167" i="37"/>
  <c r="F166" i="37"/>
  <c r="C311" i="37"/>
  <c r="F172" i="37"/>
  <c r="F171" i="37"/>
  <c r="C290" i="38"/>
  <c r="F165" i="38"/>
  <c r="H163" i="38" s="1"/>
  <c r="C300" i="38"/>
  <c r="G169" i="38"/>
  <c r="C302" i="38"/>
  <c r="G170" i="38"/>
  <c r="C309" i="38"/>
  <c r="F172" i="38"/>
  <c r="F171" i="38"/>
  <c r="C310" i="38"/>
  <c r="G171" i="38"/>
  <c r="G172" i="38"/>
  <c r="F155" i="39"/>
  <c r="H155" i="39" s="1"/>
  <c r="C246" i="39"/>
  <c r="F156" i="39"/>
  <c r="H156" i="39" s="1"/>
  <c r="C257" i="39"/>
  <c r="F157" i="39"/>
  <c r="H157" i="39" s="1"/>
  <c r="C267" i="39"/>
  <c r="C289" i="38"/>
  <c r="C268" i="38"/>
  <c r="C291" i="38"/>
  <c r="C291" i="37"/>
  <c r="H193" i="37"/>
  <c r="J193" i="37" s="1"/>
  <c r="H193" i="38"/>
  <c r="J193" i="38" s="1"/>
  <c r="U188" i="37"/>
  <c r="W188" i="37" s="1"/>
  <c r="U175" i="37"/>
  <c r="U189" i="37"/>
  <c r="W189" i="37" s="1"/>
  <c r="U177" i="37"/>
  <c r="U178" i="37"/>
  <c r="W178" i="37" s="1"/>
  <c r="U179" i="37"/>
  <c r="W179" i="37" s="1"/>
  <c r="U176" i="37"/>
  <c r="W176" i="37" s="1"/>
  <c r="U189" i="38"/>
  <c r="W189" i="38" s="1"/>
  <c r="U188" i="38"/>
  <c r="W188" i="38" s="1"/>
  <c r="U177" i="38"/>
  <c r="U176" i="38"/>
  <c r="W176" i="38" s="1"/>
  <c r="U175" i="38"/>
  <c r="U187" i="37"/>
  <c r="W187" i="37" s="1"/>
  <c r="U186" i="37"/>
  <c r="W186" i="37" s="1"/>
  <c r="H194" i="37"/>
  <c r="J194" i="37" s="1"/>
  <c r="F156" i="38"/>
  <c r="H194" i="38"/>
  <c r="J194" i="38" s="1"/>
  <c r="H189" i="39"/>
  <c r="J189" i="39" s="1"/>
  <c r="U185" i="39"/>
  <c r="W185" i="39" s="1"/>
  <c r="U184" i="39"/>
  <c r="W184" i="39" s="1"/>
  <c r="U187" i="39"/>
  <c r="U186" i="39"/>
  <c r="W186" i="39" s="1"/>
  <c r="F159" i="39"/>
  <c r="H159" i="39" s="1"/>
  <c r="U173" i="39"/>
  <c r="W173" i="39" s="1"/>
  <c r="U174" i="39"/>
  <c r="W174" i="39" s="1"/>
  <c r="U177" i="39"/>
  <c r="W177" i="39" s="1"/>
  <c r="U175" i="39"/>
  <c r="W175" i="39" s="1"/>
  <c r="U176" i="39"/>
  <c r="W176" i="39" s="1"/>
  <c r="A185" i="12"/>
  <c r="A186" i="12" s="1"/>
  <c r="A187" i="12" s="1"/>
  <c r="U179" i="38"/>
  <c r="W179" i="38" s="1"/>
  <c r="A185" i="7"/>
  <c r="A186" i="7" s="1"/>
  <c r="A187" i="7" s="1"/>
  <c r="F161" i="37"/>
  <c r="A190" i="6"/>
  <c r="A191" i="6" s="1"/>
  <c r="A192" i="6" s="1"/>
  <c r="A188" i="5"/>
  <c r="A189" i="5" s="1"/>
  <c r="A190" i="5" s="1"/>
  <c r="J190" i="39"/>
  <c r="A156" i="37"/>
  <c r="A157" i="37" s="1"/>
  <c r="A158" i="37" s="1"/>
  <c r="A159" i="37" s="1"/>
  <c r="A160" i="37" s="1"/>
  <c r="A161" i="37" s="1"/>
  <c r="A162" i="37" s="1"/>
  <c r="A163" i="37" s="1"/>
  <c r="A164" i="37" s="1"/>
  <c r="A165" i="37" s="1"/>
  <c r="A166" i="37" s="1"/>
  <c r="A167" i="37" s="1"/>
  <c r="A168" i="37" s="1"/>
  <c r="A169" i="37" s="1"/>
  <c r="A170" i="37" s="1"/>
  <c r="A171" i="37" s="1"/>
  <c r="A172" i="37" s="1"/>
  <c r="G161" i="38"/>
  <c r="U178" i="38"/>
  <c r="W178" i="38" s="1"/>
  <c r="U186" i="38"/>
  <c r="W186" i="38" s="1"/>
  <c r="U187" i="38"/>
  <c r="A156" i="38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F161" i="38"/>
  <c r="E161" i="38"/>
  <c r="F153" i="39"/>
  <c r="G153" i="39"/>
  <c r="E153" i="39"/>
  <c r="G154" i="39"/>
  <c r="E154" i="39"/>
  <c r="E157" i="39"/>
  <c r="F154" i="39"/>
  <c r="E155" i="39"/>
  <c r="E156" i="39"/>
  <c r="A154" i="39"/>
  <c r="A155" i="39" s="1"/>
  <c r="A156" i="39" s="1"/>
  <c r="A157" i="39" s="1"/>
  <c r="A158" i="39" s="1"/>
  <c r="A159" i="39" s="1"/>
  <c r="A160" i="39" s="1"/>
  <c r="A161" i="39" s="1"/>
  <c r="A162" i="39" s="1"/>
  <c r="A163" i="39" s="1"/>
  <c r="A164" i="39" s="1"/>
  <c r="A165" i="39" s="1"/>
  <c r="A166" i="39" s="1"/>
  <c r="A167" i="39" s="1"/>
  <c r="A168" i="39" s="1"/>
  <c r="A169" i="39" s="1"/>
  <c r="A170" i="39" s="1"/>
  <c r="E159" i="39"/>
  <c r="G155" i="38"/>
  <c r="G159" i="38"/>
  <c r="G156" i="38"/>
  <c r="G160" i="38"/>
  <c r="G157" i="38"/>
  <c r="G158" i="38"/>
  <c r="D155" i="38"/>
  <c r="D156" i="38"/>
  <c r="D157" i="38"/>
  <c r="D158" i="38"/>
  <c r="D159" i="38"/>
  <c r="E160" i="38"/>
  <c r="E155" i="38"/>
  <c r="E156" i="38"/>
  <c r="E157" i="38"/>
  <c r="E158" i="38"/>
  <c r="E159" i="38"/>
  <c r="F160" i="38"/>
  <c r="F155" i="38"/>
  <c r="F157" i="38"/>
  <c r="F158" i="38"/>
  <c r="F159" i="38"/>
  <c r="G155" i="37"/>
  <c r="G161" i="37"/>
  <c r="F155" i="37"/>
  <c r="F157" i="37"/>
  <c r="F159" i="37"/>
  <c r="G156" i="37"/>
  <c r="G158" i="37"/>
  <c r="D156" i="37"/>
  <c r="D157" i="37"/>
  <c r="D159" i="37"/>
  <c r="F156" i="37"/>
  <c r="F158" i="37"/>
  <c r="G160" i="37"/>
  <c r="G157" i="37"/>
  <c r="G159" i="37"/>
  <c r="D161" i="37"/>
  <c r="E155" i="37"/>
  <c r="E158" i="37"/>
  <c r="F160" i="37"/>
  <c r="D155" i="37"/>
  <c r="H161" i="39" l="1"/>
  <c r="H169" i="39"/>
  <c r="H192" i="39"/>
  <c r="W187" i="39"/>
  <c r="H163" i="37"/>
  <c r="H161" i="37"/>
  <c r="H171" i="37"/>
  <c r="H169" i="37"/>
  <c r="H169" i="38"/>
  <c r="H195" i="38"/>
  <c r="J195" i="38" s="1"/>
  <c r="W187" i="38"/>
  <c r="H161" i="38"/>
  <c r="H171" i="38"/>
  <c r="H191" i="39"/>
  <c r="J191" i="39" s="1"/>
  <c r="H193" i="39"/>
  <c r="J193" i="39" s="1"/>
  <c r="H194" i="39"/>
  <c r="J194" i="39" s="1"/>
  <c r="H195" i="37"/>
  <c r="J195" i="37" s="1"/>
  <c r="W175" i="38"/>
  <c r="H198" i="38"/>
  <c r="J198" i="38" s="1"/>
  <c r="W177" i="38"/>
  <c r="H197" i="38"/>
  <c r="J197" i="38" s="1"/>
  <c r="H196" i="38"/>
  <c r="J196" i="38" s="1"/>
  <c r="W177" i="37"/>
  <c r="H197" i="37"/>
  <c r="J197" i="37" s="1"/>
  <c r="H196" i="37"/>
  <c r="J196" i="37" s="1"/>
  <c r="W175" i="37"/>
  <c r="H198" i="37"/>
  <c r="J198" i="37" s="1"/>
  <c r="H155" i="38"/>
  <c r="H154" i="39"/>
  <c r="H153" i="39"/>
  <c r="J192" i="39"/>
  <c r="H156" i="38"/>
  <c r="H159" i="38"/>
  <c r="H157" i="38"/>
  <c r="H158" i="38"/>
  <c r="H155" i="37"/>
  <c r="H158" i="37"/>
  <c r="H159" i="37"/>
  <c r="H157" i="37"/>
  <c r="H156" i="37"/>
  <c r="A524" i="35" l="1"/>
  <c r="A523" i="35"/>
  <c r="A440" i="35"/>
  <c r="A439" i="35"/>
  <c r="A333" i="35"/>
  <c r="A332" i="35"/>
  <c r="J211" i="35"/>
  <c r="J210" i="35"/>
  <c r="J209" i="35"/>
  <c r="J198" i="35"/>
  <c r="J197" i="35"/>
  <c r="J177" i="35"/>
  <c r="J176" i="35"/>
  <c r="J175" i="35"/>
  <c r="J174" i="35"/>
  <c r="E159" i="35"/>
  <c r="E158" i="35"/>
  <c r="E157" i="35"/>
  <c r="C156" i="35"/>
  <c r="E156" i="35" s="1"/>
  <c r="B156" i="35"/>
  <c r="C155" i="35"/>
  <c r="E155" i="35" s="1"/>
  <c r="B155" i="35"/>
  <c r="A155" i="35" s="1"/>
  <c r="J153" i="35"/>
  <c r="A153" i="35"/>
  <c r="J149" i="35"/>
  <c r="I149" i="35"/>
  <c r="J148" i="35"/>
  <c r="I148" i="35"/>
  <c r="J147" i="35"/>
  <c r="J146" i="35"/>
  <c r="J145" i="35"/>
  <c r="G167" i="35" s="1"/>
  <c r="I145" i="35"/>
  <c r="F167" i="35" s="1"/>
  <c r="J144" i="35"/>
  <c r="G166" i="35" s="1"/>
  <c r="I144" i="35"/>
  <c r="F166" i="35" s="1"/>
  <c r="J143" i="35"/>
  <c r="G165" i="35" s="1"/>
  <c r="I143" i="35"/>
  <c r="J142" i="35"/>
  <c r="G164" i="35" s="1"/>
  <c r="J141" i="35"/>
  <c r="J139" i="35"/>
  <c r="C278" i="35" s="1"/>
  <c r="I139" i="35"/>
  <c r="C277" i="35" s="1"/>
  <c r="J138" i="35"/>
  <c r="I138" i="35"/>
  <c r="J137" i="35"/>
  <c r="I137" i="35"/>
  <c r="C267" i="35" s="1"/>
  <c r="J136" i="35"/>
  <c r="C258" i="35" s="1"/>
  <c r="I136" i="35"/>
  <c r="C257" i="35" s="1"/>
  <c r="J135" i="35"/>
  <c r="C247" i="35" s="1"/>
  <c r="I135" i="35"/>
  <c r="C246" i="35" s="1"/>
  <c r="J134" i="35"/>
  <c r="C237" i="35" s="1"/>
  <c r="C236" i="35"/>
  <c r="J133" i="35"/>
  <c r="C224" i="35" s="1"/>
  <c r="I133" i="35"/>
  <c r="C223" i="35" s="1"/>
  <c r="A133" i="35"/>
  <c r="A134" i="35" s="1"/>
  <c r="A135" i="35" s="1"/>
  <c r="A136" i="35" s="1"/>
  <c r="A137" i="35" s="1"/>
  <c r="A138" i="35" s="1"/>
  <c r="A139" i="35" s="1"/>
  <c r="A140" i="35" s="1"/>
  <c r="A141" i="35" s="1"/>
  <c r="A142" i="35" s="1"/>
  <c r="A143" i="35" s="1"/>
  <c r="A144" i="35" s="1"/>
  <c r="A145" i="35" s="1"/>
  <c r="A146" i="35" s="1"/>
  <c r="A147" i="35" s="1"/>
  <c r="A148" i="35" s="1"/>
  <c r="A149" i="35" s="1"/>
  <c r="A130" i="35"/>
  <c r="A129" i="35"/>
  <c r="J115" i="35"/>
  <c r="J114" i="35"/>
  <c r="J113" i="35"/>
  <c r="A525" i="34"/>
  <c r="A524" i="34"/>
  <c r="A440" i="34"/>
  <c r="A439" i="34"/>
  <c r="A333" i="34"/>
  <c r="A332" i="34"/>
  <c r="J211" i="34"/>
  <c r="J210" i="34"/>
  <c r="J209" i="34"/>
  <c r="J201" i="34"/>
  <c r="J200" i="34"/>
  <c r="J199" i="34"/>
  <c r="E160" i="34"/>
  <c r="C156" i="34"/>
  <c r="D156" i="34" s="1"/>
  <c r="B156" i="34"/>
  <c r="C155" i="34"/>
  <c r="D155" i="34" s="1"/>
  <c r="B155" i="34"/>
  <c r="A155" i="34" s="1"/>
  <c r="J153" i="34"/>
  <c r="A153" i="34"/>
  <c r="J151" i="34"/>
  <c r="J150" i="34"/>
  <c r="I150" i="34"/>
  <c r="J149" i="34"/>
  <c r="I149" i="34"/>
  <c r="J148" i="34"/>
  <c r="J147" i="34"/>
  <c r="J146" i="34"/>
  <c r="G168" i="34" s="1"/>
  <c r="I146" i="34"/>
  <c r="F168" i="34" s="1"/>
  <c r="J145" i="34"/>
  <c r="I145" i="34"/>
  <c r="J144" i="34"/>
  <c r="I144" i="34"/>
  <c r="J143" i="34"/>
  <c r="I143" i="34"/>
  <c r="J142" i="34"/>
  <c r="G164" i="34" s="1"/>
  <c r="J141" i="34"/>
  <c r="J139" i="34"/>
  <c r="C278" i="34" s="1"/>
  <c r="I139" i="34"/>
  <c r="C277" i="34" s="1"/>
  <c r="J138" i="34"/>
  <c r="I138" i="34"/>
  <c r="F160" i="34" s="1"/>
  <c r="J137" i="34"/>
  <c r="I137" i="34"/>
  <c r="C267" i="34" s="1"/>
  <c r="J136" i="34"/>
  <c r="C258" i="34" s="1"/>
  <c r="I136" i="34"/>
  <c r="C257" i="34" s="1"/>
  <c r="J135" i="34"/>
  <c r="C247" i="34" s="1"/>
  <c r="I135" i="34"/>
  <c r="C246" i="34" s="1"/>
  <c r="J134" i="34"/>
  <c r="C237" i="34" s="1"/>
  <c r="C236" i="34"/>
  <c r="J133" i="34"/>
  <c r="C224" i="34" s="1"/>
  <c r="I133" i="34"/>
  <c r="C223" i="34" s="1"/>
  <c r="A133" i="34"/>
  <c r="A134" i="34" s="1"/>
  <c r="A135" i="34" s="1"/>
  <c r="A136" i="34" s="1"/>
  <c r="A137" i="34" s="1"/>
  <c r="A138" i="34" s="1"/>
  <c r="A139" i="34" s="1"/>
  <c r="A140" i="34" s="1"/>
  <c r="A141" i="34" s="1"/>
  <c r="A142" i="34" s="1"/>
  <c r="A143" i="34" s="1"/>
  <c r="A144" i="34" s="1"/>
  <c r="A145" i="34" s="1"/>
  <c r="A146" i="34" s="1"/>
  <c r="A147" i="34" s="1"/>
  <c r="A148" i="34" s="1"/>
  <c r="A149" i="34" s="1"/>
  <c r="A150" i="34" s="1"/>
  <c r="A130" i="34"/>
  <c r="A129" i="34"/>
  <c r="J115" i="34"/>
  <c r="J114" i="34"/>
  <c r="J113" i="34"/>
  <c r="A524" i="33"/>
  <c r="A523" i="33"/>
  <c r="A440" i="33"/>
  <c r="A439" i="33"/>
  <c r="A333" i="33"/>
  <c r="A332" i="33"/>
  <c r="J211" i="33"/>
  <c r="J210" i="33"/>
  <c r="J209" i="33"/>
  <c r="J175" i="33"/>
  <c r="C156" i="33"/>
  <c r="B156" i="33"/>
  <c r="C155" i="33"/>
  <c r="B155" i="33"/>
  <c r="A155" i="33" s="1"/>
  <c r="J153" i="33"/>
  <c r="A153" i="33"/>
  <c r="J150" i="33"/>
  <c r="I150" i="33"/>
  <c r="J149" i="33"/>
  <c r="I149" i="33"/>
  <c r="J148" i="33"/>
  <c r="J147" i="33"/>
  <c r="J146" i="33"/>
  <c r="G168" i="33" s="1"/>
  <c r="I146" i="33"/>
  <c r="F168" i="33" s="1"/>
  <c r="J145" i="33"/>
  <c r="I145" i="33"/>
  <c r="J144" i="33"/>
  <c r="I144" i="33"/>
  <c r="J143" i="33"/>
  <c r="G165" i="33" s="1"/>
  <c r="I143" i="33"/>
  <c r="J142" i="33"/>
  <c r="G164" i="33" s="1"/>
  <c r="J141" i="33"/>
  <c r="J139" i="33"/>
  <c r="C279" i="33" s="1"/>
  <c r="I139" i="33"/>
  <c r="C278" i="33" s="1"/>
  <c r="J138" i="33"/>
  <c r="I138" i="33"/>
  <c r="J137" i="33"/>
  <c r="I137" i="33"/>
  <c r="C267" i="33" s="1"/>
  <c r="J136" i="33"/>
  <c r="C258" i="33" s="1"/>
  <c r="I136" i="33"/>
  <c r="C257" i="33" s="1"/>
  <c r="J135" i="33"/>
  <c r="C247" i="33" s="1"/>
  <c r="I135" i="33"/>
  <c r="C246" i="33" s="1"/>
  <c r="J134" i="33"/>
  <c r="C237" i="33" s="1"/>
  <c r="C236" i="33"/>
  <c r="J133" i="33"/>
  <c r="C224" i="33" s="1"/>
  <c r="I133" i="33"/>
  <c r="C223" i="33" s="1"/>
  <c r="A133" i="33"/>
  <c r="A134" i="33" s="1"/>
  <c r="A135" i="33" s="1"/>
  <c r="A136" i="33" s="1"/>
  <c r="A137" i="33" s="1"/>
  <c r="A138" i="33" s="1"/>
  <c r="A139" i="33" s="1"/>
  <c r="A140" i="33" s="1"/>
  <c r="A141" i="33" s="1"/>
  <c r="A142" i="33" s="1"/>
  <c r="A143" i="33" s="1"/>
  <c r="A144" i="33" s="1"/>
  <c r="A145" i="33" s="1"/>
  <c r="A146" i="33" s="1"/>
  <c r="A147" i="33" s="1"/>
  <c r="A148" i="33" s="1"/>
  <c r="A149" i="33" s="1"/>
  <c r="A150" i="33" s="1"/>
  <c r="A130" i="33"/>
  <c r="A129" i="33"/>
  <c r="J115" i="33"/>
  <c r="J114" i="33"/>
  <c r="J113" i="33"/>
  <c r="A524" i="32"/>
  <c r="A523" i="32"/>
  <c r="A440" i="32"/>
  <c r="A439" i="32"/>
  <c r="A333" i="32"/>
  <c r="A332" i="32"/>
  <c r="J211" i="32"/>
  <c r="J210" i="32"/>
  <c r="J209" i="32"/>
  <c r="E157" i="32"/>
  <c r="C156" i="32"/>
  <c r="B156" i="32"/>
  <c r="C155" i="32"/>
  <c r="E155" i="32" s="1"/>
  <c r="B155" i="32"/>
  <c r="A155" i="32" s="1"/>
  <c r="J153" i="32"/>
  <c r="A153" i="32"/>
  <c r="J151" i="32"/>
  <c r="J150" i="32"/>
  <c r="I150" i="32"/>
  <c r="J149" i="32"/>
  <c r="I149" i="32"/>
  <c r="J148" i="32"/>
  <c r="J147" i="32"/>
  <c r="J146" i="32"/>
  <c r="G168" i="32" s="1"/>
  <c r="I146" i="32"/>
  <c r="F168" i="32" s="1"/>
  <c r="J145" i="32"/>
  <c r="I145" i="32"/>
  <c r="J144" i="32"/>
  <c r="I144" i="32"/>
  <c r="J143" i="32"/>
  <c r="I143" i="32"/>
  <c r="J142" i="32"/>
  <c r="G164" i="32" s="1"/>
  <c r="J141" i="32"/>
  <c r="J139" i="32"/>
  <c r="C279" i="32" s="1"/>
  <c r="I139" i="32"/>
  <c r="C278" i="32" s="1"/>
  <c r="J138" i="32"/>
  <c r="I138" i="32"/>
  <c r="J137" i="32"/>
  <c r="C268" i="32" s="1"/>
  <c r="I137" i="32"/>
  <c r="C267" i="32" s="1"/>
  <c r="J136" i="32"/>
  <c r="C258" i="32" s="1"/>
  <c r="I136" i="32"/>
  <c r="C257" i="32" s="1"/>
  <c r="J135" i="32"/>
  <c r="C247" i="32" s="1"/>
  <c r="I135" i="32"/>
  <c r="C246" i="32" s="1"/>
  <c r="J134" i="32"/>
  <c r="C237" i="32" s="1"/>
  <c r="C236" i="32"/>
  <c r="J133" i="32"/>
  <c r="C224" i="32" s="1"/>
  <c r="I133" i="32"/>
  <c r="C223" i="32" s="1"/>
  <c r="A133" i="32"/>
  <c r="A134" i="32" s="1"/>
  <c r="A135" i="32" s="1"/>
  <c r="A136" i="32" s="1"/>
  <c r="A137" i="32" s="1"/>
  <c r="A138" i="32" s="1"/>
  <c r="A139" i="32" s="1"/>
  <c r="A140" i="32" s="1"/>
  <c r="A141" i="32" s="1"/>
  <c r="A142" i="32" s="1"/>
  <c r="A143" i="32" s="1"/>
  <c r="A144" i="32" s="1"/>
  <c r="A145" i="32" s="1"/>
  <c r="A146" i="32" s="1"/>
  <c r="A147" i="32" s="1"/>
  <c r="A148" i="32" s="1"/>
  <c r="A149" i="32" s="1"/>
  <c r="A150" i="32" s="1"/>
  <c r="A130" i="32"/>
  <c r="A129" i="32"/>
  <c r="J115" i="32"/>
  <c r="J114" i="32"/>
  <c r="J113" i="32"/>
  <c r="J135" i="29"/>
  <c r="C247" i="29" s="1"/>
  <c r="J136" i="29"/>
  <c r="C258" i="29" s="1"/>
  <c r="J137" i="29"/>
  <c r="J138" i="29"/>
  <c r="J139" i="29"/>
  <c r="C278" i="29" s="1"/>
  <c r="J141" i="29"/>
  <c r="J142" i="29"/>
  <c r="G164" i="29" s="1"/>
  <c r="J143" i="29"/>
  <c r="G165" i="29" s="1"/>
  <c r="J144" i="29"/>
  <c r="J145" i="29"/>
  <c r="J146" i="29"/>
  <c r="G168" i="29" s="1"/>
  <c r="J147" i="29"/>
  <c r="J148" i="29"/>
  <c r="J149" i="29"/>
  <c r="J150" i="29"/>
  <c r="B156" i="29"/>
  <c r="I150" i="29"/>
  <c r="I144" i="29"/>
  <c r="I145" i="29"/>
  <c r="I146" i="29"/>
  <c r="F168" i="29" s="1"/>
  <c r="A524" i="29"/>
  <c r="A523" i="29"/>
  <c r="A440" i="29"/>
  <c r="A439" i="29"/>
  <c r="A333" i="29"/>
  <c r="A332" i="29"/>
  <c r="J211" i="29"/>
  <c r="J210" i="29"/>
  <c r="J209" i="29"/>
  <c r="E160" i="29"/>
  <c r="E159" i="29"/>
  <c r="E158" i="29"/>
  <c r="E157" i="29"/>
  <c r="C156" i="29"/>
  <c r="E156" i="29" s="1"/>
  <c r="C155" i="29"/>
  <c r="E155" i="29" s="1"/>
  <c r="B155" i="29"/>
  <c r="A155" i="29" s="1"/>
  <c r="J153" i="29"/>
  <c r="A153" i="29"/>
  <c r="J152" i="29"/>
  <c r="I149" i="29"/>
  <c r="I143" i="29"/>
  <c r="I139" i="29"/>
  <c r="C277" i="29" s="1"/>
  <c r="I138" i="29"/>
  <c r="I137" i="29"/>
  <c r="C267" i="29" s="1"/>
  <c r="I136" i="29"/>
  <c r="C257" i="29" s="1"/>
  <c r="I135" i="29"/>
  <c r="C246" i="29" s="1"/>
  <c r="J134" i="29"/>
  <c r="C237" i="29" s="1"/>
  <c r="C236" i="29"/>
  <c r="J133" i="29"/>
  <c r="C224" i="29" s="1"/>
  <c r="I133" i="29"/>
  <c r="C223" i="29" s="1"/>
  <c r="A133" i="29"/>
  <c r="A134" i="29" s="1"/>
  <c r="A135" i="29" s="1"/>
  <c r="A136" i="29" s="1"/>
  <c r="A137" i="29" s="1"/>
  <c r="A138" i="29" s="1"/>
  <c r="A139" i="29" s="1"/>
  <c r="A140" i="29" s="1"/>
  <c r="A141" i="29" s="1"/>
  <c r="A142" i="29" s="1"/>
  <c r="A143" i="29" s="1"/>
  <c r="A144" i="29" s="1"/>
  <c r="A145" i="29" s="1"/>
  <c r="A146" i="29" s="1"/>
  <c r="A147" i="29" s="1"/>
  <c r="A148" i="29" s="1"/>
  <c r="A149" i="29" s="1"/>
  <c r="A150" i="29" s="1"/>
  <c r="A130" i="29"/>
  <c r="A129" i="29"/>
  <c r="J115" i="29"/>
  <c r="J114" i="29"/>
  <c r="J113" i="29"/>
  <c r="C268" i="33" l="1"/>
  <c r="C309" i="29"/>
  <c r="F171" i="29"/>
  <c r="F172" i="29"/>
  <c r="C303" i="29"/>
  <c r="G170" i="29"/>
  <c r="C301" i="29"/>
  <c r="G169" i="29"/>
  <c r="F167" i="29"/>
  <c r="F166" i="29"/>
  <c r="C290" i="29"/>
  <c r="F165" i="29"/>
  <c r="G167" i="29"/>
  <c r="G166" i="29"/>
  <c r="C310" i="29"/>
  <c r="G172" i="29"/>
  <c r="G171" i="29"/>
  <c r="C289" i="29"/>
  <c r="G163" i="29"/>
  <c r="C291" i="32"/>
  <c r="F165" i="32"/>
  <c r="C302" i="32"/>
  <c r="G169" i="32"/>
  <c r="C292" i="32"/>
  <c r="G165" i="32"/>
  <c r="C304" i="32"/>
  <c r="G170" i="32"/>
  <c r="F172" i="32"/>
  <c r="F171" i="32"/>
  <c r="C290" i="32"/>
  <c r="G163" i="32"/>
  <c r="F166" i="32"/>
  <c r="F167" i="32"/>
  <c r="G166" i="32"/>
  <c r="G167" i="32"/>
  <c r="G172" i="32"/>
  <c r="G171" i="32"/>
  <c r="F167" i="33"/>
  <c r="F166" i="33"/>
  <c r="C311" i="33"/>
  <c r="F171" i="33"/>
  <c r="F172" i="33"/>
  <c r="C292" i="33"/>
  <c r="F165" i="33"/>
  <c r="G167" i="33"/>
  <c r="G166" i="33"/>
  <c r="G172" i="33"/>
  <c r="G171" i="33"/>
  <c r="C303" i="33"/>
  <c r="G169" i="33"/>
  <c r="C305" i="33"/>
  <c r="G170" i="33"/>
  <c r="C291" i="33"/>
  <c r="G163" i="33"/>
  <c r="C268" i="34"/>
  <c r="C289" i="35"/>
  <c r="G163" i="35"/>
  <c r="C301" i="35"/>
  <c r="G168" i="35"/>
  <c r="C303" i="35"/>
  <c r="G169" i="35"/>
  <c r="C290" i="35"/>
  <c r="F165" i="35"/>
  <c r="C309" i="35"/>
  <c r="F171" i="35"/>
  <c r="F170" i="35"/>
  <c r="C268" i="35"/>
  <c r="G170" i="35"/>
  <c r="G171" i="35"/>
  <c r="C290" i="34"/>
  <c r="G163" i="34"/>
  <c r="C291" i="34"/>
  <c r="F165" i="34"/>
  <c r="C302" i="34"/>
  <c r="G169" i="34"/>
  <c r="C292" i="34"/>
  <c r="G165" i="34"/>
  <c r="C304" i="34"/>
  <c r="G170" i="34"/>
  <c r="F167" i="34"/>
  <c r="F166" i="34"/>
  <c r="C310" i="34"/>
  <c r="F172" i="34"/>
  <c r="F171" i="34"/>
  <c r="G167" i="34"/>
  <c r="G166" i="34"/>
  <c r="G171" i="34"/>
  <c r="G172" i="34"/>
  <c r="C291" i="35"/>
  <c r="C310" i="35"/>
  <c r="C311" i="34"/>
  <c r="C293" i="33"/>
  <c r="C312" i="33"/>
  <c r="C309" i="32"/>
  <c r="C310" i="32"/>
  <c r="F161" i="32"/>
  <c r="C268" i="29"/>
  <c r="C291" i="29"/>
  <c r="G161" i="29"/>
  <c r="U175" i="29"/>
  <c r="H190" i="32"/>
  <c r="J190" i="32" s="1"/>
  <c r="H191" i="29"/>
  <c r="J191" i="29" s="1"/>
  <c r="G156" i="32"/>
  <c r="U186" i="32"/>
  <c r="W186" i="32" s="1"/>
  <c r="H191" i="32"/>
  <c r="J191" i="32" s="1"/>
  <c r="U189" i="34"/>
  <c r="W189" i="34" s="1"/>
  <c r="U188" i="34"/>
  <c r="W188" i="34" s="1"/>
  <c r="U175" i="34"/>
  <c r="W175" i="34" s="1"/>
  <c r="U179" i="34"/>
  <c r="W179" i="34" s="1"/>
  <c r="U176" i="34"/>
  <c r="U178" i="34"/>
  <c r="W178" i="34" s="1"/>
  <c r="U177" i="34"/>
  <c r="W177" i="34" s="1"/>
  <c r="U189" i="32"/>
  <c r="W189" i="32" s="1"/>
  <c r="U188" i="32"/>
  <c r="W188" i="32" s="1"/>
  <c r="U178" i="32"/>
  <c r="W178" i="32" s="1"/>
  <c r="U179" i="32"/>
  <c r="W179" i="32" s="1"/>
  <c r="U176" i="32"/>
  <c r="U177" i="32"/>
  <c r="U175" i="32"/>
  <c r="U186" i="34"/>
  <c r="W186" i="34" s="1"/>
  <c r="U187" i="34"/>
  <c r="W187" i="34" s="1"/>
  <c r="H191" i="34"/>
  <c r="J191" i="34" s="1"/>
  <c r="H192" i="34"/>
  <c r="J192" i="34" s="1"/>
  <c r="U187" i="33"/>
  <c r="W187" i="33" s="1"/>
  <c r="U186" i="33"/>
  <c r="W186" i="33" s="1"/>
  <c r="U187" i="29"/>
  <c r="W187" i="29" s="1"/>
  <c r="U186" i="29"/>
  <c r="W186" i="29" s="1"/>
  <c r="U186" i="35"/>
  <c r="W186" i="35" s="1"/>
  <c r="U185" i="35"/>
  <c r="W185" i="35" s="1"/>
  <c r="U175" i="35"/>
  <c r="W175" i="35" s="1"/>
  <c r="U176" i="35"/>
  <c r="U188" i="35"/>
  <c r="W188" i="35" s="1"/>
  <c r="U174" i="35"/>
  <c r="U187" i="35"/>
  <c r="W187" i="35" s="1"/>
  <c r="U178" i="35"/>
  <c r="W178" i="35" s="1"/>
  <c r="U177" i="35"/>
  <c r="W177" i="35" s="1"/>
  <c r="U178" i="33"/>
  <c r="U177" i="33"/>
  <c r="W177" i="33" s="1"/>
  <c r="U176" i="33"/>
  <c r="U179" i="33"/>
  <c r="W179" i="33" s="1"/>
  <c r="U189" i="33"/>
  <c r="W189" i="33" s="1"/>
  <c r="U175" i="33"/>
  <c r="U188" i="33"/>
  <c r="W188" i="33" s="1"/>
  <c r="H191" i="33"/>
  <c r="J191" i="33" s="1"/>
  <c r="U179" i="29"/>
  <c r="W179" i="29" s="1"/>
  <c r="U178" i="29"/>
  <c r="H192" i="29"/>
  <c r="J192" i="29" s="1"/>
  <c r="U177" i="29"/>
  <c r="U176" i="29"/>
  <c r="W176" i="29" s="1"/>
  <c r="U189" i="29"/>
  <c r="W189" i="29" s="1"/>
  <c r="U188" i="29"/>
  <c r="W188" i="29" s="1"/>
  <c r="G157" i="29"/>
  <c r="G160" i="29"/>
  <c r="G161" i="34"/>
  <c r="H190" i="33"/>
  <c r="J190" i="33" s="1"/>
  <c r="A156" i="29"/>
  <c r="A157" i="29" s="1"/>
  <c r="A158" i="29" s="1"/>
  <c r="A159" i="29" s="1"/>
  <c r="A160" i="29" s="1"/>
  <c r="A161" i="29" s="1"/>
  <c r="A162" i="29" s="1"/>
  <c r="A163" i="29" s="1"/>
  <c r="A164" i="29" s="1"/>
  <c r="A165" i="29" s="1"/>
  <c r="A166" i="29" s="1"/>
  <c r="A167" i="29" s="1"/>
  <c r="A168" i="29" s="1"/>
  <c r="A169" i="29" s="1"/>
  <c r="A170" i="29" s="1"/>
  <c r="A171" i="29" s="1"/>
  <c r="A172" i="29" s="1"/>
  <c r="W176" i="32"/>
  <c r="G158" i="32"/>
  <c r="U187" i="32"/>
  <c r="W187" i="32" s="1"/>
  <c r="F157" i="34"/>
  <c r="F156" i="29"/>
  <c r="G155" i="29"/>
  <c r="G158" i="29"/>
  <c r="F158" i="34"/>
  <c r="G160" i="34"/>
  <c r="G158" i="34"/>
  <c r="H190" i="35"/>
  <c r="J190" i="35" s="1"/>
  <c r="A156" i="35"/>
  <c r="A157" i="35" s="1"/>
  <c r="A158" i="35" s="1"/>
  <c r="A159" i="35" s="1"/>
  <c r="A160" i="35" s="1"/>
  <c r="A161" i="35" s="1"/>
  <c r="A162" i="35" s="1"/>
  <c r="A163" i="35" s="1"/>
  <c r="A164" i="35" s="1"/>
  <c r="A165" i="35" s="1"/>
  <c r="A166" i="35" s="1"/>
  <c r="A167" i="35" s="1"/>
  <c r="A168" i="35" s="1"/>
  <c r="A169" i="35" s="1"/>
  <c r="A170" i="35" s="1"/>
  <c r="A171" i="35" s="1"/>
  <c r="F159" i="29"/>
  <c r="D155" i="29"/>
  <c r="G159" i="29"/>
  <c r="E158" i="32"/>
  <c r="G157" i="32"/>
  <c r="F156" i="32"/>
  <c r="A156" i="32"/>
  <c r="A157" i="32" s="1"/>
  <c r="A158" i="32" s="1"/>
  <c r="A159" i="32" s="1"/>
  <c r="A160" i="32" s="1"/>
  <c r="A161" i="32" s="1"/>
  <c r="A162" i="32" s="1"/>
  <c r="A163" i="32" s="1"/>
  <c r="A164" i="32" s="1"/>
  <c r="A165" i="32" s="1"/>
  <c r="A166" i="32" s="1"/>
  <c r="A167" i="32" s="1"/>
  <c r="A168" i="32" s="1"/>
  <c r="A169" i="32" s="1"/>
  <c r="A170" i="32" s="1"/>
  <c r="A171" i="32" s="1"/>
  <c r="A172" i="32" s="1"/>
  <c r="G155" i="32"/>
  <c r="G159" i="32"/>
  <c r="E158" i="34"/>
  <c r="E156" i="34"/>
  <c r="G156" i="34"/>
  <c r="F159" i="34"/>
  <c r="F160" i="35"/>
  <c r="H191" i="35"/>
  <c r="J191" i="35" s="1"/>
  <c r="F161" i="35"/>
  <c r="G161" i="35"/>
  <c r="E161" i="35"/>
  <c r="E155" i="34"/>
  <c r="F155" i="34"/>
  <c r="G157" i="34"/>
  <c r="G155" i="34"/>
  <c r="E157" i="34"/>
  <c r="E159" i="34"/>
  <c r="G159" i="34"/>
  <c r="A156" i="34"/>
  <c r="A157" i="34" s="1"/>
  <c r="A158" i="34" s="1"/>
  <c r="A159" i="34" s="1"/>
  <c r="A160" i="34" s="1"/>
  <c r="A161" i="34" s="1"/>
  <c r="A162" i="34" s="1"/>
  <c r="A163" i="34" s="1"/>
  <c r="A164" i="34" s="1"/>
  <c r="A165" i="34" s="1"/>
  <c r="A166" i="34" s="1"/>
  <c r="A167" i="34" s="1"/>
  <c r="A168" i="34" s="1"/>
  <c r="A169" i="34" s="1"/>
  <c r="A170" i="34" s="1"/>
  <c r="A171" i="34" s="1"/>
  <c r="A172" i="34" s="1"/>
  <c r="F156" i="34"/>
  <c r="E161" i="33"/>
  <c r="A156" i="33"/>
  <c r="A157" i="33" s="1"/>
  <c r="A158" i="33" s="1"/>
  <c r="A159" i="33" s="1"/>
  <c r="A160" i="33" s="1"/>
  <c r="A161" i="33" s="1"/>
  <c r="A162" i="33" s="1"/>
  <c r="A163" i="33" s="1"/>
  <c r="A164" i="33" s="1"/>
  <c r="A165" i="33" s="1"/>
  <c r="A166" i="33" s="1"/>
  <c r="A167" i="33" s="1"/>
  <c r="A168" i="33" s="1"/>
  <c r="A169" i="33" s="1"/>
  <c r="A170" i="33" s="1"/>
  <c r="A171" i="33" s="1"/>
  <c r="A172" i="33" s="1"/>
  <c r="W175" i="33"/>
  <c r="E156" i="32"/>
  <c r="G161" i="32"/>
  <c r="F159" i="32"/>
  <c r="F160" i="32"/>
  <c r="F155" i="32"/>
  <c r="F157" i="32"/>
  <c r="E159" i="32"/>
  <c r="G160" i="32"/>
  <c r="F158" i="32"/>
  <c r="F157" i="29"/>
  <c r="D156" i="29"/>
  <c r="F158" i="29"/>
  <c r="G156" i="29"/>
  <c r="F160" i="29"/>
  <c r="F155" i="29"/>
  <c r="G156" i="35"/>
  <c r="G159" i="35"/>
  <c r="G158" i="35"/>
  <c r="G157" i="35"/>
  <c r="G160" i="35"/>
  <c r="G155" i="35"/>
  <c r="D155" i="35"/>
  <c r="D156" i="35"/>
  <c r="E160" i="35"/>
  <c r="F155" i="35"/>
  <c r="F156" i="35"/>
  <c r="F157" i="35"/>
  <c r="F158" i="35"/>
  <c r="F159" i="35"/>
  <c r="E161" i="34"/>
  <c r="F161" i="34"/>
  <c r="H161" i="34" s="1"/>
  <c r="G159" i="33"/>
  <c r="G156" i="33"/>
  <c r="G160" i="33"/>
  <c r="G157" i="33"/>
  <c r="G161" i="33"/>
  <c r="G155" i="33"/>
  <c r="G158" i="33"/>
  <c r="D155" i="33"/>
  <c r="D156" i="33"/>
  <c r="E160" i="33"/>
  <c r="F161" i="33"/>
  <c r="E155" i="33"/>
  <c r="E156" i="33"/>
  <c r="E157" i="33"/>
  <c r="E158" i="33"/>
  <c r="E159" i="33"/>
  <c r="F160" i="33"/>
  <c r="F155" i="33"/>
  <c r="F156" i="33"/>
  <c r="F157" i="33"/>
  <c r="F158" i="33"/>
  <c r="F159" i="33"/>
  <c r="E161" i="32"/>
  <c r="D155" i="32"/>
  <c r="D156" i="32"/>
  <c r="E160" i="32"/>
  <c r="E161" i="29"/>
  <c r="F161" i="29"/>
  <c r="H161" i="29" s="1"/>
  <c r="A524" i="28"/>
  <c r="A523" i="28"/>
  <c r="A440" i="28"/>
  <c r="A439" i="28"/>
  <c r="A333" i="28"/>
  <c r="A332" i="28"/>
  <c r="J211" i="28"/>
  <c r="J210" i="28"/>
  <c r="J209" i="28"/>
  <c r="E159" i="28"/>
  <c r="E158" i="28"/>
  <c r="E157" i="28"/>
  <c r="C156" i="28"/>
  <c r="E156" i="28" s="1"/>
  <c r="B156" i="28"/>
  <c r="C155" i="28"/>
  <c r="E155" i="28" s="1"/>
  <c r="B155" i="28"/>
  <c r="A155" i="28" s="1"/>
  <c r="J153" i="28"/>
  <c r="A153" i="28"/>
  <c r="J152" i="28"/>
  <c r="J149" i="28"/>
  <c r="I149" i="28"/>
  <c r="J148" i="28"/>
  <c r="I148" i="28"/>
  <c r="J147" i="28"/>
  <c r="G169" i="28" s="1"/>
  <c r="J146" i="28"/>
  <c r="G168" i="28" s="1"/>
  <c r="J145" i="28"/>
  <c r="G167" i="28" s="1"/>
  <c r="I145" i="28"/>
  <c r="F167" i="28" s="1"/>
  <c r="J144" i="28"/>
  <c r="G166" i="28" s="1"/>
  <c r="I144" i="28"/>
  <c r="F166" i="28" s="1"/>
  <c r="J143" i="28"/>
  <c r="G165" i="28" s="1"/>
  <c r="I143" i="28"/>
  <c r="J142" i="28"/>
  <c r="G164" i="28" s="1"/>
  <c r="J141" i="28"/>
  <c r="G163" i="28" s="1"/>
  <c r="J139" i="28"/>
  <c r="C280" i="28" s="1"/>
  <c r="I139" i="28"/>
  <c r="C279" i="28" s="1"/>
  <c r="J138" i="28"/>
  <c r="G160" i="28" s="1"/>
  <c r="I138" i="28"/>
  <c r="J137" i="28"/>
  <c r="I137" i="28"/>
  <c r="C268" i="28" s="1"/>
  <c r="J136" i="28"/>
  <c r="I136" i="28"/>
  <c r="C258" i="28" s="1"/>
  <c r="J135" i="28"/>
  <c r="I135" i="28"/>
  <c r="C246" i="28" s="1"/>
  <c r="J134" i="28"/>
  <c r="C237" i="28" s="1"/>
  <c r="J133" i="28"/>
  <c r="C224" i="28" s="1"/>
  <c r="I133" i="28"/>
  <c r="C223" i="28" s="1"/>
  <c r="A133" i="28"/>
  <c r="A134" i="28" s="1"/>
  <c r="A135" i="28" s="1"/>
  <c r="A136" i="28" s="1"/>
  <c r="A137" i="28" s="1"/>
  <c r="A138" i="28" s="1"/>
  <c r="A139" i="28" s="1"/>
  <c r="A140" i="28" s="1"/>
  <c r="A141" i="28" s="1"/>
  <c r="A142" i="28" s="1"/>
  <c r="A143" i="28" s="1"/>
  <c r="A144" i="28" s="1"/>
  <c r="A145" i="28" s="1"/>
  <c r="A146" i="28" s="1"/>
  <c r="A147" i="28" s="1"/>
  <c r="A148" i="28" s="1"/>
  <c r="A149" i="28" s="1"/>
  <c r="A130" i="28"/>
  <c r="A129" i="28"/>
  <c r="J115" i="28"/>
  <c r="J114" i="28"/>
  <c r="J113" i="28"/>
  <c r="H159" i="32" l="1"/>
  <c r="C292" i="28"/>
  <c r="F165" i="28"/>
  <c r="H163" i="28" s="1"/>
  <c r="C310" i="28"/>
  <c r="F171" i="28"/>
  <c r="F170" i="28"/>
  <c r="C311" i="28"/>
  <c r="G171" i="28"/>
  <c r="G170" i="28"/>
  <c r="C236" i="28"/>
  <c r="U185" i="28"/>
  <c r="W185" i="28" s="1"/>
  <c r="H168" i="28"/>
  <c r="H159" i="29"/>
  <c r="H169" i="29"/>
  <c r="H163" i="29"/>
  <c r="H171" i="29"/>
  <c r="H161" i="32"/>
  <c r="H169" i="32"/>
  <c r="H163" i="32"/>
  <c r="H171" i="32"/>
  <c r="H169" i="33"/>
  <c r="H171" i="33"/>
  <c r="H161" i="33"/>
  <c r="H163" i="33"/>
  <c r="H171" i="34"/>
  <c r="H168" i="35"/>
  <c r="H170" i="35"/>
  <c r="H163" i="35"/>
  <c r="H161" i="35"/>
  <c r="H169" i="34"/>
  <c r="H163" i="34"/>
  <c r="G158" i="28"/>
  <c r="C259" i="28"/>
  <c r="C305" i="28"/>
  <c r="G159" i="28"/>
  <c r="C269" i="28"/>
  <c r="C293" i="28"/>
  <c r="G157" i="28"/>
  <c r="C247" i="28"/>
  <c r="G161" i="28"/>
  <c r="C291" i="28"/>
  <c r="C303" i="28"/>
  <c r="U174" i="28"/>
  <c r="H196" i="29"/>
  <c r="J196" i="29" s="1"/>
  <c r="H195" i="29"/>
  <c r="J195" i="29" s="1"/>
  <c r="H194" i="32"/>
  <c r="J194" i="32" s="1"/>
  <c r="H156" i="32"/>
  <c r="H195" i="32"/>
  <c r="J195" i="32" s="1"/>
  <c r="H193" i="34"/>
  <c r="J193" i="34" s="1"/>
  <c r="H194" i="34"/>
  <c r="J194" i="34" s="1"/>
  <c r="H159" i="35"/>
  <c r="W175" i="29"/>
  <c r="H195" i="34"/>
  <c r="J195" i="34" s="1"/>
  <c r="W176" i="34"/>
  <c r="H196" i="34"/>
  <c r="J196" i="34" s="1"/>
  <c r="H159" i="34"/>
  <c r="H159" i="33"/>
  <c r="U186" i="28"/>
  <c r="W186" i="28" s="1"/>
  <c r="U188" i="28"/>
  <c r="W188" i="28" s="1"/>
  <c r="U187" i="28"/>
  <c r="W187" i="28" s="1"/>
  <c r="U178" i="28"/>
  <c r="W178" i="28" s="1"/>
  <c r="U177" i="28"/>
  <c r="U176" i="28"/>
  <c r="U175" i="28"/>
  <c r="H192" i="35"/>
  <c r="J192" i="35" s="1"/>
  <c r="H192" i="33"/>
  <c r="J192" i="33" s="1"/>
  <c r="H192" i="32"/>
  <c r="J192" i="32" s="1"/>
  <c r="H157" i="34"/>
  <c r="H193" i="29"/>
  <c r="J193" i="29" s="1"/>
  <c r="H194" i="29"/>
  <c r="J194" i="29" s="1"/>
  <c r="H193" i="35"/>
  <c r="J193" i="35" s="1"/>
  <c r="W174" i="35"/>
  <c r="H195" i="35"/>
  <c r="J195" i="35" s="1"/>
  <c r="W176" i="35"/>
  <c r="H194" i="35"/>
  <c r="J194" i="35" s="1"/>
  <c r="W176" i="33"/>
  <c r="H195" i="33"/>
  <c r="J195" i="33" s="1"/>
  <c r="W178" i="33"/>
  <c r="H194" i="33"/>
  <c r="J194" i="33" s="1"/>
  <c r="H193" i="33"/>
  <c r="J193" i="33" s="1"/>
  <c r="W175" i="32"/>
  <c r="H193" i="32"/>
  <c r="J193" i="32" s="1"/>
  <c r="W177" i="32"/>
  <c r="W177" i="29"/>
  <c r="W178" i="29"/>
  <c r="H158" i="32"/>
  <c r="H155" i="32"/>
  <c r="H156" i="29"/>
  <c r="H158" i="34"/>
  <c r="H155" i="34"/>
  <c r="H158" i="29"/>
  <c r="H155" i="29"/>
  <c r="H157" i="29"/>
  <c r="H156" i="34"/>
  <c r="H157" i="33"/>
  <c r="H157" i="32"/>
  <c r="H158" i="33"/>
  <c r="H190" i="28"/>
  <c r="J190" i="28" s="1"/>
  <c r="H155" i="35"/>
  <c r="E161" i="28"/>
  <c r="F160" i="28"/>
  <c r="H156" i="35"/>
  <c r="H156" i="33"/>
  <c r="H191" i="28"/>
  <c r="J191" i="28" s="1"/>
  <c r="H158" i="35"/>
  <c r="H157" i="35"/>
  <c r="H155" i="33"/>
  <c r="F161" i="28"/>
  <c r="G155" i="28"/>
  <c r="G156" i="28"/>
  <c r="A156" i="28"/>
  <c r="A157" i="28" s="1"/>
  <c r="A158" i="28" s="1"/>
  <c r="A159" i="28" s="1"/>
  <c r="A160" i="28" s="1"/>
  <c r="A161" i="28" s="1"/>
  <c r="A162" i="28" s="1"/>
  <c r="A163" i="28" s="1"/>
  <c r="A164" i="28" s="1"/>
  <c r="A165" i="28" s="1"/>
  <c r="A166" i="28" s="1"/>
  <c r="A167" i="28" s="1"/>
  <c r="A168" i="28" s="1"/>
  <c r="A169" i="28" s="1"/>
  <c r="A170" i="28" s="1"/>
  <c r="A171" i="28" s="1"/>
  <c r="D155" i="28"/>
  <c r="D156" i="28"/>
  <c r="E160" i="28"/>
  <c r="F155" i="28"/>
  <c r="F156" i="28"/>
  <c r="F157" i="28"/>
  <c r="F158" i="28"/>
  <c r="F159" i="28"/>
  <c r="A524" i="26"/>
  <c r="A523" i="26"/>
  <c r="A439" i="26"/>
  <c r="A438" i="26"/>
  <c r="A332" i="26"/>
  <c r="A331" i="26"/>
  <c r="J210" i="26"/>
  <c r="J209" i="26"/>
  <c r="J208" i="26"/>
  <c r="A204" i="26"/>
  <c r="J171" i="26"/>
  <c r="C161" i="26"/>
  <c r="E161" i="26" s="1"/>
  <c r="B161" i="26"/>
  <c r="C160" i="26"/>
  <c r="B160" i="26"/>
  <c r="C159" i="26"/>
  <c r="B159" i="26"/>
  <c r="C158" i="26"/>
  <c r="B158" i="26"/>
  <c r="C157" i="26"/>
  <c r="B157" i="26"/>
  <c r="C156" i="26"/>
  <c r="B156" i="26"/>
  <c r="C155" i="26"/>
  <c r="B155" i="26"/>
  <c r="A155" i="26" s="1"/>
  <c r="J153" i="26"/>
  <c r="A153" i="26"/>
  <c r="J152" i="26"/>
  <c r="J151" i="26"/>
  <c r="J149" i="26"/>
  <c r="J148" i="26"/>
  <c r="J147" i="26"/>
  <c r="J146" i="26"/>
  <c r="J145" i="26"/>
  <c r="J144" i="26"/>
  <c r="G166" i="26" s="1"/>
  <c r="I144" i="26"/>
  <c r="F166" i="26" s="1"/>
  <c r="J143" i="26"/>
  <c r="G165" i="26" s="1"/>
  <c r="I143" i="26"/>
  <c r="J142" i="26"/>
  <c r="G164" i="26" s="1"/>
  <c r="J141" i="26"/>
  <c r="J139" i="26"/>
  <c r="C278" i="26" s="1"/>
  <c r="I139" i="26"/>
  <c r="C277" i="26" s="1"/>
  <c r="J138" i="26"/>
  <c r="I138" i="26"/>
  <c r="J137" i="26"/>
  <c r="I137" i="26"/>
  <c r="C266" i="26" s="1"/>
  <c r="J136" i="26"/>
  <c r="C257" i="26" s="1"/>
  <c r="I136" i="26"/>
  <c r="C256" i="26" s="1"/>
  <c r="J135" i="26"/>
  <c r="C246" i="26" s="1"/>
  <c r="I135" i="26"/>
  <c r="C245" i="26" s="1"/>
  <c r="J134" i="26"/>
  <c r="C236" i="26" s="1"/>
  <c r="C235" i="26"/>
  <c r="J133" i="26"/>
  <c r="C223" i="26" s="1"/>
  <c r="I133" i="26"/>
  <c r="C222" i="26" s="1"/>
  <c r="A133" i="26"/>
  <c r="A134" i="26" s="1"/>
  <c r="A135" i="26" s="1"/>
  <c r="A136" i="26" s="1"/>
  <c r="A137" i="26" s="1"/>
  <c r="A138" i="26" s="1"/>
  <c r="A139" i="26" s="1"/>
  <c r="A140" i="26" s="1"/>
  <c r="A141" i="26" s="1"/>
  <c r="A142" i="26" s="1"/>
  <c r="A143" i="26" s="1"/>
  <c r="A144" i="26" s="1"/>
  <c r="A145" i="26" s="1"/>
  <c r="A146" i="26" s="1"/>
  <c r="A130" i="26"/>
  <c r="A129" i="26"/>
  <c r="J115" i="26"/>
  <c r="J114" i="26"/>
  <c r="J113" i="26"/>
  <c r="J179" i="25"/>
  <c r="J180" i="25"/>
  <c r="J181" i="25"/>
  <c r="J182" i="25"/>
  <c r="J183" i="25"/>
  <c r="J136" i="25"/>
  <c r="C260" i="25" s="1"/>
  <c r="J137" i="25"/>
  <c r="C271" i="25" s="1"/>
  <c r="J138" i="25"/>
  <c r="J139" i="25"/>
  <c r="C282" i="25" s="1"/>
  <c r="J141" i="25"/>
  <c r="J142" i="25"/>
  <c r="G164" i="25" s="1"/>
  <c r="J143" i="25"/>
  <c r="G165" i="25" s="1"/>
  <c r="J144" i="25"/>
  <c r="G166" i="25" s="1"/>
  <c r="J145" i="25"/>
  <c r="J146" i="25"/>
  <c r="C157" i="25"/>
  <c r="C158" i="25"/>
  <c r="C159" i="25"/>
  <c r="C160" i="25"/>
  <c r="E160" i="25" s="1"/>
  <c r="C161" i="25"/>
  <c r="C156" i="25"/>
  <c r="D156" i="25" s="1"/>
  <c r="A524" i="25"/>
  <c r="A523" i="25"/>
  <c r="A439" i="25"/>
  <c r="A438" i="25"/>
  <c r="A332" i="25"/>
  <c r="A331" i="25"/>
  <c r="J210" i="25"/>
  <c r="J209" i="25"/>
  <c r="J208" i="25"/>
  <c r="J178" i="25"/>
  <c r="J175" i="25"/>
  <c r="J174" i="25"/>
  <c r="J173" i="25"/>
  <c r="J172" i="25"/>
  <c r="J171" i="25"/>
  <c r="B161" i="25"/>
  <c r="B160" i="25"/>
  <c r="B159" i="25"/>
  <c r="B158" i="25"/>
  <c r="B157" i="25"/>
  <c r="B156" i="25"/>
  <c r="C155" i="25"/>
  <c r="B155" i="25"/>
  <c r="A155" i="25" s="1"/>
  <c r="J153" i="25"/>
  <c r="A153" i="25"/>
  <c r="J152" i="25"/>
  <c r="J151" i="25"/>
  <c r="J150" i="25"/>
  <c r="J148" i="25"/>
  <c r="J147" i="25"/>
  <c r="I144" i="25"/>
  <c r="I139" i="25"/>
  <c r="C281" i="25" s="1"/>
  <c r="I138" i="25"/>
  <c r="I137" i="25"/>
  <c r="C270" i="25" s="1"/>
  <c r="I136" i="25"/>
  <c r="C259" i="25" s="1"/>
  <c r="J135" i="25"/>
  <c r="C248" i="25" s="1"/>
  <c r="I135" i="25"/>
  <c r="C247" i="25" s="1"/>
  <c r="J134" i="25"/>
  <c r="C237" i="25" s="1"/>
  <c r="C236" i="25"/>
  <c r="J133" i="25"/>
  <c r="C223" i="25" s="1"/>
  <c r="I133" i="25"/>
  <c r="C222" i="25" s="1"/>
  <c r="A133" i="25"/>
  <c r="A134" i="25" s="1"/>
  <c r="A135" i="25" s="1"/>
  <c r="A136" i="25" s="1"/>
  <c r="A137" i="25" s="1"/>
  <c r="A138" i="25" s="1"/>
  <c r="A139" i="25" s="1"/>
  <c r="A140" i="25" s="1"/>
  <c r="A141" i="25" s="1"/>
  <c r="A142" i="25" s="1"/>
  <c r="A143" i="25" s="1"/>
  <c r="A144" i="25" s="1"/>
  <c r="A145" i="25" s="1"/>
  <c r="A146" i="25" s="1"/>
  <c r="A130" i="25"/>
  <c r="A129" i="25"/>
  <c r="J115" i="25"/>
  <c r="J114" i="25"/>
  <c r="J113" i="25"/>
  <c r="E158" i="24"/>
  <c r="E160" i="24"/>
  <c r="C156" i="24"/>
  <c r="D156" i="24" s="1"/>
  <c r="J174" i="24"/>
  <c r="A525" i="24"/>
  <c r="A524" i="24"/>
  <c r="A440" i="24"/>
  <c r="A439" i="24"/>
  <c r="A333" i="24"/>
  <c r="A332" i="24"/>
  <c r="B156" i="24"/>
  <c r="C155" i="24"/>
  <c r="D155" i="24" s="1"/>
  <c r="B155" i="24"/>
  <c r="A155" i="24" s="1"/>
  <c r="J153" i="24"/>
  <c r="A153" i="24"/>
  <c r="J152" i="24"/>
  <c r="J149" i="24"/>
  <c r="I149" i="24"/>
  <c r="J148" i="24"/>
  <c r="I148" i="24"/>
  <c r="J147" i="24"/>
  <c r="J146" i="24"/>
  <c r="J145" i="24"/>
  <c r="G167" i="24" s="1"/>
  <c r="I145" i="24"/>
  <c r="F167" i="24" s="1"/>
  <c r="J144" i="24"/>
  <c r="G166" i="24" s="1"/>
  <c r="I144" i="24"/>
  <c r="F166" i="24" s="1"/>
  <c r="J143" i="24"/>
  <c r="G165" i="24" s="1"/>
  <c r="I143" i="24"/>
  <c r="F165" i="24" s="1"/>
  <c r="J142" i="24"/>
  <c r="G164" i="24" s="1"/>
  <c r="J141" i="24"/>
  <c r="J139" i="24"/>
  <c r="C278" i="24" s="1"/>
  <c r="I139" i="24"/>
  <c r="C277" i="24" s="1"/>
  <c r="J138" i="24"/>
  <c r="I138" i="24"/>
  <c r="J137" i="24"/>
  <c r="C268" i="24" s="1"/>
  <c r="I137" i="24"/>
  <c r="C267" i="24" s="1"/>
  <c r="J136" i="24"/>
  <c r="C258" i="24" s="1"/>
  <c r="I136" i="24"/>
  <c r="C257" i="24" s="1"/>
  <c r="J135" i="24"/>
  <c r="C247" i="24" s="1"/>
  <c r="I135" i="24"/>
  <c r="C246" i="24" s="1"/>
  <c r="J134" i="24"/>
  <c r="C237" i="24" s="1"/>
  <c r="C236" i="24"/>
  <c r="J133" i="24"/>
  <c r="C224" i="24" s="1"/>
  <c r="I133" i="24"/>
  <c r="C223" i="24" s="1"/>
  <c r="A133" i="24"/>
  <c r="A134" i="24" s="1"/>
  <c r="A135" i="24" s="1"/>
  <c r="A136" i="24" s="1"/>
  <c r="A137" i="24" s="1"/>
  <c r="A138" i="24" s="1"/>
  <c r="A139" i="24" s="1"/>
  <c r="A140" i="24" s="1"/>
  <c r="A141" i="24" s="1"/>
  <c r="A142" i="24" s="1"/>
  <c r="A143" i="24" s="1"/>
  <c r="A144" i="24" s="1"/>
  <c r="A145" i="24" s="1"/>
  <c r="A146" i="24" s="1"/>
  <c r="A147" i="24" s="1"/>
  <c r="A148" i="24" s="1"/>
  <c r="A149" i="24" s="1"/>
  <c r="A130" i="24"/>
  <c r="A129" i="24"/>
  <c r="J115" i="24"/>
  <c r="J114" i="24"/>
  <c r="J113" i="24"/>
  <c r="I150" i="22"/>
  <c r="I146" i="22"/>
  <c r="F168" i="22" s="1"/>
  <c r="C294" i="25" l="1"/>
  <c r="G163" i="25"/>
  <c r="C290" i="26"/>
  <c r="G163" i="26"/>
  <c r="C302" i="26"/>
  <c r="G167" i="26"/>
  <c r="C304" i="26"/>
  <c r="G168" i="26"/>
  <c r="C291" i="26"/>
  <c r="F165" i="26"/>
  <c r="H163" i="26" s="1"/>
  <c r="U171" i="25"/>
  <c r="F166" i="25"/>
  <c r="H163" i="25" s="1"/>
  <c r="H161" i="28"/>
  <c r="C309" i="25"/>
  <c r="G168" i="25"/>
  <c r="C307" i="25"/>
  <c r="G167" i="25"/>
  <c r="H170" i="28"/>
  <c r="C289" i="24"/>
  <c r="G163" i="24"/>
  <c r="H163" i="24" s="1"/>
  <c r="C300" i="24"/>
  <c r="G168" i="24"/>
  <c r="C302" i="24"/>
  <c r="G169" i="24"/>
  <c r="C308" i="24"/>
  <c r="F170" i="24"/>
  <c r="F171" i="24"/>
  <c r="C309" i="24"/>
  <c r="G171" i="24"/>
  <c r="G170" i="24"/>
  <c r="C296" i="25"/>
  <c r="C291" i="24"/>
  <c r="U174" i="24"/>
  <c r="C290" i="24"/>
  <c r="C292" i="26"/>
  <c r="C267" i="26"/>
  <c r="U171" i="26"/>
  <c r="H193" i="28"/>
  <c r="J193" i="28" s="1"/>
  <c r="H192" i="28"/>
  <c r="J192" i="28" s="1"/>
  <c r="H194" i="28"/>
  <c r="J194" i="28" s="1"/>
  <c r="H195" i="28"/>
  <c r="J195" i="28" s="1"/>
  <c r="G161" i="26"/>
  <c r="U183" i="25"/>
  <c r="W183" i="25" s="1"/>
  <c r="U182" i="25"/>
  <c r="W182" i="25" s="1"/>
  <c r="U172" i="25"/>
  <c r="W172" i="25" s="1"/>
  <c r="U185" i="25"/>
  <c r="U184" i="25"/>
  <c r="W184" i="25" s="1"/>
  <c r="U175" i="26"/>
  <c r="W175" i="26" s="1"/>
  <c r="U174" i="26"/>
  <c r="W174" i="26" s="1"/>
  <c r="U185" i="26"/>
  <c r="W185" i="26" s="1"/>
  <c r="U173" i="26"/>
  <c r="U184" i="26"/>
  <c r="W184" i="26" s="1"/>
  <c r="U172" i="26"/>
  <c r="W172" i="26" s="1"/>
  <c r="U183" i="26"/>
  <c r="W183" i="26" s="1"/>
  <c r="U182" i="26"/>
  <c r="W182" i="26" s="1"/>
  <c r="H159" i="28"/>
  <c r="U178" i="24"/>
  <c r="W178" i="24" s="1"/>
  <c r="U177" i="24"/>
  <c r="W177" i="24" s="1"/>
  <c r="U176" i="24"/>
  <c r="U175" i="24"/>
  <c r="W175" i="24" s="1"/>
  <c r="U188" i="24"/>
  <c r="W188" i="24" s="1"/>
  <c r="U187" i="24"/>
  <c r="W187" i="24" s="1"/>
  <c r="U175" i="25"/>
  <c r="W175" i="25" s="1"/>
  <c r="F160" i="24"/>
  <c r="G160" i="24"/>
  <c r="G159" i="24"/>
  <c r="G159" i="25"/>
  <c r="E159" i="24"/>
  <c r="F159" i="24"/>
  <c r="F161" i="25"/>
  <c r="G160" i="25"/>
  <c r="G158" i="24"/>
  <c r="F158" i="24"/>
  <c r="F157" i="24"/>
  <c r="E157" i="24"/>
  <c r="F155" i="24"/>
  <c r="E155" i="24"/>
  <c r="G157" i="24"/>
  <c r="G161" i="24"/>
  <c r="G156" i="25"/>
  <c r="F157" i="25"/>
  <c r="G155" i="24"/>
  <c r="H192" i="24"/>
  <c r="J192" i="24" s="1"/>
  <c r="F161" i="24"/>
  <c r="G161" i="25"/>
  <c r="F158" i="25"/>
  <c r="F161" i="26"/>
  <c r="D161" i="26"/>
  <c r="F156" i="25"/>
  <c r="G157" i="25"/>
  <c r="D161" i="25"/>
  <c r="U174" i="25"/>
  <c r="W174" i="25" s="1"/>
  <c r="U173" i="25"/>
  <c r="D159" i="25"/>
  <c r="A156" i="25"/>
  <c r="A157" i="25" s="1"/>
  <c r="A158" i="25" s="1"/>
  <c r="A159" i="25" s="1"/>
  <c r="A160" i="25" s="1"/>
  <c r="A161" i="25" s="1"/>
  <c r="A162" i="25" s="1"/>
  <c r="A163" i="25" s="1"/>
  <c r="A164" i="25" s="1"/>
  <c r="A165" i="25" s="1"/>
  <c r="A166" i="25" s="1"/>
  <c r="A167" i="25" s="1"/>
  <c r="A168" i="25" s="1"/>
  <c r="G155" i="25"/>
  <c r="H193" i="24"/>
  <c r="J193" i="24" s="1"/>
  <c r="A156" i="24"/>
  <c r="A157" i="24" s="1"/>
  <c r="A158" i="24" s="1"/>
  <c r="A159" i="24" s="1"/>
  <c r="A160" i="24" s="1"/>
  <c r="A161" i="24" s="1"/>
  <c r="A162" i="24" s="1"/>
  <c r="A163" i="24" s="1"/>
  <c r="A164" i="24" s="1"/>
  <c r="A165" i="24" s="1"/>
  <c r="A166" i="24" s="1"/>
  <c r="A167" i="24" s="1"/>
  <c r="A168" i="24" s="1"/>
  <c r="A169" i="24" s="1"/>
  <c r="A170" i="24" s="1"/>
  <c r="A171" i="24" s="1"/>
  <c r="E156" i="24"/>
  <c r="F156" i="24"/>
  <c r="U185" i="24"/>
  <c r="W185" i="24" s="1"/>
  <c r="U186" i="24"/>
  <c r="W186" i="24" s="1"/>
  <c r="G156" i="24"/>
  <c r="G157" i="26"/>
  <c r="G158" i="26"/>
  <c r="G155" i="26"/>
  <c r="G159" i="26"/>
  <c r="G156" i="26"/>
  <c r="G160" i="26"/>
  <c r="H157" i="28"/>
  <c r="H156" i="28"/>
  <c r="H158" i="28"/>
  <c r="H155" i="28"/>
  <c r="A156" i="26"/>
  <c r="A157" i="26" s="1"/>
  <c r="A158" i="26" s="1"/>
  <c r="A159" i="26" s="1"/>
  <c r="A160" i="26" s="1"/>
  <c r="A161" i="26" s="1"/>
  <c r="A162" i="26" s="1"/>
  <c r="A163" i="26" s="1"/>
  <c r="A164" i="26" s="1"/>
  <c r="A165" i="26" s="1"/>
  <c r="A166" i="26" s="1"/>
  <c r="A167" i="26" s="1"/>
  <c r="A168" i="26" s="1"/>
  <c r="D155" i="26"/>
  <c r="D156" i="26"/>
  <c r="D157" i="26"/>
  <c r="D158" i="26"/>
  <c r="D159" i="26"/>
  <c r="E160" i="26"/>
  <c r="E155" i="26"/>
  <c r="E156" i="26"/>
  <c r="E157" i="26"/>
  <c r="E158" i="26"/>
  <c r="E159" i="26"/>
  <c r="F160" i="26"/>
  <c r="F155" i="26"/>
  <c r="F156" i="26"/>
  <c r="F157" i="26"/>
  <c r="F158" i="26"/>
  <c r="F159" i="26"/>
  <c r="D155" i="25"/>
  <c r="D158" i="25"/>
  <c r="F159" i="25"/>
  <c r="F160" i="25"/>
  <c r="D157" i="25"/>
  <c r="G158" i="25"/>
  <c r="E161" i="25"/>
  <c r="E155" i="25"/>
  <c r="E156" i="25"/>
  <c r="E157" i="25"/>
  <c r="E158" i="25"/>
  <c r="E159" i="25"/>
  <c r="F155" i="25"/>
  <c r="E161" i="24"/>
  <c r="A524" i="22"/>
  <c r="A523" i="22"/>
  <c r="A440" i="22"/>
  <c r="A439" i="22"/>
  <c r="A333" i="22"/>
  <c r="A332" i="22"/>
  <c r="J211" i="22"/>
  <c r="J210" i="22"/>
  <c r="J209" i="22"/>
  <c r="E160" i="22"/>
  <c r="C156" i="22"/>
  <c r="D156" i="22" s="1"/>
  <c r="B156" i="22"/>
  <c r="C155" i="22"/>
  <c r="D155" i="22" s="1"/>
  <c r="B155" i="22"/>
  <c r="A155" i="22" s="1"/>
  <c r="J153" i="22"/>
  <c r="A153" i="22"/>
  <c r="J152" i="22"/>
  <c r="J150" i="22"/>
  <c r="J149" i="22"/>
  <c r="I149" i="22"/>
  <c r="J148" i="22"/>
  <c r="J147" i="22"/>
  <c r="J146" i="22"/>
  <c r="G168" i="22" s="1"/>
  <c r="J145" i="22"/>
  <c r="I145" i="22"/>
  <c r="H193" i="22" s="1"/>
  <c r="J193" i="22" s="1"/>
  <c r="J144" i="22"/>
  <c r="I144" i="22"/>
  <c r="J143" i="22"/>
  <c r="G165" i="22" s="1"/>
  <c r="I143" i="22"/>
  <c r="J142" i="22"/>
  <c r="G164" i="22" s="1"/>
  <c r="J141" i="22"/>
  <c r="J139" i="22"/>
  <c r="C279" i="22" s="1"/>
  <c r="I139" i="22"/>
  <c r="C278" i="22" s="1"/>
  <c r="J138" i="22"/>
  <c r="I138" i="22"/>
  <c r="J137" i="22"/>
  <c r="I137" i="22"/>
  <c r="C267" i="22" s="1"/>
  <c r="J136" i="22"/>
  <c r="C258" i="22" s="1"/>
  <c r="I136" i="22"/>
  <c r="C257" i="22" s="1"/>
  <c r="J135" i="22"/>
  <c r="C247" i="22" s="1"/>
  <c r="I135" i="22"/>
  <c r="C246" i="22" s="1"/>
  <c r="J134" i="22"/>
  <c r="C237" i="22" s="1"/>
  <c r="C236" i="22"/>
  <c r="J133" i="22"/>
  <c r="C224" i="22" s="1"/>
  <c r="I133" i="22"/>
  <c r="C223" i="22" s="1"/>
  <c r="A133" i="22"/>
  <c r="A134" i="22" s="1"/>
  <c r="A135" i="22" s="1"/>
  <c r="A136" i="22" s="1"/>
  <c r="A137" i="22" s="1"/>
  <c r="A138" i="22" s="1"/>
  <c r="A139" i="22" s="1"/>
  <c r="A140" i="22" s="1"/>
  <c r="A141" i="22" s="1"/>
  <c r="A142" i="22" s="1"/>
  <c r="A143" i="22" s="1"/>
  <c r="A144" i="22" s="1"/>
  <c r="A145" i="22" s="1"/>
  <c r="A146" i="22" s="1"/>
  <c r="A147" i="22" s="1"/>
  <c r="A148" i="22" s="1"/>
  <c r="A149" i="22" s="1"/>
  <c r="A150" i="22" s="1"/>
  <c r="A130" i="22"/>
  <c r="A129" i="22"/>
  <c r="J115" i="22"/>
  <c r="J114" i="22"/>
  <c r="J113" i="22"/>
  <c r="H167" i="26" l="1"/>
  <c r="H159" i="26"/>
  <c r="H186" i="25"/>
  <c r="J186" i="25" s="1"/>
  <c r="W185" i="25"/>
  <c r="H161" i="26"/>
  <c r="H167" i="25"/>
  <c r="H159" i="25"/>
  <c r="H161" i="25"/>
  <c r="H170" i="24"/>
  <c r="H168" i="24"/>
  <c r="H161" i="24"/>
  <c r="C291" i="22"/>
  <c r="F165" i="22"/>
  <c r="C304" i="22"/>
  <c r="G170" i="22"/>
  <c r="F171" i="22"/>
  <c r="F172" i="22"/>
  <c r="F166" i="22"/>
  <c r="F167" i="22"/>
  <c r="G171" i="22"/>
  <c r="G172" i="22"/>
  <c r="C290" i="22"/>
  <c r="G163" i="22"/>
  <c r="G167" i="22"/>
  <c r="G166" i="22"/>
  <c r="C302" i="22"/>
  <c r="G169" i="22"/>
  <c r="H185" i="25"/>
  <c r="J185" i="25" s="1"/>
  <c r="C268" i="22"/>
  <c r="C292" i="22"/>
  <c r="C311" i="22"/>
  <c r="H192" i="22"/>
  <c r="J192" i="22" s="1"/>
  <c r="C310" i="22"/>
  <c r="H187" i="25"/>
  <c r="J187" i="25" s="1"/>
  <c r="H188" i="25"/>
  <c r="J188" i="25" s="1"/>
  <c r="H186" i="26"/>
  <c r="J186" i="26" s="1"/>
  <c r="H185" i="26"/>
  <c r="J185" i="26" s="1"/>
  <c r="H187" i="26"/>
  <c r="J187" i="26" s="1"/>
  <c r="U178" i="22"/>
  <c r="W178" i="22" s="1"/>
  <c r="U175" i="22"/>
  <c r="U177" i="22"/>
  <c r="U176" i="22"/>
  <c r="W176" i="22" s="1"/>
  <c r="U188" i="22"/>
  <c r="W188" i="22" s="1"/>
  <c r="U179" i="22"/>
  <c r="W179" i="22" s="1"/>
  <c r="H159" i="24"/>
  <c r="H194" i="24"/>
  <c r="J194" i="24" s="1"/>
  <c r="W173" i="26"/>
  <c r="W171" i="26"/>
  <c r="H188" i="26"/>
  <c r="J188" i="26" s="1"/>
  <c r="W173" i="25"/>
  <c r="W171" i="25"/>
  <c r="W174" i="24"/>
  <c r="H197" i="24"/>
  <c r="J197" i="24" s="1"/>
  <c r="W176" i="24"/>
  <c r="H196" i="24"/>
  <c r="J196" i="24" s="1"/>
  <c r="H195" i="24"/>
  <c r="J195" i="24" s="1"/>
  <c r="H157" i="26"/>
  <c r="H155" i="25"/>
  <c r="H157" i="25"/>
  <c r="H156" i="25"/>
  <c r="H158" i="24"/>
  <c r="H157" i="24"/>
  <c r="G156" i="22"/>
  <c r="G160" i="22"/>
  <c r="H158" i="25"/>
  <c r="H156" i="26"/>
  <c r="H155" i="24"/>
  <c r="G157" i="22"/>
  <c r="F158" i="22"/>
  <c r="H156" i="24"/>
  <c r="H155" i="26"/>
  <c r="G158" i="22"/>
  <c r="E155" i="22"/>
  <c r="F155" i="22"/>
  <c r="G155" i="22"/>
  <c r="F160" i="22"/>
  <c r="E156" i="22"/>
  <c r="A156" i="22"/>
  <c r="A157" i="22" s="1"/>
  <c r="A158" i="22" s="1"/>
  <c r="A159" i="22" s="1"/>
  <c r="A160" i="22" s="1"/>
  <c r="A161" i="22" s="1"/>
  <c r="A162" i="22" s="1"/>
  <c r="A163" i="22" s="1"/>
  <c r="A164" i="22" s="1"/>
  <c r="A165" i="22" s="1"/>
  <c r="A166" i="22" s="1"/>
  <c r="A167" i="22" s="1"/>
  <c r="A168" i="22" s="1"/>
  <c r="A169" i="22" s="1"/>
  <c r="A170" i="22" s="1"/>
  <c r="A171" i="22" s="1"/>
  <c r="A172" i="22" s="1"/>
  <c r="E158" i="22"/>
  <c r="E157" i="22"/>
  <c r="E159" i="22"/>
  <c r="F157" i="22"/>
  <c r="F159" i="22"/>
  <c r="G159" i="22"/>
  <c r="U189" i="22"/>
  <c r="W189" i="22" s="1"/>
  <c r="U187" i="22"/>
  <c r="W187" i="22" s="1"/>
  <c r="U186" i="22"/>
  <c r="W186" i="22" s="1"/>
  <c r="G161" i="22"/>
  <c r="F156" i="22"/>
  <c r="H158" i="26"/>
  <c r="E161" i="22"/>
  <c r="F161" i="22"/>
  <c r="J135" i="21"/>
  <c r="C247" i="21" s="1"/>
  <c r="J136" i="21"/>
  <c r="C258" i="21" s="1"/>
  <c r="J137" i="21"/>
  <c r="J138" i="21"/>
  <c r="J139" i="21"/>
  <c r="C278" i="21" s="1"/>
  <c r="J141" i="21"/>
  <c r="G163" i="21" s="1"/>
  <c r="J142" i="21"/>
  <c r="G164" i="21" s="1"/>
  <c r="J143" i="21"/>
  <c r="G165" i="21" s="1"/>
  <c r="J144" i="21"/>
  <c r="G166" i="21" s="1"/>
  <c r="J145" i="21"/>
  <c r="G167" i="21" s="1"/>
  <c r="J146" i="21"/>
  <c r="J147" i="21"/>
  <c r="J148" i="21"/>
  <c r="J149" i="21"/>
  <c r="J176" i="21"/>
  <c r="J177" i="21"/>
  <c r="J178" i="21"/>
  <c r="J179" i="21"/>
  <c r="J181" i="21"/>
  <c r="J182" i="21"/>
  <c r="J183" i="21"/>
  <c r="J180" i="21"/>
  <c r="J184" i="21"/>
  <c r="J185" i="21"/>
  <c r="J186" i="21"/>
  <c r="J187" i="21"/>
  <c r="J190" i="21"/>
  <c r="A525" i="21"/>
  <c r="A524" i="21"/>
  <c r="A440" i="21"/>
  <c r="A439" i="21"/>
  <c r="A333" i="21"/>
  <c r="A332" i="21"/>
  <c r="J211" i="21"/>
  <c r="J210" i="21"/>
  <c r="J209" i="21"/>
  <c r="C156" i="21"/>
  <c r="B156" i="21"/>
  <c r="C155" i="21"/>
  <c r="B155" i="21"/>
  <c r="A155" i="21" s="1"/>
  <c r="J153" i="21"/>
  <c r="A153" i="21"/>
  <c r="J151" i="21"/>
  <c r="I149" i="21"/>
  <c r="I148" i="21"/>
  <c r="I145" i="21"/>
  <c r="F167" i="21" s="1"/>
  <c r="I144" i="21"/>
  <c r="F166" i="21" s="1"/>
  <c r="I143" i="21"/>
  <c r="I139" i="21"/>
  <c r="C277" i="21" s="1"/>
  <c r="I138" i="21"/>
  <c r="I137" i="21"/>
  <c r="C267" i="21" s="1"/>
  <c r="I136" i="21"/>
  <c r="C257" i="21" s="1"/>
  <c r="I135" i="21"/>
  <c r="C246" i="21" s="1"/>
  <c r="J134" i="21"/>
  <c r="C237" i="21" s="1"/>
  <c r="C236" i="21"/>
  <c r="J133" i="21"/>
  <c r="C224" i="21" s="1"/>
  <c r="I133" i="21"/>
  <c r="C223" i="21" s="1"/>
  <c r="A133" i="21"/>
  <c r="A134" i="21" s="1"/>
  <c r="A135" i="21" s="1"/>
  <c r="A136" i="21" s="1"/>
  <c r="A137" i="21" s="1"/>
  <c r="A138" i="21" s="1"/>
  <c r="A139" i="21" s="1"/>
  <c r="A140" i="21" s="1"/>
  <c r="A141" i="21" s="1"/>
  <c r="A142" i="21" s="1"/>
  <c r="A143" i="21" s="1"/>
  <c r="A144" i="21" s="1"/>
  <c r="A145" i="21" s="1"/>
  <c r="A146" i="21" s="1"/>
  <c r="A147" i="21" s="1"/>
  <c r="A148" i="21" s="1"/>
  <c r="A149" i="21" s="1"/>
  <c r="A130" i="21"/>
  <c r="A129" i="21"/>
  <c r="J115" i="21"/>
  <c r="J114" i="21"/>
  <c r="J113" i="21"/>
  <c r="A523" i="19"/>
  <c r="A522" i="19"/>
  <c r="A439" i="19"/>
  <c r="A438" i="19"/>
  <c r="A332" i="19"/>
  <c r="A331" i="19"/>
  <c r="J210" i="19"/>
  <c r="J209" i="19"/>
  <c r="J208" i="19"/>
  <c r="C161" i="19"/>
  <c r="E161" i="19" s="1"/>
  <c r="B161" i="19"/>
  <c r="C160" i="19"/>
  <c r="B160" i="19"/>
  <c r="C159" i="19"/>
  <c r="B159" i="19"/>
  <c r="C158" i="19"/>
  <c r="B158" i="19"/>
  <c r="C157" i="19"/>
  <c r="B157" i="19"/>
  <c r="C156" i="19"/>
  <c r="B156" i="19"/>
  <c r="C155" i="19"/>
  <c r="B155" i="19"/>
  <c r="A155" i="19" s="1"/>
  <c r="J153" i="19"/>
  <c r="A153" i="19"/>
  <c r="J152" i="19"/>
  <c r="J151" i="19"/>
  <c r="J149" i="19"/>
  <c r="J148" i="19"/>
  <c r="J147" i="19"/>
  <c r="J146" i="19"/>
  <c r="J145" i="19"/>
  <c r="G167" i="19" s="1"/>
  <c r="I145" i="19"/>
  <c r="F167" i="19" s="1"/>
  <c r="J144" i="19"/>
  <c r="G166" i="19" s="1"/>
  <c r="I144" i="19"/>
  <c r="F166" i="19" s="1"/>
  <c r="J143" i="19"/>
  <c r="I143" i="19"/>
  <c r="F165" i="19" s="1"/>
  <c r="J142" i="19"/>
  <c r="G164" i="19" s="1"/>
  <c r="J141" i="19"/>
  <c r="G163" i="19" s="1"/>
  <c r="J139" i="19"/>
  <c r="C277" i="19" s="1"/>
  <c r="I139" i="19"/>
  <c r="C276" i="19" s="1"/>
  <c r="J138" i="19"/>
  <c r="I138" i="19"/>
  <c r="J137" i="19"/>
  <c r="I137" i="19"/>
  <c r="C266" i="19" s="1"/>
  <c r="J136" i="19"/>
  <c r="C257" i="19" s="1"/>
  <c r="I136" i="19"/>
  <c r="C256" i="19" s="1"/>
  <c r="J135" i="19"/>
  <c r="C246" i="19" s="1"/>
  <c r="I135" i="19"/>
  <c r="C245" i="19" s="1"/>
  <c r="J134" i="19"/>
  <c r="C236" i="19" s="1"/>
  <c r="C235" i="19"/>
  <c r="J133" i="19"/>
  <c r="C223" i="19" s="1"/>
  <c r="I133" i="19"/>
  <c r="C222" i="19" s="1"/>
  <c r="A133" i="19"/>
  <c r="A134" i="19" s="1"/>
  <c r="A135" i="19" s="1"/>
  <c r="A136" i="19" s="1"/>
  <c r="A137" i="19" s="1"/>
  <c r="A138" i="19" s="1"/>
  <c r="A139" i="19" s="1"/>
  <c r="A140" i="19" s="1"/>
  <c r="A141" i="19" s="1"/>
  <c r="A142" i="19" s="1"/>
  <c r="A143" i="19" s="1"/>
  <c r="A144" i="19" s="1"/>
  <c r="A145" i="19" s="1"/>
  <c r="A146" i="19" s="1"/>
  <c r="A147" i="19" s="1"/>
  <c r="A130" i="19"/>
  <c r="A129" i="19"/>
  <c r="J115" i="19"/>
  <c r="J114" i="19"/>
  <c r="J113" i="19"/>
  <c r="J136" i="18"/>
  <c r="C257" i="18" s="1"/>
  <c r="J137" i="18"/>
  <c r="J138" i="18"/>
  <c r="J139" i="18"/>
  <c r="C278" i="18" s="1"/>
  <c r="J141" i="18"/>
  <c r="J142" i="18"/>
  <c r="G164" i="18" s="1"/>
  <c r="J143" i="18"/>
  <c r="G165" i="18" s="1"/>
  <c r="J144" i="18"/>
  <c r="G166" i="18" s="1"/>
  <c r="J145" i="18"/>
  <c r="G167" i="18" s="1"/>
  <c r="J146" i="18"/>
  <c r="J147" i="18"/>
  <c r="J148" i="18"/>
  <c r="J149" i="18"/>
  <c r="J151" i="18"/>
  <c r="A524" i="18"/>
  <c r="A523" i="18"/>
  <c r="A439" i="18"/>
  <c r="A438" i="18"/>
  <c r="A332" i="18"/>
  <c r="A331" i="18"/>
  <c r="J210" i="18"/>
  <c r="J209" i="18"/>
  <c r="J208" i="18"/>
  <c r="C161" i="18"/>
  <c r="C160" i="18"/>
  <c r="E160" i="18" s="1"/>
  <c r="B160" i="18"/>
  <c r="C159" i="18"/>
  <c r="E159" i="18" s="1"/>
  <c r="B159" i="18"/>
  <c r="C158" i="18"/>
  <c r="E158" i="18" s="1"/>
  <c r="B158" i="18"/>
  <c r="C157" i="18"/>
  <c r="E157" i="18" s="1"/>
  <c r="B157" i="18"/>
  <c r="C156" i="18"/>
  <c r="E156" i="18" s="1"/>
  <c r="B156" i="18"/>
  <c r="C155" i="18"/>
  <c r="E155" i="18" s="1"/>
  <c r="B155" i="18"/>
  <c r="A155" i="18" s="1"/>
  <c r="J153" i="18"/>
  <c r="A153" i="18"/>
  <c r="J152" i="18"/>
  <c r="I145" i="18"/>
  <c r="F167" i="18" s="1"/>
  <c r="I144" i="18"/>
  <c r="F166" i="18" s="1"/>
  <c r="I143" i="18"/>
  <c r="F165" i="18" s="1"/>
  <c r="I139" i="18"/>
  <c r="C277" i="18" s="1"/>
  <c r="I138" i="18"/>
  <c r="I137" i="18"/>
  <c r="C266" i="18" s="1"/>
  <c r="I136" i="18"/>
  <c r="C256" i="18" s="1"/>
  <c r="J135" i="18"/>
  <c r="C246" i="18" s="1"/>
  <c r="I135" i="18"/>
  <c r="C245" i="18" s="1"/>
  <c r="J134" i="18"/>
  <c r="C236" i="18" s="1"/>
  <c r="C235" i="18"/>
  <c r="J133" i="18"/>
  <c r="C223" i="18" s="1"/>
  <c r="I133" i="18"/>
  <c r="C222" i="18" s="1"/>
  <c r="A133" i="18"/>
  <c r="A134" i="18" s="1"/>
  <c r="A135" i="18" s="1"/>
  <c r="A136" i="18" s="1"/>
  <c r="A137" i="18" s="1"/>
  <c r="A138" i="18" s="1"/>
  <c r="A139" i="18" s="1"/>
  <c r="A140" i="18" s="1"/>
  <c r="A141" i="18" s="1"/>
  <c r="A142" i="18" s="1"/>
  <c r="A143" i="18" s="1"/>
  <c r="A144" i="18" s="1"/>
  <c r="A145" i="18" s="1"/>
  <c r="A146" i="18" s="1"/>
  <c r="A147" i="18" s="1"/>
  <c r="A130" i="18"/>
  <c r="A129" i="18"/>
  <c r="J115" i="18"/>
  <c r="J114" i="18"/>
  <c r="J113" i="18"/>
  <c r="J175" i="17"/>
  <c r="J176" i="17"/>
  <c r="J177" i="17"/>
  <c r="J178" i="17"/>
  <c r="J179" i="17"/>
  <c r="J180" i="17"/>
  <c r="J181" i="17"/>
  <c r="J182" i="17"/>
  <c r="J183" i="17"/>
  <c r="J184" i="17"/>
  <c r="J185" i="17"/>
  <c r="J186" i="17"/>
  <c r="J187" i="17"/>
  <c r="J196" i="17"/>
  <c r="A525" i="17"/>
  <c r="A524" i="17"/>
  <c r="A440" i="17"/>
  <c r="A439" i="17"/>
  <c r="A333" i="17"/>
  <c r="A332" i="17"/>
  <c r="J211" i="17"/>
  <c r="J210" i="17"/>
  <c r="J209" i="17"/>
  <c r="J197" i="17"/>
  <c r="E161" i="17"/>
  <c r="C156" i="17"/>
  <c r="B156" i="17"/>
  <c r="C155" i="17"/>
  <c r="B155" i="17"/>
  <c r="A155" i="17" s="1"/>
  <c r="J153" i="17"/>
  <c r="A153" i="17"/>
  <c r="J152" i="17"/>
  <c r="J149" i="17"/>
  <c r="I149" i="17"/>
  <c r="J148" i="17"/>
  <c r="I148" i="17"/>
  <c r="J147" i="17"/>
  <c r="J146" i="17"/>
  <c r="J145" i="17"/>
  <c r="G167" i="17" s="1"/>
  <c r="I145" i="17"/>
  <c r="J144" i="17"/>
  <c r="G166" i="17" s="1"/>
  <c r="I144" i="17"/>
  <c r="F166" i="17" s="1"/>
  <c r="J143" i="17"/>
  <c r="G165" i="17" s="1"/>
  <c r="U174" i="17"/>
  <c r="J142" i="17"/>
  <c r="G164" i="17" s="1"/>
  <c r="J141" i="17"/>
  <c r="J139" i="17"/>
  <c r="C279" i="17" s="1"/>
  <c r="I139" i="17"/>
  <c r="C278" i="17" s="1"/>
  <c r="J138" i="17"/>
  <c r="I138" i="17"/>
  <c r="J137" i="17"/>
  <c r="I137" i="17"/>
  <c r="C267" i="17" s="1"/>
  <c r="J136" i="17"/>
  <c r="C258" i="17" s="1"/>
  <c r="I136" i="17"/>
  <c r="C257" i="17" s="1"/>
  <c r="J135" i="17"/>
  <c r="C247" i="17" s="1"/>
  <c r="I135" i="17"/>
  <c r="C246" i="17" s="1"/>
  <c r="J134" i="17"/>
  <c r="C237" i="17" s="1"/>
  <c r="C236" i="17"/>
  <c r="J133" i="17"/>
  <c r="C224" i="17" s="1"/>
  <c r="I133" i="17"/>
  <c r="C223" i="17" s="1"/>
  <c r="A133" i="17"/>
  <c r="A134" i="17" s="1"/>
  <c r="A135" i="17" s="1"/>
  <c r="A136" i="17" s="1"/>
  <c r="A137" i="17" s="1"/>
  <c r="A138" i="17" s="1"/>
  <c r="A139" i="17" s="1"/>
  <c r="A140" i="17" s="1"/>
  <c r="A141" i="17" s="1"/>
  <c r="A142" i="17" s="1"/>
  <c r="A143" i="17" s="1"/>
  <c r="A144" i="17" s="1"/>
  <c r="A145" i="17" s="1"/>
  <c r="A146" i="17" s="1"/>
  <c r="A147" i="17" s="1"/>
  <c r="A148" i="17" s="1"/>
  <c r="A149" i="17" s="1"/>
  <c r="A130" i="17"/>
  <c r="A129" i="17"/>
  <c r="J115" i="17"/>
  <c r="J114" i="17"/>
  <c r="J113" i="17"/>
  <c r="J176" i="15"/>
  <c r="J180" i="15"/>
  <c r="J181" i="15"/>
  <c r="J182" i="15"/>
  <c r="J183" i="15"/>
  <c r="J184" i="15"/>
  <c r="J185" i="15"/>
  <c r="J186" i="15"/>
  <c r="J187" i="15"/>
  <c r="J188" i="15"/>
  <c r="J189" i="15"/>
  <c r="J190" i="15"/>
  <c r="J198" i="15"/>
  <c r="J199" i="15"/>
  <c r="C268" i="17" l="1"/>
  <c r="C302" i="21"/>
  <c r="G169" i="21"/>
  <c r="C300" i="21"/>
  <c r="G168" i="21"/>
  <c r="C290" i="21"/>
  <c r="F165" i="21"/>
  <c r="H163" i="21" s="1"/>
  <c r="C308" i="21"/>
  <c r="F170" i="21"/>
  <c r="F171" i="21"/>
  <c r="G171" i="21"/>
  <c r="G170" i="21"/>
  <c r="C267" i="19"/>
  <c r="C291" i="19"/>
  <c r="G165" i="19"/>
  <c r="H163" i="19" s="1"/>
  <c r="C290" i="18"/>
  <c r="G163" i="18"/>
  <c r="H163" i="18" s="1"/>
  <c r="C304" i="18"/>
  <c r="G169" i="18"/>
  <c r="C302" i="18"/>
  <c r="G168" i="18"/>
  <c r="C267" i="18"/>
  <c r="C310" i="17"/>
  <c r="G170" i="17"/>
  <c r="G171" i="17"/>
  <c r="H190" i="17"/>
  <c r="J190" i="17" s="1"/>
  <c r="F167" i="17"/>
  <c r="C290" i="17"/>
  <c r="G163" i="17"/>
  <c r="C302" i="17"/>
  <c r="G168" i="17"/>
  <c r="C304" i="17"/>
  <c r="G169" i="17"/>
  <c r="C309" i="17"/>
  <c r="F170" i="17"/>
  <c r="F171" i="17"/>
  <c r="C301" i="19"/>
  <c r="G168" i="19"/>
  <c r="C303" i="19"/>
  <c r="G169" i="19"/>
  <c r="H161" i="22"/>
  <c r="H169" i="22"/>
  <c r="H159" i="22"/>
  <c r="H171" i="22"/>
  <c r="H163" i="22"/>
  <c r="C289" i="21"/>
  <c r="C309" i="21"/>
  <c r="C291" i="21"/>
  <c r="C268" i="21"/>
  <c r="C289" i="19"/>
  <c r="C290" i="19"/>
  <c r="U172" i="19"/>
  <c r="U173" i="19"/>
  <c r="W173" i="19" s="1"/>
  <c r="C291" i="18"/>
  <c r="U172" i="18"/>
  <c r="C292" i="18"/>
  <c r="C292" i="17"/>
  <c r="U174" i="21"/>
  <c r="U175" i="21"/>
  <c r="W175" i="21" s="1"/>
  <c r="U188" i="21"/>
  <c r="W188" i="21" s="1"/>
  <c r="U187" i="21"/>
  <c r="W187" i="21" s="1"/>
  <c r="U178" i="21"/>
  <c r="W178" i="21" s="1"/>
  <c r="U177" i="21"/>
  <c r="W177" i="21" s="1"/>
  <c r="U176" i="21"/>
  <c r="U177" i="17"/>
  <c r="W177" i="17" s="1"/>
  <c r="U175" i="17"/>
  <c r="W175" i="17" s="1"/>
  <c r="U187" i="17"/>
  <c r="W187" i="17" s="1"/>
  <c r="U188" i="17"/>
  <c r="W188" i="17" s="1"/>
  <c r="U178" i="17"/>
  <c r="W178" i="17" s="1"/>
  <c r="U176" i="17"/>
  <c r="U185" i="21"/>
  <c r="W185" i="21" s="1"/>
  <c r="U184" i="18"/>
  <c r="U183" i="18"/>
  <c r="W183" i="18" s="1"/>
  <c r="U175" i="18"/>
  <c r="U176" i="18"/>
  <c r="W176" i="18" s="1"/>
  <c r="U185" i="18"/>
  <c r="W185" i="18" s="1"/>
  <c r="U174" i="18"/>
  <c r="W174" i="18" s="1"/>
  <c r="U173" i="18"/>
  <c r="W173" i="18" s="1"/>
  <c r="U186" i="18"/>
  <c r="W186" i="18" s="1"/>
  <c r="U175" i="19"/>
  <c r="W175" i="19" s="1"/>
  <c r="U176" i="19"/>
  <c r="W176" i="19" s="1"/>
  <c r="U186" i="19"/>
  <c r="W186" i="19" s="1"/>
  <c r="U185" i="19"/>
  <c r="W185" i="19" s="1"/>
  <c r="U174" i="19"/>
  <c r="H194" i="22"/>
  <c r="J194" i="22" s="1"/>
  <c r="H195" i="22"/>
  <c r="J195" i="22" s="1"/>
  <c r="W175" i="22"/>
  <c r="H197" i="22"/>
  <c r="J197" i="22" s="1"/>
  <c r="W177" i="22"/>
  <c r="H196" i="22"/>
  <c r="J196" i="22" s="1"/>
  <c r="H156" i="22"/>
  <c r="H157" i="22"/>
  <c r="G161" i="18"/>
  <c r="G161" i="21"/>
  <c r="G156" i="17"/>
  <c r="G160" i="18"/>
  <c r="H155" i="22"/>
  <c r="A156" i="17"/>
  <c r="A157" i="17" s="1"/>
  <c r="A158" i="17" s="1"/>
  <c r="A159" i="17" s="1"/>
  <c r="A160" i="17" s="1"/>
  <c r="A161" i="17" s="1"/>
  <c r="A162" i="17" s="1"/>
  <c r="A163" i="17" s="1"/>
  <c r="A164" i="17" s="1"/>
  <c r="A165" i="17" s="1"/>
  <c r="A166" i="17" s="1"/>
  <c r="A167" i="17" s="1"/>
  <c r="A168" i="17" s="1"/>
  <c r="A169" i="17" s="1"/>
  <c r="A170" i="17" s="1"/>
  <c r="A171" i="17" s="1"/>
  <c r="G160" i="17"/>
  <c r="G160" i="21"/>
  <c r="H158" i="22"/>
  <c r="H189" i="17"/>
  <c r="J189" i="17" s="1"/>
  <c r="A156" i="18"/>
  <c r="A157" i="18" s="1"/>
  <c r="A158" i="18" s="1"/>
  <c r="A159" i="18" s="1"/>
  <c r="A160" i="18" s="1"/>
  <c r="A161" i="18" s="1"/>
  <c r="A162" i="18" s="1"/>
  <c r="A163" i="18" s="1"/>
  <c r="A164" i="18" s="1"/>
  <c r="A165" i="18" s="1"/>
  <c r="A166" i="18" s="1"/>
  <c r="A167" i="18" s="1"/>
  <c r="A168" i="18" s="1"/>
  <c r="A169" i="18" s="1"/>
  <c r="F161" i="18"/>
  <c r="G155" i="17"/>
  <c r="G159" i="17"/>
  <c r="D156" i="18"/>
  <c r="G156" i="18"/>
  <c r="A156" i="19"/>
  <c r="A157" i="19" s="1"/>
  <c r="A158" i="19" s="1"/>
  <c r="A159" i="19" s="1"/>
  <c r="A160" i="19" s="1"/>
  <c r="A161" i="19" s="1"/>
  <c r="A162" i="19" s="1"/>
  <c r="A163" i="19" s="1"/>
  <c r="A164" i="19" s="1"/>
  <c r="A165" i="19" s="1"/>
  <c r="A166" i="19" s="1"/>
  <c r="A167" i="19" s="1"/>
  <c r="A168" i="19" s="1"/>
  <c r="A169" i="19" s="1"/>
  <c r="G156" i="19"/>
  <c r="G160" i="19"/>
  <c r="G156" i="21"/>
  <c r="G157" i="21"/>
  <c r="F161" i="21"/>
  <c r="H193" i="21"/>
  <c r="J193" i="21" s="1"/>
  <c r="G158" i="21"/>
  <c r="E161" i="21"/>
  <c r="H192" i="21"/>
  <c r="J192" i="21" s="1"/>
  <c r="U186" i="21"/>
  <c r="W186" i="21" s="1"/>
  <c r="G157" i="19"/>
  <c r="F161" i="19"/>
  <c r="G158" i="19"/>
  <c r="G161" i="19"/>
  <c r="U184" i="19"/>
  <c r="W184" i="19" s="1"/>
  <c r="U183" i="19"/>
  <c r="W183" i="19" s="1"/>
  <c r="G155" i="19"/>
  <c r="G159" i="19"/>
  <c r="F155" i="18"/>
  <c r="D161" i="18"/>
  <c r="F160" i="18"/>
  <c r="G155" i="18"/>
  <c r="D159" i="18"/>
  <c r="F159" i="18"/>
  <c r="D158" i="18"/>
  <c r="F158" i="18"/>
  <c r="G159" i="18"/>
  <c r="D157" i="18"/>
  <c r="F157" i="18"/>
  <c r="G158" i="18"/>
  <c r="D155" i="18"/>
  <c r="G157" i="18"/>
  <c r="F156" i="18"/>
  <c r="U185" i="17"/>
  <c r="W185" i="17" s="1"/>
  <c r="U186" i="17"/>
  <c r="W186" i="17" s="1"/>
  <c r="G157" i="17"/>
  <c r="H194" i="17"/>
  <c r="G158" i="17"/>
  <c r="G155" i="21"/>
  <c r="G159" i="21"/>
  <c r="A156" i="21"/>
  <c r="A157" i="21" s="1"/>
  <c r="A158" i="21" s="1"/>
  <c r="A159" i="21" s="1"/>
  <c r="A160" i="21" s="1"/>
  <c r="A161" i="21" s="1"/>
  <c r="A162" i="21" s="1"/>
  <c r="A163" i="21" s="1"/>
  <c r="A164" i="21" s="1"/>
  <c r="A165" i="21" s="1"/>
  <c r="A166" i="21" s="1"/>
  <c r="A167" i="21" s="1"/>
  <c r="A168" i="21" s="1"/>
  <c r="A169" i="21" s="1"/>
  <c r="A170" i="21" s="1"/>
  <c r="A171" i="21" s="1"/>
  <c r="D155" i="21"/>
  <c r="D156" i="21"/>
  <c r="E160" i="21"/>
  <c r="E155" i="21"/>
  <c r="E156" i="21"/>
  <c r="E157" i="21"/>
  <c r="E158" i="21"/>
  <c r="E159" i="21"/>
  <c r="F160" i="21"/>
  <c r="F155" i="21"/>
  <c r="F156" i="21"/>
  <c r="F157" i="21"/>
  <c r="F158" i="21"/>
  <c r="F159" i="21"/>
  <c r="D161" i="19"/>
  <c r="D155" i="19"/>
  <c r="D156" i="19"/>
  <c r="D157" i="19"/>
  <c r="D158" i="19"/>
  <c r="D159" i="19"/>
  <c r="E160" i="19"/>
  <c r="E155" i="19"/>
  <c r="E156" i="19"/>
  <c r="E157" i="19"/>
  <c r="E158" i="19"/>
  <c r="E159" i="19"/>
  <c r="F160" i="19"/>
  <c r="F155" i="19"/>
  <c r="F156" i="19"/>
  <c r="F157" i="19"/>
  <c r="F158" i="19"/>
  <c r="F159" i="19"/>
  <c r="E161" i="18"/>
  <c r="D155" i="17"/>
  <c r="F161" i="17"/>
  <c r="E155" i="17"/>
  <c r="E156" i="17"/>
  <c r="E157" i="17"/>
  <c r="E158" i="17"/>
  <c r="E159" i="17"/>
  <c r="F160" i="17"/>
  <c r="G161" i="17"/>
  <c r="D156" i="17"/>
  <c r="E160" i="17"/>
  <c r="F155" i="17"/>
  <c r="F156" i="17"/>
  <c r="F157" i="17"/>
  <c r="F158" i="17"/>
  <c r="F159" i="17"/>
  <c r="H170" i="17" l="1"/>
  <c r="H161" i="17"/>
  <c r="H161" i="18"/>
  <c r="H159" i="21"/>
  <c r="H168" i="21"/>
  <c r="H161" i="21"/>
  <c r="H170" i="21"/>
  <c r="H168" i="18"/>
  <c r="H186" i="18"/>
  <c r="J186" i="18" s="1"/>
  <c r="W184" i="18"/>
  <c r="H163" i="17"/>
  <c r="H168" i="17"/>
  <c r="H161" i="19"/>
  <c r="H168" i="19"/>
  <c r="H155" i="17"/>
  <c r="H193" i="17"/>
  <c r="J193" i="17" s="1"/>
  <c r="H186" i="19"/>
  <c r="J186" i="19" s="1"/>
  <c r="H194" i="21"/>
  <c r="J194" i="21" s="1"/>
  <c r="H191" i="17"/>
  <c r="J191" i="17" s="1"/>
  <c r="H195" i="21"/>
  <c r="J195" i="21" s="1"/>
  <c r="W176" i="21"/>
  <c r="H196" i="21"/>
  <c r="J196" i="21" s="1"/>
  <c r="W174" i="21"/>
  <c r="H197" i="21"/>
  <c r="J197" i="21" s="1"/>
  <c r="H187" i="19"/>
  <c r="J187" i="19" s="1"/>
  <c r="W172" i="19"/>
  <c r="H189" i="19"/>
  <c r="J189" i="19" s="1"/>
  <c r="W174" i="19"/>
  <c r="H188" i="19"/>
  <c r="J188" i="19" s="1"/>
  <c r="H187" i="18"/>
  <c r="J187" i="18" s="1"/>
  <c r="W175" i="18"/>
  <c r="H188" i="18"/>
  <c r="J188" i="18" s="1"/>
  <c r="W172" i="18"/>
  <c r="H189" i="18"/>
  <c r="J189" i="18" s="1"/>
  <c r="H192" i="17"/>
  <c r="J192" i="17" s="1"/>
  <c r="H156" i="17"/>
  <c r="W174" i="17"/>
  <c r="W176" i="17"/>
  <c r="H156" i="19"/>
  <c r="H155" i="19"/>
  <c r="H157" i="19"/>
  <c r="H155" i="21"/>
  <c r="H156" i="21"/>
  <c r="H158" i="19"/>
  <c r="H155" i="18"/>
  <c r="H158" i="18"/>
  <c r="H158" i="21"/>
  <c r="J194" i="17"/>
  <c r="H157" i="18"/>
  <c r="H157" i="17"/>
  <c r="H159" i="18"/>
  <c r="H156" i="18"/>
  <c r="H157" i="21"/>
  <c r="H159" i="19"/>
  <c r="H158" i="17"/>
  <c r="H159" i="17"/>
  <c r="A525" i="15" l="1"/>
  <c r="A524" i="15"/>
  <c r="A440" i="15"/>
  <c r="A439" i="15"/>
  <c r="A333" i="15"/>
  <c r="A332" i="15"/>
  <c r="J211" i="15"/>
  <c r="J210" i="15"/>
  <c r="J209" i="15"/>
  <c r="C156" i="15"/>
  <c r="B156" i="15"/>
  <c r="C155" i="15"/>
  <c r="E155" i="15" s="1"/>
  <c r="B155" i="15"/>
  <c r="A155" i="15" s="1"/>
  <c r="J153" i="15"/>
  <c r="A153" i="15"/>
  <c r="J152" i="15"/>
  <c r="J150" i="15"/>
  <c r="G172" i="15" s="1"/>
  <c r="I150" i="15"/>
  <c r="F172" i="15" s="1"/>
  <c r="J149" i="15"/>
  <c r="I149" i="15"/>
  <c r="J148" i="15"/>
  <c r="J147" i="15"/>
  <c r="J146" i="15"/>
  <c r="G168" i="15" s="1"/>
  <c r="I146" i="15"/>
  <c r="F168" i="15" s="1"/>
  <c r="J145" i="15"/>
  <c r="G167" i="15" s="1"/>
  <c r="I145" i="15"/>
  <c r="F167" i="15" s="1"/>
  <c r="J144" i="15"/>
  <c r="G166" i="15" s="1"/>
  <c r="I144" i="15"/>
  <c r="F166" i="15" s="1"/>
  <c r="J143" i="15"/>
  <c r="G165" i="15" s="1"/>
  <c r="I143" i="15"/>
  <c r="J142" i="15"/>
  <c r="G164" i="15" s="1"/>
  <c r="J141" i="15"/>
  <c r="G163" i="15" s="1"/>
  <c r="J139" i="15"/>
  <c r="C279" i="15" s="1"/>
  <c r="I139" i="15"/>
  <c r="C278" i="15" s="1"/>
  <c r="J138" i="15"/>
  <c r="I138" i="15"/>
  <c r="J137" i="15"/>
  <c r="I137" i="15"/>
  <c r="C267" i="15" s="1"/>
  <c r="J136" i="15"/>
  <c r="C258" i="15" s="1"/>
  <c r="I136" i="15"/>
  <c r="C257" i="15" s="1"/>
  <c r="J135" i="15"/>
  <c r="C247" i="15" s="1"/>
  <c r="I135" i="15"/>
  <c r="C246" i="15" s="1"/>
  <c r="J134" i="15"/>
  <c r="C237" i="15" s="1"/>
  <c r="C236" i="15"/>
  <c r="J133" i="15"/>
  <c r="C224" i="15" s="1"/>
  <c r="I133" i="15"/>
  <c r="C223" i="15" s="1"/>
  <c r="A133" i="15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30" i="15"/>
  <c r="A129" i="15"/>
  <c r="J115" i="15"/>
  <c r="J114" i="15"/>
  <c r="J113" i="15"/>
  <c r="J176" i="14"/>
  <c r="J177" i="14"/>
  <c r="J178" i="14"/>
  <c r="J179" i="14"/>
  <c r="J180" i="14"/>
  <c r="J181" i="14"/>
  <c r="J182" i="14"/>
  <c r="J183" i="14"/>
  <c r="J184" i="14"/>
  <c r="J185" i="14"/>
  <c r="J186" i="14"/>
  <c r="J187" i="14"/>
  <c r="J188" i="14"/>
  <c r="J189" i="14"/>
  <c r="J198" i="14"/>
  <c r="J199" i="14"/>
  <c r="E158" i="14"/>
  <c r="E160" i="14"/>
  <c r="B156" i="14"/>
  <c r="J135" i="14"/>
  <c r="J136" i="14"/>
  <c r="J137" i="14"/>
  <c r="J138" i="14"/>
  <c r="G160" i="14" s="1"/>
  <c r="J139" i="14"/>
  <c r="C279" i="14" s="1"/>
  <c r="J141" i="14"/>
  <c r="G163" i="14" s="1"/>
  <c r="J142" i="14"/>
  <c r="G164" i="14" s="1"/>
  <c r="J143" i="14"/>
  <c r="G165" i="14" s="1"/>
  <c r="J144" i="14"/>
  <c r="J145" i="14"/>
  <c r="J146" i="14"/>
  <c r="G168" i="14" s="1"/>
  <c r="J147" i="14"/>
  <c r="G169" i="14" s="1"/>
  <c r="J148" i="14"/>
  <c r="G170" i="14" s="1"/>
  <c r="J149" i="14"/>
  <c r="J150" i="14"/>
  <c r="I144" i="13"/>
  <c r="F166" i="13" s="1"/>
  <c r="I145" i="13"/>
  <c r="F167" i="13" s="1"/>
  <c r="I150" i="14"/>
  <c r="I144" i="14"/>
  <c r="I145" i="14"/>
  <c r="I146" i="14"/>
  <c r="F168" i="14" s="1"/>
  <c r="I149" i="14"/>
  <c r="A525" i="14"/>
  <c r="A524" i="14"/>
  <c r="A440" i="14"/>
  <c r="A439" i="14"/>
  <c r="A333" i="14"/>
  <c r="A332" i="14"/>
  <c r="J211" i="14"/>
  <c r="J210" i="14"/>
  <c r="J209" i="14"/>
  <c r="E159" i="14"/>
  <c r="E157" i="14"/>
  <c r="C156" i="14"/>
  <c r="D156" i="14" s="1"/>
  <c r="C155" i="14"/>
  <c r="D155" i="14" s="1"/>
  <c r="B155" i="14"/>
  <c r="A155" i="14" s="1"/>
  <c r="J153" i="14"/>
  <c r="A153" i="14"/>
  <c r="J152" i="14"/>
  <c r="I143" i="14"/>
  <c r="I139" i="14"/>
  <c r="C278" i="14" s="1"/>
  <c r="I138" i="14"/>
  <c r="I137" i="14"/>
  <c r="C267" i="14" s="1"/>
  <c r="I136" i="14"/>
  <c r="C257" i="14" s="1"/>
  <c r="I135" i="14"/>
  <c r="C246" i="14" s="1"/>
  <c r="J134" i="14"/>
  <c r="C237" i="14" s="1"/>
  <c r="C236" i="14"/>
  <c r="J133" i="14"/>
  <c r="C224" i="14" s="1"/>
  <c r="I133" i="14"/>
  <c r="C223" i="14" s="1"/>
  <c r="A133" i="14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30" i="14"/>
  <c r="A129" i="14"/>
  <c r="J115" i="14"/>
  <c r="J114" i="14"/>
  <c r="J113" i="14"/>
  <c r="J175" i="13"/>
  <c r="J176" i="13"/>
  <c r="J177" i="13"/>
  <c r="J178" i="13"/>
  <c r="J179" i="13"/>
  <c r="J180" i="13"/>
  <c r="J181" i="13"/>
  <c r="J184" i="13"/>
  <c r="J185" i="13"/>
  <c r="J186" i="13"/>
  <c r="J187" i="13"/>
  <c r="J196" i="13"/>
  <c r="G167" i="14" l="1"/>
  <c r="G166" i="14"/>
  <c r="C291" i="14"/>
  <c r="F165" i="14"/>
  <c r="C310" i="14"/>
  <c r="F172" i="14"/>
  <c r="F171" i="14"/>
  <c r="G172" i="14"/>
  <c r="G171" i="14"/>
  <c r="H169" i="14"/>
  <c r="F167" i="14"/>
  <c r="F166" i="14"/>
  <c r="C292" i="15"/>
  <c r="F165" i="15"/>
  <c r="H163" i="15" s="1"/>
  <c r="C302" i="15"/>
  <c r="G169" i="15"/>
  <c r="C304" i="15"/>
  <c r="G170" i="15"/>
  <c r="C309" i="15"/>
  <c r="F171" i="15"/>
  <c r="C310" i="15"/>
  <c r="G171" i="15"/>
  <c r="G159" i="15"/>
  <c r="C268" i="15"/>
  <c r="C293" i="15"/>
  <c r="C291" i="15"/>
  <c r="C302" i="14"/>
  <c r="G159" i="14"/>
  <c r="C268" i="14"/>
  <c r="G158" i="14"/>
  <c r="C258" i="14"/>
  <c r="G157" i="14"/>
  <c r="C247" i="14"/>
  <c r="C292" i="14"/>
  <c r="C311" i="14"/>
  <c r="C290" i="14"/>
  <c r="C304" i="14"/>
  <c r="G161" i="14"/>
  <c r="U175" i="14"/>
  <c r="U175" i="15"/>
  <c r="H191" i="14"/>
  <c r="J191" i="14" s="1"/>
  <c r="U188" i="14"/>
  <c r="W188" i="14" s="1"/>
  <c r="U177" i="14"/>
  <c r="U179" i="14"/>
  <c r="W179" i="14" s="1"/>
  <c r="U178" i="14"/>
  <c r="W178" i="14" s="1"/>
  <c r="U176" i="14"/>
  <c r="W176" i="14" s="1"/>
  <c r="H192" i="14"/>
  <c r="J192" i="14" s="1"/>
  <c r="H192" i="15"/>
  <c r="J192" i="15" s="1"/>
  <c r="U188" i="15"/>
  <c r="W188" i="15" s="1"/>
  <c r="U177" i="15"/>
  <c r="U179" i="15"/>
  <c r="W179" i="15" s="1"/>
  <c r="U178" i="15"/>
  <c r="W178" i="15" s="1"/>
  <c r="U176" i="15"/>
  <c r="W176" i="15" s="1"/>
  <c r="U189" i="15"/>
  <c r="W189" i="15" s="1"/>
  <c r="U186" i="15"/>
  <c r="W186" i="15" s="1"/>
  <c r="H191" i="15"/>
  <c r="J191" i="15" s="1"/>
  <c r="H190" i="13"/>
  <c r="U187" i="14"/>
  <c r="W187" i="14" s="1"/>
  <c r="F160" i="15"/>
  <c r="F160" i="14"/>
  <c r="F159" i="14"/>
  <c r="F158" i="14"/>
  <c r="F157" i="14"/>
  <c r="F156" i="15"/>
  <c r="F158" i="15"/>
  <c r="G155" i="15"/>
  <c r="A156" i="15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U187" i="15"/>
  <c r="W187" i="15" s="1"/>
  <c r="G156" i="15"/>
  <c r="F159" i="15"/>
  <c r="E156" i="15"/>
  <c r="U189" i="14"/>
  <c r="W189" i="14" s="1"/>
  <c r="E161" i="14"/>
  <c r="G156" i="14"/>
  <c r="E155" i="14"/>
  <c r="F161" i="14"/>
  <c r="E156" i="14"/>
  <c r="G155" i="14"/>
  <c r="U186" i="14"/>
  <c r="W186" i="14" s="1"/>
  <c r="G157" i="15"/>
  <c r="E158" i="15"/>
  <c r="G161" i="15"/>
  <c r="G158" i="15"/>
  <c r="E159" i="15"/>
  <c r="F157" i="15"/>
  <c r="F155" i="15"/>
  <c r="E157" i="15"/>
  <c r="G160" i="15"/>
  <c r="E161" i="15"/>
  <c r="D155" i="15"/>
  <c r="D156" i="15"/>
  <c r="E160" i="15"/>
  <c r="F161" i="15"/>
  <c r="A156" i="14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F155" i="14"/>
  <c r="F156" i="14"/>
  <c r="C161" i="5"/>
  <c r="C162" i="5"/>
  <c r="C163" i="5"/>
  <c r="C164" i="5"/>
  <c r="C165" i="5"/>
  <c r="C161" i="6"/>
  <c r="C162" i="6"/>
  <c r="C163" i="6"/>
  <c r="C164" i="6"/>
  <c r="C165" i="6"/>
  <c r="C156" i="7"/>
  <c r="C157" i="7"/>
  <c r="C158" i="7"/>
  <c r="C159" i="7"/>
  <c r="C160" i="7"/>
  <c r="A156" i="8"/>
  <c r="A133" i="8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5" i="9"/>
  <c r="A133" i="9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53" i="13"/>
  <c r="A153" i="11"/>
  <c r="A153" i="10"/>
  <c r="A153" i="9"/>
  <c r="A152" i="7"/>
  <c r="A157" i="6"/>
  <c r="A157" i="5"/>
  <c r="A157" i="1"/>
  <c r="A525" i="13"/>
  <c r="A524" i="13"/>
  <c r="A440" i="13"/>
  <c r="A439" i="13"/>
  <c r="A333" i="13"/>
  <c r="A332" i="13"/>
  <c r="J211" i="13"/>
  <c r="J210" i="13"/>
  <c r="J209" i="13"/>
  <c r="E161" i="13"/>
  <c r="E159" i="13"/>
  <c r="E158" i="13"/>
  <c r="E157" i="13"/>
  <c r="C156" i="13"/>
  <c r="E156" i="13" s="1"/>
  <c r="B156" i="13"/>
  <c r="C155" i="13"/>
  <c r="E155" i="13" s="1"/>
  <c r="B155" i="13"/>
  <c r="A155" i="13" s="1"/>
  <c r="J153" i="13"/>
  <c r="J152" i="13"/>
  <c r="J149" i="13"/>
  <c r="I149" i="13"/>
  <c r="J148" i="13"/>
  <c r="I148" i="13"/>
  <c r="J147" i="13"/>
  <c r="G169" i="13" s="1"/>
  <c r="J146" i="13"/>
  <c r="G168" i="13" s="1"/>
  <c r="J145" i="13"/>
  <c r="G167" i="13" s="1"/>
  <c r="J144" i="13"/>
  <c r="G166" i="13" s="1"/>
  <c r="J143" i="13"/>
  <c r="G165" i="13" s="1"/>
  <c r="I143" i="13"/>
  <c r="J142" i="13"/>
  <c r="G164" i="13" s="1"/>
  <c r="J141" i="13"/>
  <c r="G163" i="13" s="1"/>
  <c r="J139" i="13"/>
  <c r="C279" i="13" s="1"/>
  <c r="I139" i="13"/>
  <c r="C278" i="13" s="1"/>
  <c r="J138" i="13"/>
  <c r="G160" i="13" s="1"/>
  <c r="I138" i="13"/>
  <c r="F160" i="13" s="1"/>
  <c r="J137" i="13"/>
  <c r="I137" i="13"/>
  <c r="J136" i="13"/>
  <c r="I136" i="13"/>
  <c r="J135" i="13"/>
  <c r="I135" i="13"/>
  <c r="J134" i="13"/>
  <c r="C237" i="13" s="1"/>
  <c r="C236" i="13"/>
  <c r="J133" i="13"/>
  <c r="C224" i="13" s="1"/>
  <c r="I133" i="13"/>
  <c r="C223" i="13" s="1"/>
  <c r="A133" i="13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30" i="13"/>
  <c r="A129" i="13"/>
  <c r="J115" i="13"/>
  <c r="J114" i="13"/>
  <c r="J113" i="13"/>
  <c r="A523" i="12"/>
  <c r="A522" i="12"/>
  <c r="A439" i="12"/>
  <c r="A438" i="12"/>
  <c r="A332" i="12"/>
  <c r="A331" i="12"/>
  <c r="J210" i="12"/>
  <c r="J209" i="12"/>
  <c r="J208" i="12"/>
  <c r="C161" i="12"/>
  <c r="B161" i="12"/>
  <c r="C160" i="12"/>
  <c r="B160" i="12"/>
  <c r="C159" i="12"/>
  <c r="E159" i="12" s="1"/>
  <c r="B159" i="12"/>
  <c r="C158" i="12"/>
  <c r="E158" i="12" s="1"/>
  <c r="B158" i="12"/>
  <c r="C157" i="12"/>
  <c r="E157" i="12" s="1"/>
  <c r="B157" i="12"/>
  <c r="C156" i="12"/>
  <c r="E156" i="12" s="1"/>
  <c r="B156" i="12"/>
  <c r="C155" i="12"/>
  <c r="E155" i="12" s="1"/>
  <c r="B155" i="12"/>
  <c r="A155" i="12" s="1"/>
  <c r="J153" i="12"/>
  <c r="J152" i="12"/>
  <c r="J151" i="12"/>
  <c r="J149" i="12"/>
  <c r="J148" i="12"/>
  <c r="J147" i="12"/>
  <c r="J146" i="12"/>
  <c r="J145" i="12"/>
  <c r="J144" i="12"/>
  <c r="G166" i="12" s="1"/>
  <c r="I144" i="12"/>
  <c r="F166" i="12" s="1"/>
  <c r="J143" i="12"/>
  <c r="I143" i="12"/>
  <c r="F165" i="12" s="1"/>
  <c r="J142" i="12"/>
  <c r="G164" i="12" s="1"/>
  <c r="J141" i="12"/>
  <c r="J139" i="12"/>
  <c r="C278" i="12" s="1"/>
  <c r="I139" i="12"/>
  <c r="C277" i="12" s="1"/>
  <c r="J138" i="12"/>
  <c r="I138" i="12"/>
  <c r="J137" i="12"/>
  <c r="I137" i="12"/>
  <c r="C266" i="12" s="1"/>
  <c r="J136" i="12"/>
  <c r="C257" i="12" s="1"/>
  <c r="I136" i="12"/>
  <c r="C256" i="12" s="1"/>
  <c r="J135" i="12"/>
  <c r="C246" i="12" s="1"/>
  <c r="I135" i="12"/>
  <c r="C245" i="12" s="1"/>
  <c r="J134" i="12"/>
  <c r="C236" i="12" s="1"/>
  <c r="C235" i="12"/>
  <c r="J133" i="12"/>
  <c r="C223" i="12" s="1"/>
  <c r="I133" i="12"/>
  <c r="C222" i="12" s="1"/>
  <c r="A133" i="12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30" i="12"/>
  <c r="A129" i="12"/>
  <c r="J115" i="12"/>
  <c r="J114" i="12"/>
  <c r="J113" i="12"/>
  <c r="C292" i="12" l="1"/>
  <c r="G165" i="12"/>
  <c r="C267" i="12"/>
  <c r="C290" i="12"/>
  <c r="G163" i="12"/>
  <c r="H171" i="14"/>
  <c r="H163" i="14"/>
  <c r="C291" i="13"/>
  <c r="F165" i="13"/>
  <c r="H163" i="13" s="1"/>
  <c r="H168" i="13"/>
  <c r="C309" i="13"/>
  <c r="F170" i="13"/>
  <c r="F171" i="13"/>
  <c r="C310" i="13"/>
  <c r="G171" i="13"/>
  <c r="G170" i="13"/>
  <c r="H161" i="14"/>
  <c r="H169" i="15"/>
  <c r="H159" i="15"/>
  <c r="H161" i="15"/>
  <c r="H171" i="15"/>
  <c r="H157" i="14"/>
  <c r="G157" i="13"/>
  <c r="C247" i="13"/>
  <c r="C304" i="13"/>
  <c r="F158" i="13"/>
  <c r="C257" i="13"/>
  <c r="C290" i="13"/>
  <c r="F159" i="13"/>
  <c r="H159" i="13" s="1"/>
  <c r="C267" i="13"/>
  <c r="G158" i="13"/>
  <c r="C258" i="13"/>
  <c r="G159" i="13"/>
  <c r="C268" i="13"/>
  <c r="C292" i="13"/>
  <c r="F157" i="13"/>
  <c r="C246" i="13"/>
  <c r="F161" i="13"/>
  <c r="C302" i="13"/>
  <c r="G161" i="13"/>
  <c r="C302" i="12"/>
  <c r="G167" i="12"/>
  <c r="C304" i="12"/>
  <c r="G168" i="12"/>
  <c r="H163" i="12"/>
  <c r="C291" i="12"/>
  <c r="U171" i="12"/>
  <c r="U172" i="12"/>
  <c r="W172" i="12" s="1"/>
  <c r="U173" i="12"/>
  <c r="U174" i="12"/>
  <c r="U175" i="12"/>
  <c r="W175" i="12" s="1"/>
  <c r="U174" i="13"/>
  <c r="H193" i="14"/>
  <c r="J193" i="14" s="1"/>
  <c r="U182" i="12"/>
  <c r="W182" i="12" s="1"/>
  <c r="U184" i="12"/>
  <c r="W184" i="12" s="1"/>
  <c r="U185" i="13"/>
  <c r="W185" i="13" s="1"/>
  <c r="U186" i="13"/>
  <c r="W186" i="13" s="1"/>
  <c r="U188" i="13"/>
  <c r="W188" i="13" s="1"/>
  <c r="U175" i="13"/>
  <c r="W175" i="13" s="1"/>
  <c r="H189" i="13"/>
  <c r="U178" i="13"/>
  <c r="W178" i="13" s="1"/>
  <c r="U176" i="13"/>
  <c r="U187" i="13"/>
  <c r="W187" i="13" s="1"/>
  <c r="U177" i="13"/>
  <c r="W177" i="13" s="1"/>
  <c r="H193" i="15"/>
  <c r="J193" i="15" s="1"/>
  <c r="H159" i="14"/>
  <c r="H194" i="14"/>
  <c r="J194" i="14" s="1"/>
  <c r="W177" i="14"/>
  <c r="H195" i="14"/>
  <c r="J195" i="14" s="1"/>
  <c r="W175" i="14"/>
  <c r="H196" i="14"/>
  <c r="J196" i="14" s="1"/>
  <c r="W175" i="15"/>
  <c r="H196" i="15"/>
  <c r="J196" i="15" s="1"/>
  <c r="H194" i="15"/>
  <c r="J194" i="15" s="1"/>
  <c r="W177" i="15"/>
  <c r="H195" i="15"/>
  <c r="J195" i="15" s="1"/>
  <c r="H155" i="15"/>
  <c r="H158" i="15"/>
  <c r="H156" i="15"/>
  <c r="G160" i="12"/>
  <c r="A156" i="13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H158" i="14"/>
  <c r="H156" i="14"/>
  <c r="J190" i="13"/>
  <c r="G161" i="12"/>
  <c r="F158" i="12"/>
  <c r="G157" i="12"/>
  <c r="F155" i="12"/>
  <c r="G155" i="12"/>
  <c r="G159" i="12"/>
  <c r="A156" i="12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F159" i="12"/>
  <c r="F160" i="12"/>
  <c r="H155" i="14"/>
  <c r="H157" i="15"/>
  <c r="U183" i="12"/>
  <c r="W183" i="12" s="1"/>
  <c r="F157" i="12"/>
  <c r="F161" i="12"/>
  <c r="F156" i="12"/>
  <c r="D161" i="12"/>
  <c r="W174" i="12"/>
  <c r="U185" i="12"/>
  <c r="W185" i="12" s="1"/>
  <c r="G158" i="12"/>
  <c r="G156" i="12"/>
  <c r="E161" i="12"/>
  <c r="F155" i="13"/>
  <c r="F156" i="13"/>
  <c r="D155" i="13"/>
  <c r="D156" i="13"/>
  <c r="E160" i="13"/>
  <c r="G155" i="13"/>
  <c r="G156" i="13"/>
  <c r="D155" i="12"/>
  <c r="D156" i="12"/>
  <c r="D157" i="12"/>
  <c r="D158" i="12"/>
  <c r="D159" i="12"/>
  <c r="E160" i="12"/>
  <c r="H161" i="13" l="1"/>
  <c r="H170" i="13"/>
  <c r="H191" i="13"/>
  <c r="J191" i="13" s="1"/>
  <c r="H167" i="12"/>
  <c r="H161" i="12"/>
  <c r="H184" i="12"/>
  <c r="J184" i="12" s="1"/>
  <c r="W176" i="13"/>
  <c r="H193" i="13"/>
  <c r="J193" i="13" s="1"/>
  <c r="H192" i="13"/>
  <c r="J192" i="13" s="1"/>
  <c r="W174" i="13"/>
  <c r="H194" i="13"/>
  <c r="J194" i="13" s="1"/>
  <c r="H185" i="12"/>
  <c r="J185" i="12" s="1"/>
  <c r="W171" i="12"/>
  <c r="H187" i="12"/>
  <c r="J187" i="12" s="1"/>
  <c r="W173" i="12"/>
  <c r="H186" i="12"/>
  <c r="J186" i="12" s="1"/>
  <c r="H156" i="12"/>
  <c r="H157" i="12"/>
  <c r="H158" i="12"/>
  <c r="J189" i="13"/>
  <c r="H159" i="12"/>
  <c r="H155" i="12"/>
  <c r="H158" i="13"/>
  <c r="H157" i="13"/>
  <c r="H156" i="13"/>
  <c r="H155" i="13"/>
  <c r="J135" i="11" l="1"/>
  <c r="C249" i="11" s="1"/>
  <c r="J136" i="11"/>
  <c r="C261" i="11" s="1"/>
  <c r="J137" i="11"/>
  <c r="J138" i="11"/>
  <c r="J139" i="11"/>
  <c r="C283" i="11" s="1"/>
  <c r="J141" i="11"/>
  <c r="G163" i="11" s="1"/>
  <c r="J142" i="11"/>
  <c r="G164" i="11" s="1"/>
  <c r="J143" i="11"/>
  <c r="G165" i="11" s="1"/>
  <c r="J144" i="11"/>
  <c r="G166" i="11" s="1"/>
  <c r="J145" i="11"/>
  <c r="J146" i="11"/>
  <c r="J147" i="11"/>
  <c r="J148" i="11"/>
  <c r="J150" i="11"/>
  <c r="J151" i="11"/>
  <c r="J152" i="11"/>
  <c r="A524" i="11"/>
  <c r="A523" i="11"/>
  <c r="A439" i="11"/>
  <c r="A438" i="11"/>
  <c r="A333" i="11"/>
  <c r="A332" i="11"/>
  <c r="J211" i="11"/>
  <c r="J210" i="11"/>
  <c r="J209" i="11"/>
  <c r="C161" i="11"/>
  <c r="E161" i="11" s="1"/>
  <c r="C160" i="11"/>
  <c r="B160" i="11"/>
  <c r="C159" i="11"/>
  <c r="B159" i="11"/>
  <c r="C158" i="11"/>
  <c r="B158" i="11"/>
  <c r="C157" i="11"/>
  <c r="B157" i="11"/>
  <c r="C156" i="11"/>
  <c r="B156" i="11"/>
  <c r="C155" i="11"/>
  <c r="E155" i="11" s="1"/>
  <c r="B155" i="11"/>
  <c r="A155" i="11" s="1"/>
  <c r="J153" i="11"/>
  <c r="I144" i="11"/>
  <c r="F166" i="11" s="1"/>
  <c r="K166" i="11" s="1"/>
  <c r="I166" i="11" s="1"/>
  <c r="I143" i="11"/>
  <c r="F165" i="11" s="1"/>
  <c r="K165" i="11" s="1"/>
  <c r="I165" i="11" s="1"/>
  <c r="I139" i="11"/>
  <c r="C282" i="11" s="1"/>
  <c r="I138" i="11"/>
  <c r="I137" i="11"/>
  <c r="C271" i="11" s="1"/>
  <c r="I136" i="11"/>
  <c r="C260" i="11" s="1"/>
  <c r="I135" i="11"/>
  <c r="C248" i="11" s="1"/>
  <c r="J134" i="11"/>
  <c r="C238" i="11" s="1"/>
  <c r="C237" i="11"/>
  <c r="J133" i="11"/>
  <c r="C224" i="11" s="1"/>
  <c r="I133" i="11"/>
  <c r="C223" i="11" s="1"/>
  <c r="A133" i="1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30" i="11"/>
  <c r="A129" i="11"/>
  <c r="J115" i="11"/>
  <c r="J114" i="11"/>
  <c r="J113" i="11"/>
  <c r="J176" i="8"/>
  <c r="J177" i="8"/>
  <c r="J178" i="8"/>
  <c r="J179" i="8"/>
  <c r="J180" i="8"/>
  <c r="J181" i="8"/>
  <c r="J182" i="8"/>
  <c r="J183" i="8"/>
  <c r="J184" i="8"/>
  <c r="J185" i="8"/>
  <c r="J186" i="8"/>
  <c r="J187" i="8"/>
  <c r="J198" i="8"/>
  <c r="A524" i="10"/>
  <c r="A523" i="10"/>
  <c r="A440" i="10"/>
  <c r="A439" i="10"/>
  <c r="A333" i="10"/>
  <c r="A332" i="10"/>
  <c r="J211" i="10"/>
  <c r="J210" i="10"/>
  <c r="J209" i="10"/>
  <c r="E161" i="10"/>
  <c r="E159" i="10"/>
  <c r="E157" i="10"/>
  <c r="C156" i="10"/>
  <c r="B156" i="10"/>
  <c r="C155" i="10"/>
  <c r="B155" i="10"/>
  <c r="A155" i="10" s="1"/>
  <c r="J153" i="10"/>
  <c r="J152" i="10"/>
  <c r="J149" i="10"/>
  <c r="I149" i="10"/>
  <c r="J148" i="10"/>
  <c r="I148" i="10"/>
  <c r="J147" i="10"/>
  <c r="G169" i="10" s="1"/>
  <c r="J146" i="10"/>
  <c r="G168" i="10" s="1"/>
  <c r="J145" i="10"/>
  <c r="G167" i="10" s="1"/>
  <c r="I145" i="10"/>
  <c r="F167" i="10" s="1"/>
  <c r="J144" i="10"/>
  <c r="G166" i="10" s="1"/>
  <c r="I144" i="10"/>
  <c r="F166" i="10" s="1"/>
  <c r="J143" i="10"/>
  <c r="G165" i="10" s="1"/>
  <c r="I143" i="10"/>
  <c r="J142" i="10"/>
  <c r="G164" i="10" s="1"/>
  <c r="J141" i="10"/>
  <c r="G163" i="10" s="1"/>
  <c r="J139" i="10"/>
  <c r="C278" i="10" s="1"/>
  <c r="I139" i="10"/>
  <c r="C277" i="10" s="1"/>
  <c r="J138" i="10"/>
  <c r="G160" i="10" s="1"/>
  <c r="I138" i="10"/>
  <c r="F160" i="10" s="1"/>
  <c r="J137" i="10"/>
  <c r="I137" i="10"/>
  <c r="J136" i="10"/>
  <c r="I136" i="10"/>
  <c r="J135" i="10"/>
  <c r="I135" i="10"/>
  <c r="J134" i="10"/>
  <c r="C237" i="10" s="1"/>
  <c r="C236" i="10"/>
  <c r="J133" i="10"/>
  <c r="C224" i="10" s="1"/>
  <c r="I133" i="10"/>
  <c r="C223" i="10" s="1"/>
  <c r="A133" i="10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30" i="10"/>
  <c r="A129" i="10"/>
  <c r="J115" i="10"/>
  <c r="J114" i="10"/>
  <c r="J113" i="10"/>
  <c r="C310" i="11" l="1"/>
  <c r="G168" i="11"/>
  <c r="C308" i="11"/>
  <c r="G167" i="11"/>
  <c r="H163" i="11"/>
  <c r="H168" i="10"/>
  <c r="C291" i="10"/>
  <c r="F165" i="10"/>
  <c r="H163" i="10" s="1"/>
  <c r="C309" i="10"/>
  <c r="F171" i="10"/>
  <c r="F170" i="10"/>
  <c r="G171" i="10"/>
  <c r="G170" i="10"/>
  <c r="C296" i="11"/>
  <c r="U173" i="11"/>
  <c r="W173" i="11" s="1"/>
  <c r="U174" i="11"/>
  <c r="U176" i="11"/>
  <c r="U175" i="11"/>
  <c r="W175" i="11" s="1"/>
  <c r="U172" i="11"/>
  <c r="W172" i="11" s="1"/>
  <c r="F157" i="10"/>
  <c r="C246" i="10"/>
  <c r="F161" i="10"/>
  <c r="G157" i="10"/>
  <c r="C247" i="10"/>
  <c r="G161" i="10"/>
  <c r="F158" i="10"/>
  <c r="C257" i="10"/>
  <c r="C290" i="10"/>
  <c r="C302" i="10"/>
  <c r="G158" i="10"/>
  <c r="C258" i="10"/>
  <c r="C304" i="10"/>
  <c r="F159" i="10"/>
  <c r="C267" i="10"/>
  <c r="G159" i="10"/>
  <c r="C268" i="10"/>
  <c r="C292" i="10"/>
  <c r="C310" i="10"/>
  <c r="U174" i="10"/>
  <c r="C297" i="11"/>
  <c r="C295" i="11"/>
  <c r="C272" i="11"/>
  <c r="U185" i="11"/>
  <c r="W185" i="11" s="1"/>
  <c r="G157" i="11"/>
  <c r="U188" i="10"/>
  <c r="W188" i="10" s="1"/>
  <c r="U187" i="10"/>
  <c r="W187" i="10" s="1"/>
  <c r="U178" i="10"/>
  <c r="W178" i="10" s="1"/>
  <c r="U177" i="10"/>
  <c r="W177" i="10" s="1"/>
  <c r="U176" i="10"/>
  <c r="U175" i="10"/>
  <c r="W175" i="10" s="1"/>
  <c r="H191" i="10"/>
  <c r="J191" i="10" s="1"/>
  <c r="U185" i="10"/>
  <c r="W185" i="10" s="1"/>
  <c r="H192" i="10"/>
  <c r="J192" i="10" s="1"/>
  <c r="F155" i="11"/>
  <c r="K155" i="11" s="1"/>
  <c r="I155" i="11" s="1"/>
  <c r="G156" i="11"/>
  <c r="F160" i="11"/>
  <c r="F155" i="10"/>
  <c r="E160" i="11"/>
  <c r="E155" i="10"/>
  <c r="E158" i="10"/>
  <c r="F156" i="10"/>
  <c r="A156" i="1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F159" i="11"/>
  <c r="F158" i="11"/>
  <c r="F156" i="11"/>
  <c r="U184" i="11"/>
  <c r="W184" i="11" s="1"/>
  <c r="U183" i="11"/>
  <c r="W183" i="11" s="1"/>
  <c r="D157" i="11"/>
  <c r="F157" i="11"/>
  <c r="D156" i="11"/>
  <c r="E158" i="11"/>
  <c r="E156" i="11"/>
  <c r="G161" i="11"/>
  <c r="F161" i="11"/>
  <c r="K161" i="11" s="1"/>
  <c r="I161" i="11" s="1"/>
  <c r="G160" i="11"/>
  <c r="E159" i="11"/>
  <c r="D161" i="11"/>
  <c r="G159" i="11"/>
  <c r="D155" i="11"/>
  <c r="D159" i="11"/>
  <c r="G158" i="11"/>
  <c r="G155" i="11"/>
  <c r="U186" i="11"/>
  <c r="W186" i="11" s="1"/>
  <c r="E157" i="11"/>
  <c r="D158" i="11"/>
  <c r="U186" i="10"/>
  <c r="W186" i="10" s="1"/>
  <c r="G155" i="10"/>
  <c r="G156" i="10"/>
  <c r="A156" i="10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D156" i="10"/>
  <c r="E156" i="10"/>
  <c r="D155" i="10"/>
  <c r="E160" i="10"/>
  <c r="A524" i="9"/>
  <c r="A523" i="9"/>
  <c r="A439" i="9"/>
  <c r="A438" i="9"/>
  <c r="A332" i="9"/>
  <c r="A331" i="9"/>
  <c r="J210" i="9"/>
  <c r="J209" i="9"/>
  <c r="J208" i="9"/>
  <c r="A174" i="9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C161" i="9"/>
  <c r="E161" i="9" s="1"/>
  <c r="B161" i="9"/>
  <c r="C160" i="9"/>
  <c r="E160" i="9" s="1"/>
  <c r="B160" i="9"/>
  <c r="C159" i="9"/>
  <c r="B159" i="9"/>
  <c r="C158" i="9"/>
  <c r="E158" i="9" s="1"/>
  <c r="B158" i="9"/>
  <c r="C157" i="9"/>
  <c r="B157" i="9"/>
  <c r="C156" i="9"/>
  <c r="E156" i="9" s="1"/>
  <c r="B156" i="9"/>
  <c r="A156" i="9" s="1"/>
  <c r="C155" i="9"/>
  <c r="E155" i="9" s="1"/>
  <c r="B155" i="9"/>
  <c r="J153" i="9"/>
  <c r="J152" i="9"/>
  <c r="J151" i="9"/>
  <c r="J150" i="9"/>
  <c r="J148" i="9"/>
  <c r="J147" i="9"/>
  <c r="J146" i="9"/>
  <c r="J145" i="9"/>
  <c r="I145" i="9"/>
  <c r="J144" i="9"/>
  <c r="I144" i="9"/>
  <c r="J143" i="9"/>
  <c r="G165" i="9" s="1"/>
  <c r="K165" i="9" s="1"/>
  <c r="I165" i="9" s="1"/>
  <c r="J142" i="9"/>
  <c r="G164" i="9" s="1"/>
  <c r="K164" i="9" s="1"/>
  <c r="I164" i="9" s="1"/>
  <c r="J141" i="9"/>
  <c r="G163" i="9" s="1"/>
  <c r="K163" i="9" s="1"/>
  <c r="I163" i="9" s="1"/>
  <c r="J139" i="9"/>
  <c r="C278" i="9" s="1"/>
  <c r="I139" i="9"/>
  <c r="C277" i="9" s="1"/>
  <c r="J138" i="9"/>
  <c r="I138" i="9"/>
  <c r="J137" i="9"/>
  <c r="I137" i="9"/>
  <c r="C266" i="9" s="1"/>
  <c r="J136" i="9"/>
  <c r="C257" i="9" s="1"/>
  <c r="I136" i="9"/>
  <c r="C256" i="9" s="1"/>
  <c r="J135" i="9"/>
  <c r="C246" i="9" s="1"/>
  <c r="I135" i="9"/>
  <c r="C245" i="9" s="1"/>
  <c r="J134" i="9"/>
  <c r="C236" i="9" s="1"/>
  <c r="C235" i="9"/>
  <c r="J133" i="9"/>
  <c r="C223" i="9" s="1"/>
  <c r="I133" i="9"/>
  <c r="C222" i="9" s="1"/>
  <c r="A130" i="9"/>
  <c r="A129" i="9"/>
  <c r="J115" i="9"/>
  <c r="J114" i="9"/>
  <c r="J113" i="9"/>
  <c r="J141" i="8"/>
  <c r="G164" i="8" s="1"/>
  <c r="D157" i="9" l="1"/>
  <c r="E157" i="9"/>
  <c r="D159" i="9"/>
  <c r="E159" i="9"/>
  <c r="C304" i="9"/>
  <c r="G169" i="9"/>
  <c r="K169" i="9" s="1"/>
  <c r="I169" i="9" s="1"/>
  <c r="G166" i="9"/>
  <c r="G167" i="9"/>
  <c r="C302" i="9"/>
  <c r="G168" i="9"/>
  <c r="K158" i="11"/>
  <c r="I158" i="11" s="1"/>
  <c r="K160" i="11"/>
  <c r="I160" i="11" s="1"/>
  <c r="K159" i="11"/>
  <c r="I159" i="11" s="1"/>
  <c r="K157" i="11"/>
  <c r="I157" i="11" s="1"/>
  <c r="K156" i="11"/>
  <c r="I156" i="11" s="1"/>
  <c r="H167" i="11"/>
  <c r="F167" i="9"/>
  <c r="F166" i="9"/>
  <c r="H161" i="11"/>
  <c r="H159" i="11"/>
  <c r="H157" i="10"/>
  <c r="H170" i="10"/>
  <c r="H159" i="10"/>
  <c r="H158" i="10"/>
  <c r="H161" i="10"/>
  <c r="C267" i="9"/>
  <c r="U176" i="9"/>
  <c r="H188" i="9" s="1"/>
  <c r="I188" i="9" s="1"/>
  <c r="U177" i="9"/>
  <c r="W177" i="9" s="1"/>
  <c r="U173" i="9"/>
  <c r="U175" i="9"/>
  <c r="W175" i="9" s="1"/>
  <c r="U174" i="9"/>
  <c r="C290" i="9"/>
  <c r="C292" i="9"/>
  <c r="H157" i="11"/>
  <c r="A157" i="9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U186" i="9"/>
  <c r="W186" i="9" s="1"/>
  <c r="G155" i="9"/>
  <c r="G157" i="9"/>
  <c r="U184" i="9"/>
  <c r="W184" i="9" s="1"/>
  <c r="H185" i="11"/>
  <c r="I185" i="11" s="1"/>
  <c r="I189" i="11" s="1"/>
  <c r="W174" i="11"/>
  <c r="H188" i="11"/>
  <c r="I188" i="11" s="1"/>
  <c r="H156" i="10"/>
  <c r="H186" i="11"/>
  <c r="I186" i="11" s="1"/>
  <c r="W176" i="11"/>
  <c r="H187" i="11"/>
  <c r="I187" i="11" s="1"/>
  <c r="H193" i="10"/>
  <c r="J193" i="10" s="1"/>
  <c r="W176" i="10"/>
  <c r="H195" i="10"/>
  <c r="J195" i="10" s="1"/>
  <c r="W174" i="10"/>
  <c r="H196" i="10"/>
  <c r="J196" i="10" s="1"/>
  <c r="H194" i="10"/>
  <c r="J194" i="10" s="1"/>
  <c r="H155" i="10"/>
  <c r="H156" i="11"/>
  <c r="H158" i="11"/>
  <c r="H155" i="11"/>
  <c r="G159" i="9"/>
  <c r="D155" i="9"/>
  <c r="U185" i="9"/>
  <c r="W185" i="9" s="1"/>
  <c r="G160" i="9"/>
  <c r="U187" i="9"/>
  <c r="W187" i="9" s="1"/>
  <c r="G156" i="9"/>
  <c r="F158" i="9"/>
  <c r="F156" i="9"/>
  <c r="D156" i="9"/>
  <c r="F155" i="9"/>
  <c r="F157" i="9"/>
  <c r="F160" i="9"/>
  <c r="D158" i="9"/>
  <c r="F161" i="9"/>
  <c r="D161" i="9"/>
  <c r="F159" i="9"/>
  <c r="G158" i="9"/>
  <c r="G161" i="9"/>
  <c r="J188" i="7"/>
  <c r="J189" i="7"/>
  <c r="C157" i="8"/>
  <c r="I149" i="8"/>
  <c r="I148" i="8"/>
  <c r="K168" i="9" l="1"/>
  <c r="I168" i="9" s="1"/>
  <c r="H168" i="9"/>
  <c r="K160" i="9"/>
  <c r="I160" i="9" s="1"/>
  <c r="K166" i="9"/>
  <c r="I166" i="9" s="1"/>
  <c r="K167" i="9"/>
  <c r="I167" i="9" s="1"/>
  <c r="I169" i="11"/>
  <c r="K157" i="9"/>
  <c r="I157" i="9" s="1"/>
  <c r="K156" i="9"/>
  <c r="I156" i="9" s="1"/>
  <c r="K159" i="9"/>
  <c r="I159" i="9" s="1"/>
  <c r="K161" i="9"/>
  <c r="I161" i="9" s="1"/>
  <c r="K155" i="9"/>
  <c r="I155" i="9" s="1"/>
  <c r="K158" i="9"/>
  <c r="I158" i="9" s="1"/>
  <c r="H163" i="9"/>
  <c r="H161" i="9"/>
  <c r="F171" i="8"/>
  <c r="F172" i="8"/>
  <c r="C309" i="8"/>
  <c r="H155" i="9"/>
  <c r="H157" i="9"/>
  <c r="H186" i="9"/>
  <c r="I186" i="9" s="1"/>
  <c r="W173" i="9"/>
  <c r="H189" i="9"/>
  <c r="I189" i="9" s="1"/>
  <c r="H192" i="8"/>
  <c r="J192" i="8" s="1"/>
  <c r="H187" i="9"/>
  <c r="I187" i="9" s="1"/>
  <c r="W176" i="9"/>
  <c r="W174" i="9"/>
  <c r="H158" i="9"/>
  <c r="H156" i="9"/>
  <c r="H159" i="9"/>
  <c r="B157" i="8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I145" i="8"/>
  <c r="F168" i="8" s="1"/>
  <c r="A525" i="8"/>
  <c r="A524" i="8"/>
  <c r="A440" i="8"/>
  <c r="A439" i="8"/>
  <c r="A333" i="8"/>
  <c r="A332" i="8"/>
  <c r="J211" i="8"/>
  <c r="J210" i="8"/>
  <c r="J209" i="8"/>
  <c r="E161" i="8"/>
  <c r="D157" i="8"/>
  <c r="C156" i="8"/>
  <c r="D156" i="8" s="1"/>
  <c r="B156" i="8"/>
  <c r="J154" i="8"/>
  <c r="J153" i="8"/>
  <c r="J149" i="8"/>
  <c r="J148" i="8"/>
  <c r="J147" i="8"/>
  <c r="G170" i="8" s="1"/>
  <c r="H169" i="8" s="1"/>
  <c r="J145" i="8"/>
  <c r="G168" i="8" s="1"/>
  <c r="J144" i="8"/>
  <c r="G167" i="8" s="1"/>
  <c r="I144" i="8"/>
  <c r="F167" i="8" s="1"/>
  <c r="J143" i="8"/>
  <c r="G166" i="8" s="1"/>
  <c r="I143" i="8"/>
  <c r="J142" i="8"/>
  <c r="G165" i="8" s="1"/>
  <c r="J139" i="8"/>
  <c r="C279" i="8" s="1"/>
  <c r="I139" i="8"/>
  <c r="C278" i="8" s="1"/>
  <c r="J138" i="8"/>
  <c r="G161" i="8" s="1"/>
  <c r="I138" i="8"/>
  <c r="F161" i="8" s="1"/>
  <c r="J137" i="8"/>
  <c r="I137" i="8"/>
  <c r="J136" i="8"/>
  <c r="I136" i="8"/>
  <c r="J135" i="8"/>
  <c r="I135" i="8"/>
  <c r="J134" i="8"/>
  <c r="C237" i="8" s="1"/>
  <c r="C236" i="8"/>
  <c r="J133" i="8"/>
  <c r="C224" i="8" s="1"/>
  <c r="I133" i="8"/>
  <c r="C223" i="8" s="1"/>
  <c r="A130" i="8"/>
  <c r="A129" i="8"/>
  <c r="J115" i="8"/>
  <c r="J114" i="8"/>
  <c r="J113" i="8"/>
  <c r="A525" i="7"/>
  <c r="A438" i="7"/>
  <c r="A437" i="7"/>
  <c r="J424" i="7"/>
  <c r="J423" i="7"/>
  <c r="J422" i="7"/>
  <c r="A332" i="7"/>
  <c r="A331" i="7"/>
  <c r="J317" i="7"/>
  <c r="J316" i="7"/>
  <c r="J315" i="7"/>
  <c r="J210" i="7"/>
  <c r="J209" i="7"/>
  <c r="J208" i="7"/>
  <c r="E159" i="7"/>
  <c r="E158" i="7"/>
  <c r="D158" i="7"/>
  <c r="E157" i="7"/>
  <c r="D157" i="7"/>
  <c r="E156" i="7"/>
  <c r="D156" i="7"/>
  <c r="C155" i="7"/>
  <c r="E155" i="7" s="1"/>
  <c r="C154" i="7"/>
  <c r="E154" i="7" s="1"/>
  <c r="B154" i="7"/>
  <c r="A154" i="7" s="1"/>
  <c r="J152" i="7"/>
  <c r="J148" i="7"/>
  <c r="J147" i="7"/>
  <c r="J146" i="7"/>
  <c r="J145" i="7"/>
  <c r="G166" i="7" s="1"/>
  <c r="I145" i="7"/>
  <c r="F166" i="7" s="1"/>
  <c r="J144" i="7"/>
  <c r="G165" i="7" s="1"/>
  <c r="I144" i="7"/>
  <c r="F165" i="7" s="1"/>
  <c r="J143" i="7"/>
  <c r="G164" i="7" s="1"/>
  <c r="I143" i="7"/>
  <c r="F164" i="7" s="1"/>
  <c r="J142" i="7"/>
  <c r="G163" i="7" s="1"/>
  <c r="J141" i="7"/>
  <c r="J139" i="7"/>
  <c r="C282" i="7" s="1"/>
  <c r="I139" i="7"/>
  <c r="C281" i="7" s="1"/>
  <c r="J138" i="7"/>
  <c r="I138" i="7"/>
  <c r="F159" i="7" s="1"/>
  <c r="J137" i="7"/>
  <c r="I137" i="7"/>
  <c r="C270" i="7" s="1"/>
  <c r="J136" i="7"/>
  <c r="C260" i="7" s="1"/>
  <c r="I136" i="7"/>
  <c r="C259" i="7" s="1"/>
  <c r="J135" i="7"/>
  <c r="C248" i="7" s="1"/>
  <c r="I135" i="7"/>
  <c r="C247" i="7" s="1"/>
  <c r="J134" i="7"/>
  <c r="C237" i="7" s="1"/>
  <c r="C236" i="7"/>
  <c r="J133" i="7"/>
  <c r="C223" i="7" s="1"/>
  <c r="I133" i="7"/>
  <c r="C222" i="7" s="1"/>
  <c r="A133" i="7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30" i="7"/>
  <c r="A129" i="7"/>
  <c r="J115" i="7"/>
  <c r="J114" i="7"/>
  <c r="J113" i="7"/>
  <c r="D162" i="6"/>
  <c r="D163" i="6"/>
  <c r="D165" i="6"/>
  <c r="I144" i="6"/>
  <c r="F170" i="6" s="1"/>
  <c r="I145" i="6"/>
  <c r="F171" i="6" s="1"/>
  <c r="A525" i="6"/>
  <c r="A438" i="6"/>
  <c r="A437" i="6"/>
  <c r="J424" i="6"/>
  <c r="J423" i="6"/>
  <c r="J422" i="6"/>
  <c r="A332" i="6"/>
  <c r="A331" i="6"/>
  <c r="J317" i="6"/>
  <c r="J316" i="6"/>
  <c r="J315" i="6"/>
  <c r="J210" i="6"/>
  <c r="J209" i="6"/>
  <c r="J208" i="6"/>
  <c r="C160" i="6"/>
  <c r="C159" i="6"/>
  <c r="B159" i="6"/>
  <c r="A159" i="6" s="1"/>
  <c r="A160" i="6" s="1"/>
  <c r="J157" i="6"/>
  <c r="J147" i="6"/>
  <c r="G173" i="6" s="1"/>
  <c r="J146" i="6"/>
  <c r="J145" i="6"/>
  <c r="G171" i="6" s="1"/>
  <c r="J144" i="6"/>
  <c r="G170" i="6" s="1"/>
  <c r="J143" i="6"/>
  <c r="I143" i="6"/>
  <c r="J142" i="6"/>
  <c r="G168" i="6" s="1"/>
  <c r="J141" i="6"/>
  <c r="G167" i="6" s="1"/>
  <c r="J139" i="6"/>
  <c r="C283" i="6" s="1"/>
  <c r="I139" i="6"/>
  <c r="C282" i="6" s="1"/>
  <c r="J138" i="6"/>
  <c r="I138" i="6"/>
  <c r="J137" i="6"/>
  <c r="I137" i="6"/>
  <c r="C270" i="6" s="1"/>
  <c r="J136" i="6"/>
  <c r="C260" i="6" s="1"/>
  <c r="I136" i="6"/>
  <c r="C259" i="6" s="1"/>
  <c r="J135" i="6"/>
  <c r="C248" i="6" s="1"/>
  <c r="I135" i="6"/>
  <c r="J134" i="6"/>
  <c r="C237" i="6" s="1"/>
  <c r="C236" i="6"/>
  <c r="J133" i="6"/>
  <c r="C223" i="6" s="1"/>
  <c r="I133" i="6"/>
  <c r="C222" i="6" s="1"/>
  <c r="A133" i="6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30" i="6"/>
  <c r="A129" i="6"/>
  <c r="J115" i="6"/>
  <c r="J114" i="6"/>
  <c r="J113" i="6"/>
  <c r="A524" i="5"/>
  <c r="A437" i="5"/>
  <c r="A436" i="5"/>
  <c r="J423" i="5"/>
  <c r="J422" i="5"/>
  <c r="J421" i="5"/>
  <c r="A332" i="5"/>
  <c r="A331" i="5"/>
  <c r="J317" i="5"/>
  <c r="J316" i="5"/>
  <c r="J315" i="5"/>
  <c r="J210" i="5"/>
  <c r="J209" i="5"/>
  <c r="J208" i="5"/>
  <c r="D162" i="5"/>
  <c r="D160" i="5"/>
  <c r="B160" i="5"/>
  <c r="C159" i="5"/>
  <c r="B159" i="5"/>
  <c r="A159" i="5" s="1"/>
  <c r="J157" i="5"/>
  <c r="J146" i="5"/>
  <c r="G172" i="5" s="1"/>
  <c r="J145" i="5"/>
  <c r="J144" i="5"/>
  <c r="G170" i="5" s="1"/>
  <c r="I144" i="5"/>
  <c r="F170" i="5" s="1"/>
  <c r="J143" i="5"/>
  <c r="G169" i="5" s="1"/>
  <c r="I143" i="5"/>
  <c r="J142" i="5"/>
  <c r="G168" i="5" s="1"/>
  <c r="J141" i="5"/>
  <c r="J139" i="5"/>
  <c r="C283" i="5" s="1"/>
  <c r="I139" i="5"/>
  <c r="C282" i="5" s="1"/>
  <c r="J138" i="5"/>
  <c r="I138" i="5"/>
  <c r="J137" i="5"/>
  <c r="I137" i="5"/>
  <c r="C270" i="5" s="1"/>
  <c r="J136" i="5"/>
  <c r="C260" i="5" s="1"/>
  <c r="I136" i="5"/>
  <c r="C259" i="5" s="1"/>
  <c r="J135" i="5"/>
  <c r="C248" i="5" s="1"/>
  <c r="I135" i="5"/>
  <c r="C247" i="5" s="1"/>
  <c r="J134" i="5"/>
  <c r="C237" i="5" s="1"/>
  <c r="C236" i="5"/>
  <c r="J133" i="5"/>
  <c r="C223" i="5" s="1"/>
  <c r="I133" i="5"/>
  <c r="C222" i="5" s="1"/>
  <c r="A133" i="5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30" i="5"/>
  <c r="A129" i="5"/>
  <c r="J115" i="5"/>
  <c r="J114" i="5"/>
  <c r="J113" i="5"/>
  <c r="C294" i="7" l="1"/>
  <c r="G162" i="7"/>
  <c r="H162" i="7" s="1"/>
  <c r="C297" i="6"/>
  <c r="G169" i="6"/>
  <c r="C296" i="5"/>
  <c r="G167" i="5"/>
  <c r="C309" i="5"/>
  <c r="G171" i="5"/>
  <c r="H171" i="5" s="1"/>
  <c r="C297" i="5"/>
  <c r="F169" i="5"/>
  <c r="H167" i="5" s="1"/>
  <c r="C308" i="6"/>
  <c r="G172" i="6"/>
  <c r="H172" i="6" s="1"/>
  <c r="C296" i="6"/>
  <c r="F169" i="6"/>
  <c r="H167" i="6" s="1"/>
  <c r="I170" i="9"/>
  <c r="I190" i="9"/>
  <c r="C310" i="7"/>
  <c r="G168" i="7"/>
  <c r="C308" i="7"/>
  <c r="G167" i="7"/>
  <c r="C292" i="8"/>
  <c r="F166" i="8"/>
  <c r="H164" i="8" s="1"/>
  <c r="G171" i="8"/>
  <c r="G172" i="8"/>
  <c r="C293" i="8"/>
  <c r="F162" i="8"/>
  <c r="G158" i="8"/>
  <c r="C247" i="8"/>
  <c r="F159" i="8"/>
  <c r="C257" i="8"/>
  <c r="G159" i="8"/>
  <c r="C258" i="8"/>
  <c r="C291" i="8"/>
  <c r="C310" i="8"/>
  <c r="C305" i="8"/>
  <c r="F160" i="8"/>
  <c r="C267" i="8"/>
  <c r="G162" i="8"/>
  <c r="G160" i="8"/>
  <c r="C268" i="8"/>
  <c r="F158" i="8"/>
  <c r="C246" i="8"/>
  <c r="F160" i="7"/>
  <c r="C295" i="7"/>
  <c r="C271" i="7"/>
  <c r="C296" i="7"/>
  <c r="F161" i="6"/>
  <c r="C247" i="6"/>
  <c r="C310" i="6"/>
  <c r="C295" i="6"/>
  <c r="C271" i="6"/>
  <c r="C311" i="5"/>
  <c r="C271" i="5"/>
  <c r="C298" i="5"/>
  <c r="U188" i="8"/>
  <c r="W188" i="8" s="1"/>
  <c r="U175" i="8"/>
  <c r="U189" i="8"/>
  <c r="W189" i="8" s="1"/>
  <c r="U179" i="8"/>
  <c r="W179" i="8" s="1"/>
  <c r="U177" i="8"/>
  <c r="U176" i="8"/>
  <c r="W176" i="8" s="1"/>
  <c r="U178" i="8"/>
  <c r="W178" i="8" s="1"/>
  <c r="U176" i="5"/>
  <c r="W176" i="5" s="1"/>
  <c r="U175" i="5"/>
  <c r="U179" i="5"/>
  <c r="W179" i="5" s="1"/>
  <c r="U178" i="5"/>
  <c r="W178" i="5" s="1"/>
  <c r="U177" i="5"/>
  <c r="U187" i="6"/>
  <c r="W187" i="6" s="1"/>
  <c r="H193" i="8"/>
  <c r="J193" i="8" s="1"/>
  <c r="U176" i="6"/>
  <c r="U178" i="6"/>
  <c r="U180" i="6"/>
  <c r="W180" i="6" s="1"/>
  <c r="U179" i="6"/>
  <c r="U177" i="6"/>
  <c r="W177" i="6" s="1"/>
  <c r="U175" i="7"/>
  <c r="W175" i="7" s="1"/>
  <c r="A155" i="7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U189" i="6"/>
  <c r="W189" i="6" s="1"/>
  <c r="U190" i="6"/>
  <c r="W190" i="6" s="1"/>
  <c r="A161" i="6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60" i="5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D154" i="7"/>
  <c r="U186" i="8"/>
  <c r="W186" i="8" s="1"/>
  <c r="U187" i="8"/>
  <c r="W187" i="8" s="1"/>
  <c r="D155" i="7"/>
  <c r="U182" i="7"/>
  <c r="W182" i="7" s="1"/>
  <c r="U183" i="7"/>
  <c r="W183" i="7" s="1"/>
  <c r="G154" i="7"/>
  <c r="U184" i="7"/>
  <c r="W184" i="7" s="1"/>
  <c r="U185" i="7"/>
  <c r="W185" i="7" s="1"/>
  <c r="U174" i="7"/>
  <c r="W174" i="7" s="1"/>
  <c r="U172" i="7"/>
  <c r="W172" i="7" s="1"/>
  <c r="U173" i="7"/>
  <c r="U171" i="7"/>
  <c r="U188" i="6"/>
  <c r="W188" i="6" s="1"/>
  <c r="U187" i="5"/>
  <c r="W187" i="5" s="1"/>
  <c r="U186" i="5"/>
  <c r="W186" i="5" s="1"/>
  <c r="U188" i="5"/>
  <c r="W188" i="5" s="1"/>
  <c r="U189" i="5"/>
  <c r="G155" i="7"/>
  <c r="G157" i="7"/>
  <c r="G159" i="7"/>
  <c r="G156" i="7"/>
  <c r="G158" i="7"/>
  <c r="G160" i="7"/>
  <c r="E162" i="8"/>
  <c r="F156" i="8"/>
  <c r="F157" i="8"/>
  <c r="E157" i="8"/>
  <c r="E158" i="8"/>
  <c r="E159" i="8"/>
  <c r="E160" i="8"/>
  <c r="G156" i="8"/>
  <c r="G157" i="8"/>
  <c r="E156" i="8"/>
  <c r="F154" i="7"/>
  <c r="F155" i="7"/>
  <c r="F156" i="7"/>
  <c r="F157" i="7"/>
  <c r="F158" i="7"/>
  <c r="D160" i="7"/>
  <c r="E160" i="7"/>
  <c r="F159" i="6"/>
  <c r="G160" i="6"/>
  <c r="G165" i="6"/>
  <c r="G162" i="6"/>
  <c r="F162" i="6"/>
  <c r="F163" i="6"/>
  <c r="G163" i="6"/>
  <c r="G164" i="6"/>
  <c r="G161" i="6"/>
  <c r="G159" i="6"/>
  <c r="E165" i="6"/>
  <c r="F160" i="6"/>
  <c r="D159" i="6"/>
  <c r="D160" i="6"/>
  <c r="D161" i="6"/>
  <c r="E164" i="6"/>
  <c r="F165" i="6"/>
  <c r="E159" i="6"/>
  <c r="E160" i="6"/>
  <c r="E161" i="6"/>
  <c r="E162" i="6"/>
  <c r="E163" i="6"/>
  <c r="F164" i="6"/>
  <c r="F161" i="5"/>
  <c r="F162" i="5"/>
  <c r="G159" i="5"/>
  <c r="G163" i="5"/>
  <c r="F163" i="5"/>
  <c r="D159" i="5"/>
  <c r="G161" i="5"/>
  <c r="D163" i="5"/>
  <c r="F159" i="5"/>
  <c r="D161" i="5"/>
  <c r="F164" i="5"/>
  <c r="E164" i="5"/>
  <c r="G160" i="5"/>
  <c r="G162" i="5"/>
  <c r="G164" i="5"/>
  <c r="F160" i="5"/>
  <c r="G165" i="5"/>
  <c r="D165" i="5"/>
  <c r="E165" i="5"/>
  <c r="F165" i="5"/>
  <c r="E159" i="5"/>
  <c r="E160" i="5"/>
  <c r="E161" i="5"/>
  <c r="E162" i="5"/>
  <c r="E163" i="5"/>
  <c r="H167" i="7" l="1"/>
  <c r="H165" i="5"/>
  <c r="H188" i="5"/>
  <c r="J188" i="5" s="1"/>
  <c r="W189" i="5"/>
  <c r="H160" i="7"/>
  <c r="H160" i="8"/>
  <c r="H158" i="8"/>
  <c r="H171" i="8"/>
  <c r="H159" i="8"/>
  <c r="H158" i="7"/>
  <c r="H163" i="5"/>
  <c r="H162" i="8"/>
  <c r="H165" i="6"/>
  <c r="H161" i="6"/>
  <c r="H187" i="5"/>
  <c r="J187" i="5" s="1"/>
  <c r="H195" i="8"/>
  <c r="J195" i="8" s="1"/>
  <c r="H191" i="6"/>
  <c r="J191" i="6" s="1"/>
  <c r="H189" i="5"/>
  <c r="J189" i="5" s="1"/>
  <c r="H190" i="5"/>
  <c r="J190" i="5" s="1"/>
  <c r="W175" i="5"/>
  <c r="H184" i="7"/>
  <c r="J184" i="7" s="1"/>
  <c r="H185" i="7"/>
  <c r="J185" i="7" s="1"/>
  <c r="W171" i="7"/>
  <c r="H187" i="7"/>
  <c r="J187" i="7" s="1"/>
  <c r="W173" i="7"/>
  <c r="H186" i="7"/>
  <c r="J186" i="7" s="1"/>
  <c r="H194" i="8"/>
  <c r="J194" i="8" s="1"/>
  <c r="W175" i="8"/>
  <c r="H197" i="8"/>
  <c r="J197" i="8" s="1"/>
  <c r="W177" i="8"/>
  <c r="H196" i="8"/>
  <c r="J196" i="8" s="1"/>
  <c r="W176" i="6"/>
  <c r="H192" i="6"/>
  <c r="J192" i="6" s="1"/>
  <c r="H189" i="6"/>
  <c r="J189" i="6" s="1"/>
  <c r="H190" i="6"/>
  <c r="J190" i="6" s="1"/>
  <c r="W177" i="5"/>
  <c r="W179" i="6"/>
  <c r="H154" i="7"/>
  <c r="W178" i="6"/>
  <c r="H160" i="5"/>
  <c r="H155" i="7"/>
  <c r="H157" i="7"/>
  <c r="H156" i="7"/>
  <c r="H162" i="5"/>
  <c r="H161" i="5"/>
  <c r="H156" i="8"/>
  <c r="H157" i="8"/>
  <c r="H160" i="6"/>
  <c r="H162" i="6"/>
  <c r="H159" i="6"/>
  <c r="H163" i="6"/>
  <c r="H159" i="5"/>
  <c r="D161" i="1" l="1"/>
  <c r="D160" i="1"/>
  <c r="D162" i="1"/>
  <c r="D163" i="1"/>
  <c r="D165" i="1"/>
  <c r="J144" i="1"/>
  <c r="G170" i="1" s="1"/>
  <c r="J157" i="1"/>
  <c r="I144" i="1"/>
  <c r="F170" i="1" s="1"/>
  <c r="I143" i="1"/>
  <c r="I139" i="1"/>
  <c r="C283" i="1" s="1"/>
  <c r="I138" i="1"/>
  <c r="I137" i="1"/>
  <c r="C271" i="1" s="1"/>
  <c r="C298" i="1" l="1"/>
  <c r="F169" i="1"/>
  <c r="U175" i="1"/>
  <c r="U188" i="1"/>
  <c r="W188" i="1" s="1"/>
  <c r="U179" i="1"/>
  <c r="U189" i="1"/>
  <c r="U178" i="1"/>
  <c r="U177" i="1"/>
  <c r="U176" i="1"/>
  <c r="C236" i="1"/>
  <c r="I136" i="1"/>
  <c r="C259" i="1" s="1"/>
  <c r="I135" i="1"/>
  <c r="C247" i="1" s="1"/>
  <c r="I133" i="1"/>
  <c r="C222" i="1" s="1"/>
  <c r="H188" i="1" l="1"/>
  <c r="J188" i="1" s="1"/>
  <c r="W189" i="1"/>
  <c r="H190" i="1"/>
  <c r="J190" i="1" s="1"/>
  <c r="W179" i="1"/>
  <c r="H189" i="1"/>
  <c r="J189" i="1" s="1"/>
  <c r="W176" i="1"/>
  <c r="W178" i="1"/>
  <c r="U187" i="1"/>
  <c r="W187" i="1" s="1"/>
  <c r="U186" i="1"/>
  <c r="W186" i="1" s="1"/>
  <c r="W177" i="1"/>
  <c r="W175" i="1"/>
  <c r="A519" i="1"/>
  <c r="H187" i="1" l="1"/>
  <c r="J187" i="1" s="1"/>
  <c r="A133" i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438" i="1"/>
  <c r="A437" i="1"/>
  <c r="A130" i="1"/>
  <c r="A129" i="1"/>
  <c r="A332" i="1"/>
  <c r="A331" i="1"/>
  <c r="B159" i="1"/>
  <c r="A159" i="1" s="1"/>
  <c r="J424" i="1"/>
  <c r="J423" i="1"/>
  <c r="J422" i="1"/>
  <c r="A523" i="1"/>
  <c r="A524" i="1"/>
  <c r="C159" i="1"/>
  <c r="J133" i="1"/>
  <c r="C223" i="1" s="1"/>
  <c r="J135" i="1"/>
  <c r="C248" i="1" s="1"/>
  <c r="J134" i="1"/>
  <c r="C237" i="1" s="1"/>
  <c r="J136" i="1"/>
  <c r="C260" i="1" s="1"/>
  <c r="E162" i="1"/>
  <c r="J141" i="1"/>
  <c r="G167" i="1" s="1"/>
  <c r="J142" i="1"/>
  <c r="G168" i="1" s="1"/>
  <c r="J137" i="1"/>
  <c r="J138" i="1"/>
  <c r="J139" i="1"/>
  <c r="C284" i="1" s="1"/>
  <c r="J143" i="1"/>
  <c r="J317" i="1"/>
  <c r="J316" i="1"/>
  <c r="J315" i="1"/>
  <c r="J210" i="1"/>
  <c r="J209" i="1"/>
  <c r="J208" i="1"/>
  <c r="J115" i="1"/>
  <c r="J114" i="1"/>
  <c r="J113" i="1"/>
  <c r="C299" i="1" l="1"/>
  <c r="G169" i="1"/>
  <c r="H167" i="1" s="1"/>
  <c r="C297" i="1"/>
  <c r="C272" i="1"/>
  <c r="A160" i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F165" i="1"/>
  <c r="G161" i="1"/>
  <c r="F160" i="1"/>
  <c r="G162" i="1"/>
  <c r="F159" i="1"/>
  <c r="G164" i="1"/>
  <c r="G160" i="1"/>
  <c r="G159" i="1"/>
  <c r="D159" i="1"/>
  <c r="E159" i="1"/>
  <c r="G165" i="1"/>
  <c r="F162" i="1"/>
  <c r="E165" i="1"/>
  <c r="E160" i="1"/>
  <c r="F163" i="1"/>
  <c r="E164" i="1"/>
  <c r="E161" i="1"/>
  <c r="F164" i="1"/>
  <c r="G163" i="1"/>
  <c r="F161" i="1"/>
  <c r="E163" i="1"/>
  <c r="H165" i="1" l="1"/>
  <c r="H163" i="1"/>
  <c r="H160" i="1"/>
  <c r="H162" i="1"/>
  <c r="H161" i="1"/>
  <c r="H159" i="1"/>
  <c r="I145" i="51" l="1"/>
  <c r="I140" i="51"/>
  <c r="F162" i="51" s="1"/>
  <c r="I144" i="51"/>
  <c r="F167" i="51" s="1"/>
  <c r="F166" i="51"/>
  <c r="U174" i="51"/>
  <c r="W174" i="51" s="1"/>
  <c r="I138" i="51"/>
  <c r="F160" i="51"/>
  <c r="I137" i="51"/>
  <c r="C267" i="51" s="1"/>
  <c r="I139" i="51"/>
  <c r="C279" i="51" s="1"/>
  <c r="U185" i="51"/>
  <c r="W185" i="51" s="1"/>
  <c r="H187" i="51"/>
  <c r="J187" i="51" s="1"/>
  <c r="U178" i="51"/>
  <c r="W178" i="51" s="1"/>
  <c r="V139" i="51"/>
  <c r="I148" i="51" s="1"/>
  <c r="U177" i="51"/>
  <c r="H189" i="51" s="1"/>
  <c r="J189" i="51" s="1"/>
  <c r="D522" i="51"/>
  <c r="I143" i="51"/>
  <c r="H190" i="51" l="1"/>
  <c r="J190" i="51" s="1"/>
  <c r="C309" i="51"/>
  <c r="F170" i="51"/>
  <c r="U188" i="51"/>
  <c r="W188" i="51" s="1"/>
  <c r="V136" i="51"/>
  <c r="I147" i="51" s="1"/>
  <c r="C307" i="51" s="1"/>
  <c r="V137" i="51"/>
  <c r="F159" i="51"/>
  <c r="H159" i="51" s="1"/>
  <c r="F165" i="51"/>
  <c r="H163" i="51" s="1"/>
  <c r="F161" i="51"/>
  <c r="H161" i="51" s="1"/>
  <c r="U187" i="51"/>
  <c r="V141" i="51"/>
  <c r="U176" i="51"/>
  <c r="W176" i="51" s="1"/>
  <c r="C294" i="51"/>
  <c r="W177" i="51"/>
  <c r="V140" i="51"/>
  <c r="U186" i="51"/>
  <c r="W186" i="51" s="1"/>
  <c r="V138" i="51"/>
  <c r="U175" i="51"/>
  <c r="W175" i="51" s="1"/>
  <c r="F169" i="51" l="1"/>
  <c r="H168" i="51" s="1"/>
  <c r="W187" i="51"/>
  <c r="H188" i="51"/>
  <c r="J188" i="51" s="1"/>
</calcChain>
</file>

<file path=xl/comments1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2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3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4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5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6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7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8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9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10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11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12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13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14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15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16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17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18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19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20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21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22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23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24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25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26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  <comment ref="D129" authorId="0" shapeId="0">
      <text>
        <r>
          <rPr>
            <sz val="16"/>
            <color indexed="81"/>
            <rFont val="Tahoma"/>
            <family val="2"/>
          </rPr>
          <t>เลือกยางเฟรมกันน้ำ</t>
        </r>
      </text>
    </comment>
  </commentList>
</comments>
</file>

<file path=xl/comments27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28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29.xml><?xml version="1.0" encoding="utf-8"?>
<comments xmlns="http://schemas.openxmlformats.org/spreadsheetml/2006/main">
  <authors>
    <author>เฉลิมเกียรติ ศรีณรงค์</author>
  </authors>
  <commentLis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30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31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32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33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34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35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36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37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38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39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40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41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42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43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44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45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46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comments47.xml><?xml version="1.0" encoding="utf-8"?>
<comments xmlns="http://schemas.openxmlformats.org/spreadsheetml/2006/main">
  <authors>
    <author>เฉลิมเกียรติ ศรีณรงค์</author>
  </authors>
  <commentList>
    <comment ref="D123" authorId="0" shapeId="0">
      <text>
        <r>
          <rPr>
            <b/>
            <sz val="16"/>
            <color indexed="81"/>
            <rFont val="Tahoma"/>
            <family val="2"/>
          </rPr>
          <t>เลือกสีผิวงาน</t>
        </r>
      </text>
    </comment>
    <comment ref="D127" authorId="0" shapeId="0">
      <text>
        <r>
          <rPr>
            <b/>
            <sz val="16"/>
            <color indexed="81"/>
            <rFont val="Tahoma"/>
            <family val="2"/>
          </rPr>
          <t>เลือกขนาดกระจก</t>
        </r>
      </text>
    </comment>
  </commentList>
</comments>
</file>

<file path=xl/sharedStrings.xml><?xml version="1.0" encoding="utf-8"?>
<sst xmlns="http://schemas.openxmlformats.org/spreadsheetml/2006/main" count="19328" uniqueCount="684">
  <si>
    <t xml:space="preserve"> </t>
  </si>
  <si>
    <t>Silver</t>
  </si>
  <si>
    <t>ITEM</t>
  </si>
  <si>
    <t>DESCRIPTION</t>
  </si>
  <si>
    <t>DIE NO.</t>
  </si>
  <si>
    <t>KG/m</t>
  </si>
  <si>
    <t>QTY</t>
  </si>
  <si>
    <t xml:space="preserve">เฟรมล่าง </t>
  </si>
  <si>
    <t>เสากุญแจ</t>
  </si>
  <si>
    <t>PARTS LIST HARDWARE &amp; ACCESSORIES</t>
  </si>
  <si>
    <t>#8x38 mm. SS PH SELF TAPPING SCREW</t>
  </si>
  <si>
    <t>-</t>
  </si>
  <si>
    <t>CUTTING
(mm)</t>
  </si>
  <si>
    <t>CUTTING 
FORMULA</t>
  </si>
  <si>
    <t>Fabricators Guide</t>
  </si>
  <si>
    <t>Grey sahara</t>
  </si>
  <si>
    <t>Finish</t>
  </si>
  <si>
    <t>Frame Thickness :</t>
  </si>
  <si>
    <t>PARTS LIST EXTRUSIONS</t>
  </si>
  <si>
    <t>PER</t>
  </si>
  <si>
    <t>Pack QTY</t>
  </si>
  <si>
    <t>HOMELIFE</t>
  </si>
  <si>
    <t>LENGTH/SET(m)</t>
  </si>
  <si>
    <t>TAKE OFF/6.4M</t>
  </si>
  <si>
    <t>QTY/SET</t>
  </si>
  <si>
    <t>BAR 
DRAWING</t>
  </si>
  <si>
    <t>WIDTH</t>
  </si>
  <si>
    <t>FORMULA</t>
  </si>
  <si>
    <t>DRAWING</t>
  </si>
  <si>
    <t>THAI</t>
  </si>
  <si>
    <t>QUICK REFERENCE FORMULA</t>
  </si>
  <si>
    <t>101.6 x35mm Frame 300 Pascal sill</t>
  </si>
  <si>
    <t xml:space="preserve"> 101.6 x 35mm FRAME - 300 PASCAL SILL</t>
  </si>
  <si>
    <t>OUTSIDE FRAME ASSEMBLY</t>
  </si>
  <si>
    <t>INSIDE SASH ASSEMBLY</t>
  </si>
  <si>
    <t>HEIGHT</t>
  </si>
  <si>
    <t xml:space="preserve">240 Series Bi Fold Door </t>
  </si>
  <si>
    <t>240-2 Panel (L)</t>
  </si>
  <si>
    <t xml:space="preserve">Outside Bi Fold Door </t>
  </si>
  <si>
    <t>HEAD</t>
  </si>
  <si>
    <t>SILL</t>
  </si>
  <si>
    <t>DOOR STOP HEAD</t>
  </si>
  <si>
    <t>DOOR STOP SILL</t>
  </si>
  <si>
    <t>SASH (Hor) (T)</t>
  </si>
  <si>
    <t>SASH (Hor) (B)</t>
  </si>
  <si>
    <t>35 SERIES TRACK INSERT</t>
  </si>
  <si>
    <t>B24001</t>
  </si>
  <si>
    <t>B24003</t>
  </si>
  <si>
    <t>B24002</t>
  </si>
  <si>
    <t>B24004</t>
  </si>
  <si>
    <t>B24007</t>
  </si>
  <si>
    <t>B24008</t>
  </si>
  <si>
    <t>W-60</t>
  </si>
  <si>
    <t>กระจก 6 mm (สูง) (กว้าง)</t>
  </si>
  <si>
    <t>GLASS thk.6 mm (H) (W)</t>
  </si>
  <si>
    <t>JAMB (L)</t>
  </si>
  <si>
    <t>JAMB (R)</t>
  </si>
  <si>
    <t xml:space="preserve">SASH (Ver) </t>
  </si>
  <si>
    <t xml:space="preserve">SASH (Ver) LOCK </t>
  </si>
  <si>
    <t>B24005</t>
  </si>
  <si>
    <t>B24006</t>
  </si>
  <si>
    <t>H</t>
  </si>
  <si>
    <t>H-96</t>
  </si>
  <si>
    <t>H-92</t>
  </si>
  <si>
    <t>H-242</t>
  </si>
  <si>
    <t>เฟรมบน</t>
  </si>
  <si>
    <t xml:space="preserve">FLUSH BOLT RECEIVER </t>
  </si>
  <si>
    <t>SETTING BLOCK</t>
  </si>
  <si>
    <t>#8x12 mm. CSK SELF TAPPING SCREW</t>
  </si>
  <si>
    <t>02-022</t>
  </si>
  <si>
    <t>02-033</t>
  </si>
  <si>
    <t>02-025</t>
  </si>
  <si>
    <t>02-031</t>
  </si>
  <si>
    <t>04-016</t>
  </si>
  <si>
    <t>02-037</t>
  </si>
  <si>
    <t>02-015</t>
  </si>
  <si>
    <t>02-016</t>
  </si>
  <si>
    <t>Left Hand Pivot Set</t>
  </si>
  <si>
    <t>Right Hand End Carrier Set</t>
  </si>
  <si>
    <t>Standard Hinge Handle Set</t>
  </si>
  <si>
    <t>05-006</t>
  </si>
  <si>
    <t>05-009</t>
  </si>
  <si>
    <t>05-004</t>
  </si>
  <si>
    <t>05-014</t>
  </si>
  <si>
    <t>04-004</t>
  </si>
  <si>
    <t>TOTAL
LENGTH/SET(mm)</t>
  </si>
  <si>
    <t>ตัวตับธรณี</t>
  </si>
  <si>
    <t>บังใบบน</t>
  </si>
  <si>
    <t>เฟรมข้าง (ซ้าย)</t>
  </si>
  <si>
    <t>เฟรมข้าง (ขวา)</t>
  </si>
  <si>
    <t>ขวางบน</t>
  </si>
  <si>
    <t>ขวางล่าง</t>
  </si>
  <si>
    <t>เสา</t>
  </si>
  <si>
    <t>240-2 Panel (R)</t>
  </si>
  <si>
    <t>Right Hand Pivot Set</t>
  </si>
  <si>
    <t>Left Hand End Carrier Set</t>
  </si>
  <si>
    <t>05-007</t>
  </si>
  <si>
    <t>05-008</t>
  </si>
  <si>
    <t>240-3 Panel (L)</t>
  </si>
  <si>
    <t>SASH (Ver) LOCK HANDLE</t>
  </si>
  <si>
    <t>Intermediate Carrier Set</t>
  </si>
  <si>
    <t>Stainless steel mortise lock,handle,cylinder</t>
  </si>
  <si>
    <t>05-011</t>
  </si>
  <si>
    <t>05-005</t>
  </si>
  <si>
    <t>00-024 or 00-027</t>
  </si>
  <si>
    <t>240-3 Panel (R)</t>
  </si>
  <si>
    <t>ประเก็นเฟรมบน</t>
  </si>
  <si>
    <t>ประเก็นเฟรมล่าง</t>
  </si>
  <si>
    <t>สกรู × 38</t>
  </si>
  <si>
    <t>สกรู × 12</t>
  </si>
  <si>
    <t>ตัวรับกลอน</t>
  </si>
  <si>
    <t>หมอนรองกระจก</t>
  </si>
  <si>
    <t>ตัวประคองสลักล็อค</t>
  </si>
  <si>
    <t>ชุดสลักล็อค</t>
  </si>
  <si>
    <t>Guide twin Bolt Rods</t>
  </si>
  <si>
    <t>รางเสริมเปลี่ยนล้อ</t>
  </si>
  <si>
    <t>เสากุญแจมือจับ</t>
  </si>
  <si>
    <t>ชุดบานพับมีมือจับ</t>
  </si>
  <si>
    <t>ชุดล้อแขวนบานตายซ้าย</t>
  </si>
  <si>
    <t>ชุดล้อแขวนบานเปิด</t>
  </si>
  <si>
    <t>ชุดล้อแขวนบานตายขวา</t>
  </si>
  <si>
    <t>offset Hinge Handle Set</t>
  </si>
  <si>
    <t>ชุดมือจับล็อค</t>
  </si>
  <si>
    <t>B24009</t>
  </si>
  <si>
    <t>SASH STOP</t>
  </si>
  <si>
    <t>บังใบ</t>
  </si>
  <si>
    <t>00-020-25</t>
  </si>
  <si>
    <t>Surface mounted flush bolt</t>
  </si>
  <si>
    <t>04-015</t>
  </si>
  <si>
    <t>05-010</t>
  </si>
  <si>
    <t>Meetimg Set</t>
  </si>
  <si>
    <t>ชุดล้อแขวนบานกลาง</t>
  </si>
  <si>
    <t>ชุดบานพับระดับเดียวกัน</t>
  </si>
  <si>
    <t>240-4 Panel (1L3R)</t>
  </si>
  <si>
    <t>240-4 Panel (2L2R)</t>
  </si>
  <si>
    <t>MOHAIR FOR SASH STOP</t>
  </si>
  <si>
    <t>MOHAIR FOR SASH (Ver)</t>
  </si>
  <si>
    <t>02-028</t>
  </si>
  <si>
    <t>02-036</t>
  </si>
  <si>
    <t>240-4 Panel (3L1R)</t>
  </si>
  <si>
    <t>240-4 Panel (4L)</t>
  </si>
  <si>
    <t>Right Hand End Carriert Set</t>
  </si>
  <si>
    <t>ชุดล้อแขวนบานสุดท้าย</t>
  </si>
  <si>
    <t>ชุดบานพับต่างระดับมีมือจับ</t>
  </si>
  <si>
    <t>240-4 Panel (4R)</t>
  </si>
  <si>
    <t>240-5 Panel (2L3R)</t>
  </si>
  <si>
    <t>240-5 Panel (3L2R)</t>
  </si>
  <si>
    <t>240-5 Panel (5L)</t>
  </si>
  <si>
    <t>240-5 Panel (4L1R)</t>
  </si>
  <si>
    <t>240-5 Panel (1L4R)</t>
  </si>
  <si>
    <t>SASH (Ver) LOCK</t>
  </si>
  <si>
    <t xml:space="preserve">SASH (Ver) LOCK  </t>
  </si>
  <si>
    <t xml:space="preserve">SASH STOP </t>
  </si>
  <si>
    <t>240-5 Panel (5R)</t>
  </si>
  <si>
    <t>240-6 Panel (1L5R)</t>
  </si>
  <si>
    <t>240-6 Panel (3L3R)</t>
  </si>
  <si>
    <t>05-013</t>
  </si>
  <si>
    <t>Offset Hinge Only With Handle</t>
  </si>
  <si>
    <t>บานพับต่างระดับมีมือจับ</t>
  </si>
  <si>
    <t>240 BI-FOLD DOOR TYPE</t>
  </si>
  <si>
    <t>【2 Panel】</t>
  </si>
  <si>
    <t>【3 Panel】</t>
  </si>
  <si>
    <t>【4 Panel】</t>
  </si>
  <si>
    <t>240-6 Panel (5L1R)</t>
  </si>
  <si>
    <t>240-6 Panel (6L)</t>
  </si>
  <si>
    <t>05-012</t>
  </si>
  <si>
    <t>Offset Hinge Only With Handle (L)</t>
  </si>
  <si>
    <t>Offset Hinge Only With Handle (R)</t>
  </si>
  <si>
    <t>บานพับต่างระดับมีมือจับ(ขวา)</t>
  </si>
  <si>
    <t>บานพับต่างระดับมีมือจับ(ซ้าย)</t>
  </si>
  <si>
    <t>240-6 Panel (6R)</t>
  </si>
  <si>
    <t>【5 Panel】</t>
  </si>
  <si>
    <t>【6 Panel】</t>
  </si>
  <si>
    <t>【7 Panel】</t>
  </si>
  <si>
    <t>【8 Panel】</t>
  </si>
  <si>
    <t>【9 Panel】</t>
  </si>
  <si>
    <t>【10 Panel】</t>
  </si>
  <si>
    <t>【11 Panel】</t>
  </si>
  <si>
    <t>【12 Panel】</t>
  </si>
  <si>
    <t>【14 Panel】</t>
  </si>
  <si>
    <t>【15 Panel】</t>
  </si>
  <si>
    <t>240-7 Panel (1L6R)</t>
  </si>
  <si>
    <t>240-7 Panel (2L5R)</t>
  </si>
  <si>
    <t>240-7 Panel (3L4R)</t>
  </si>
  <si>
    <t>240-7 Panel (4L3R)</t>
  </si>
  <si>
    <t>SET</t>
  </si>
  <si>
    <t>240-7 Panel (5L2R)</t>
  </si>
  <si>
    <t>240-7 Panel (6L1R)</t>
  </si>
  <si>
    <t>02-032</t>
  </si>
  <si>
    <t>02-034</t>
  </si>
  <si>
    <t>02-026</t>
  </si>
  <si>
    <t>Glass size</t>
  </si>
  <si>
    <t>240-8 Panel (3L5R)</t>
  </si>
  <si>
    <t>02-035</t>
  </si>
  <si>
    <t>กระจก 5 mm (สูง) (กว้าง)</t>
  </si>
  <si>
    <t>GLASS thk.5 mm (H) (W)</t>
  </si>
  <si>
    <t>240-8 Panel (5L3R)</t>
  </si>
  <si>
    <t>240-9 Panel (3L6R)</t>
  </si>
  <si>
    <t>M</t>
  </si>
  <si>
    <t>PART NO.</t>
  </si>
  <si>
    <t>QUANTITY</t>
  </si>
  <si>
    <t>TOTAL</t>
  </si>
  <si>
    <t>PC</t>
  </si>
  <si>
    <t>240-9 Panel (4L5R)</t>
  </si>
  <si>
    <t>240-9 Panel (5L4R)</t>
  </si>
  <si>
    <t>240-9 Panel (6L3R)</t>
  </si>
  <si>
    <t>240-10 Panel (5L5R)</t>
  </si>
  <si>
    <t>240-11 Panel (5L6R)</t>
  </si>
  <si>
    <t>240-11 Panel (6L5R)</t>
  </si>
  <si>
    <t>240-12 Panel (5L7R)</t>
  </si>
  <si>
    <t>240-14 Panel (7L7R)</t>
  </si>
  <si>
    <t>240-15 Panel (7L8R)</t>
  </si>
  <si>
    <t>5-6mm GLAZING BEAD HORIZONTAL</t>
  </si>
  <si>
    <t>5-6mm GLAZING BEAD VERTICAL</t>
  </si>
  <si>
    <t>8-12mm GLAZING BEAD HORIZONTAL</t>
  </si>
  <si>
    <t>14-22mm GLAZING BEAD HORIZONTAL</t>
  </si>
  <si>
    <t>5-6mm คิ้วตบกระจกแนวนอน</t>
  </si>
  <si>
    <t>8-12mm คิ้วตบกระจกแนวนอน</t>
  </si>
  <si>
    <t>14-22mm คิ้วตบกระจกแนวนอน</t>
  </si>
  <si>
    <t>5-6mm คิ้วตบกระจกแนวตั้ง</t>
  </si>
  <si>
    <t>8-12mm คิ้วตบกระจกแนวตั้ง</t>
  </si>
  <si>
    <t>14-22mm คิ้วตบกระจกแนวตั้ง</t>
  </si>
  <si>
    <t>8-12mm GLAZING BEAD VERTICAL</t>
  </si>
  <si>
    <t>14-22mm GLAZING BEAD VERTICAL</t>
  </si>
  <si>
    <t>B24013</t>
  </si>
  <si>
    <t>V</t>
  </si>
  <si>
    <t>5,6,18</t>
  </si>
  <si>
    <t>FRAME SEAL</t>
  </si>
  <si>
    <t>GLAZING BEAD</t>
  </si>
  <si>
    <t>5,8,10,12,18</t>
  </si>
  <si>
    <t>12,20</t>
  </si>
  <si>
    <t>6,20</t>
  </si>
  <si>
    <t>8,14</t>
  </si>
  <si>
    <t>02-045</t>
  </si>
  <si>
    <t>ยางเฟรมกันน้ำ (ธรรมดา)</t>
  </si>
  <si>
    <t>ยางเฟรมกันน้ำ (กันเสียง)</t>
  </si>
  <si>
    <t>FRAME SEAL (Standard)</t>
  </si>
  <si>
    <t>SASH SEAL FOAM (Standard)</t>
  </si>
  <si>
    <t>FRAME SEAL (Soumdproof)</t>
  </si>
  <si>
    <t>SASH SEAL FOAM (Soumdproof)</t>
  </si>
  <si>
    <t>ธรรมดา</t>
  </si>
  <si>
    <t>กันเสียง</t>
  </si>
  <si>
    <t>Frame Seal:</t>
  </si>
  <si>
    <t>Standard</t>
  </si>
  <si>
    <t>Soumdproof</t>
  </si>
  <si>
    <t>ยางแซชกันน้ำ (ธรรมดา)</t>
  </si>
  <si>
    <t>ยางแซชกันน้ำ (กันเสียง)</t>
  </si>
  <si>
    <t>8,14 mm ROLL IN WEDGE</t>
  </si>
  <si>
    <t>5,6,18 mm CAPTIVE WEDGE</t>
  </si>
  <si>
    <t>12,20 mm CAPTIVE WEDGE</t>
  </si>
  <si>
    <t>5,8,10,12,18 mm ROLL IN WEDGE</t>
  </si>
  <si>
    <t>6,20 mm ROLL IN WEDGE</t>
  </si>
  <si>
    <t>5,6,18 mm ยางรองกระจก</t>
  </si>
  <si>
    <t>12,20 mm ยางรองกระจก</t>
  </si>
  <si>
    <t>5,8,10,12,18 mmยางอัดกระจก</t>
  </si>
  <si>
    <t>6,20 mm ยางอัดกระจก</t>
  </si>
  <si>
    <t>8,14 mm ยางอัดกระจก</t>
  </si>
  <si>
    <t>กระจก 8 mm (สูง) (กว้าง)</t>
  </si>
  <si>
    <t>GLASS thk.8 mm (H) (W)</t>
  </si>
  <si>
    <t>กระจก 10 mm (สูง) (กว้าง)</t>
  </si>
  <si>
    <t>กระจก 12 mm (สูง) (กว้าง)</t>
  </si>
  <si>
    <t>กระจก 14 mm (สูง) (กว้าง)</t>
  </si>
  <si>
    <t>กระจก 18 mm (สูง) (กว้าง)</t>
  </si>
  <si>
    <t>กระจก 20 mm (สูง) (กว้าง)</t>
  </si>
  <si>
    <t>กระจก 22 mm (สูง) (กว้าง)</t>
  </si>
  <si>
    <t>GLASS thk.10 mm (H) (W)</t>
  </si>
  <si>
    <t>GLASS thk.12 mm (H) (W)</t>
  </si>
  <si>
    <t>GLASS thk.14 mm (H) (W)</t>
  </si>
  <si>
    <t>GLASS thk.18 mm (H) (W)</t>
  </si>
  <si>
    <t>GLASS thk.20 mm (H) (W)</t>
  </si>
  <si>
    <t>GLASS thk.22 mm (H) (W)</t>
  </si>
  <si>
    <t>Height - 215</t>
  </si>
  <si>
    <t xml:space="preserve">                          Head</t>
  </si>
  <si>
    <t xml:space="preserve">                          ความกว้าง(วงกบ) - 60.00</t>
  </si>
  <si>
    <t xml:space="preserve">                          Door Stop Head</t>
  </si>
  <si>
    <t xml:space="preserve">                          = Frame Width -60.00</t>
  </si>
  <si>
    <t xml:space="preserve">                          Sill</t>
  </si>
  <si>
    <t xml:space="preserve">                          Door Stop Sill</t>
  </si>
  <si>
    <t xml:space="preserve">                          JAMB</t>
  </si>
  <si>
    <t xml:space="preserve">                          ความสูง (วงกบ)</t>
  </si>
  <si>
    <t xml:space="preserve">                          Door Stop Jamb</t>
  </si>
  <si>
    <t xml:space="preserve">                          = FAME HIGHT - 92.00</t>
  </si>
  <si>
    <t xml:space="preserve">                          ความสูง (วงกบ) - 92.00</t>
  </si>
  <si>
    <t xml:space="preserve">                          Sash</t>
  </si>
  <si>
    <t xml:space="preserve">                          Glazing Bead</t>
  </si>
  <si>
    <t xml:space="preserve">                          ความสูง (วงกบ) - 242.00</t>
  </si>
  <si>
    <t xml:space="preserve">                          = FAME HIGHT - 242.00</t>
  </si>
  <si>
    <t xml:space="preserve">                                  = FAME HIGHT</t>
  </si>
  <si>
    <t xml:space="preserve">                          Sash Stop</t>
  </si>
  <si>
    <t>(W-182-113.25)/2</t>
  </si>
  <si>
    <t>((W-182-113.25)/2)-13</t>
  </si>
  <si>
    <t>(W-182-(113.25 × 2))/3</t>
  </si>
  <si>
    <t>(W-185-(113.25 × 3))/4</t>
  </si>
  <si>
    <t>(W-185-(113.25 × 3))/5</t>
  </si>
  <si>
    <t>(W-185-(113.25 × 3))/6</t>
  </si>
  <si>
    <t>(W-182-(113.25 × 3))/4</t>
  </si>
  <si>
    <t>(W-185-(113.25 × 4))/5</t>
  </si>
  <si>
    <t>(W-182-(113.25 × 4))/5</t>
  </si>
  <si>
    <t>(W-185-(113.25 × 5))/6</t>
  </si>
  <si>
    <t>(W-182-(113.25 × 5))/6</t>
  </si>
  <si>
    <t>(W-185-(113.25 × 6))/7</t>
  </si>
  <si>
    <t>(W-185-(113.25 × 7))/8</t>
  </si>
  <si>
    <t>(W-185-(113.25 × 8))/9</t>
  </si>
  <si>
    <t>((W-185-(113.25 × 8)/9)-13</t>
  </si>
  <si>
    <t>(W-185-(113.25 × 9))/10</t>
  </si>
  <si>
    <t>((W-185-(113.25 × 9)/10)-13</t>
  </si>
  <si>
    <t>(W-185-(113.25 × 10))/11</t>
  </si>
  <si>
    <t>((W-185-(113.25 × 10)/11)-13</t>
  </si>
  <si>
    <t>(W-185-(113.25 × 11))/12</t>
  </si>
  <si>
    <t>((W-185-(113.25 × 11)/12)-13</t>
  </si>
  <si>
    <t>(W-185-(113.25 × 13))/14</t>
  </si>
  <si>
    <t>((W-185-(113.25 × 13)/14)-13</t>
  </si>
  <si>
    <t>(W-185-(113.25 × 14))/15</t>
  </si>
  <si>
    <t>((W-185-(113.25 × 14)/15)-13</t>
  </si>
  <si>
    <t>B24001-002</t>
  </si>
  <si>
    <t>B24002-001</t>
  </si>
  <si>
    <t>B24003-001</t>
  </si>
  <si>
    <t>B24004-001</t>
  </si>
  <si>
    <t>B24007-001</t>
  </si>
  <si>
    <t>B24007-002</t>
  </si>
  <si>
    <t>B24008-001</t>
  </si>
  <si>
    <t>B24008-002</t>
  </si>
  <si>
    <t>B24013-001</t>
  </si>
  <si>
    <t>B24013-002</t>
  </si>
  <si>
    <t>B24001-001</t>
  </si>
  <si>
    <t>FG-240-2PL-1</t>
  </si>
  <si>
    <t>FG-240-2PR-01</t>
  </si>
  <si>
    <t>FG-240-3PL-01</t>
  </si>
  <si>
    <t>FG-240-3PR-01</t>
  </si>
  <si>
    <t>FG-240-4P1L3R-1</t>
  </si>
  <si>
    <t>FG-240-4P2L2R-01</t>
  </si>
  <si>
    <t>FG-240-4P3L1R-01</t>
  </si>
  <si>
    <t>FG-240-4P4L-01</t>
  </si>
  <si>
    <t>FG-240-4P4R-01</t>
  </si>
  <si>
    <t>FG-240-5P1L4R-01</t>
  </si>
  <si>
    <t>FG-240-5P2L3R-01</t>
  </si>
  <si>
    <t>FG-240-5P3L2R-01</t>
  </si>
  <si>
    <t>FG-240-5P4L1R-01</t>
  </si>
  <si>
    <t>FG-240-5P5L-01</t>
  </si>
  <si>
    <t>FG-240-5P5R-01</t>
  </si>
  <si>
    <t>FG-240-6P1L5R-01</t>
  </si>
  <si>
    <t>FG-240-6P3L3R-01</t>
  </si>
  <si>
    <t>FG-240-6P6L-01</t>
  </si>
  <si>
    <t>FG-240-6P6R-01</t>
  </si>
  <si>
    <t>FG-240-7P1L6R-01</t>
  </si>
  <si>
    <t>FG-240-7P2L5R-01</t>
  </si>
  <si>
    <t>FG-240-7P3L4R-01</t>
  </si>
  <si>
    <t>FG-240-7P4L3R-01</t>
  </si>
  <si>
    <t>FG-240-7P5L2R-01</t>
  </si>
  <si>
    <t>FG-240-7P6L1R-01</t>
  </si>
  <si>
    <t>FG-240-8P3L5R-01</t>
  </si>
  <si>
    <t>FG-240-8P5L3R-01</t>
  </si>
  <si>
    <t>FG-240-9P3L6R-01</t>
  </si>
  <si>
    <t>FG-240-9P4L5R-01</t>
  </si>
  <si>
    <t>FG-240-9P5L4R-01</t>
  </si>
  <si>
    <t>FG-240-9P6L3R-01</t>
  </si>
  <si>
    <t>FG-240-10P5L5R-01</t>
  </si>
  <si>
    <t>FG-240-11P5L6R-01</t>
  </si>
  <si>
    <t>FG-240-11P6L5R-01</t>
  </si>
  <si>
    <t>FG-240-12P5L7R-01</t>
  </si>
  <si>
    <t>FG-240-14P7L7R-01</t>
  </si>
  <si>
    <t>FG-240-15P7L8R-01</t>
  </si>
  <si>
    <t>B24009-001</t>
  </si>
  <si>
    <t>B24009-002</t>
  </si>
  <si>
    <t>B24009-01</t>
  </si>
  <si>
    <t>B24009-02</t>
  </si>
  <si>
    <t>02-029</t>
  </si>
  <si>
    <t>02-030</t>
  </si>
  <si>
    <t xml:space="preserve">                    Head</t>
  </si>
  <si>
    <t xml:space="preserve">                   Door Stop Head</t>
  </si>
  <si>
    <t xml:space="preserve">                   Sill</t>
  </si>
  <si>
    <t xml:space="preserve">                   Door Stop Sill</t>
  </si>
  <si>
    <t xml:space="preserve">                         = FAME HIGHT</t>
  </si>
  <si>
    <t xml:space="preserve">                   JAMB</t>
  </si>
  <si>
    <t xml:space="preserve">                   Door Stop Jamb</t>
  </si>
  <si>
    <t xml:space="preserve">                   Sash</t>
  </si>
  <si>
    <t xml:space="preserve">                   Glazing Bead</t>
  </si>
  <si>
    <t xml:space="preserve">                   Sash Stop</t>
  </si>
  <si>
    <t xml:space="preserve">                   Head</t>
  </si>
  <si>
    <t xml:space="preserve">                          = FAME HIGHT</t>
  </si>
  <si>
    <t xml:space="preserve">                    JAMB</t>
  </si>
  <si>
    <t xml:space="preserve">                    Door Stop Head</t>
  </si>
  <si>
    <t xml:space="preserve">                    Door Stop Sill</t>
  </si>
  <si>
    <t xml:space="preserve">                    Door Stop Jamb</t>
  </si>
  <si>
    <t xml:space="preserve">                    Glazing Bead</t>
  </si>
  <si>
    <t xml:space="preserve">                    Sill</t>
  </si>
  <si>
    <t xml:space="preserve">                    Sash</t>
  </si>
  <si>
    <t xml:space="preserve">                    Sash Stop</t>
  </si>
  <si>
    <t xml:space="preserve">                  JAMB</t>
  </si>
  <si>
    <t>Mill Finish</t>
  </si>
  <si>
    <t>Natural Anodise</t>
  </si>
  <si>
    <t>SMS White</t>
  </si>
  <si>
    <t>SMS Black</t>
  </si>
  <si>
    <t>Black Anodise</t>
  </si>
  <si>
    <t>Grey Sahara</t>
  </si>
  <si>
    <t>Aztec Grey</t>
  </si>
  <si>
    <t>Golden Teak Wood Grain</t>
  </si>
  <si>
    <t>Custom Colours</t>
  </si>
  <si>
    <t>B24016</t>
  </si>
  <si>
    <t>B24016-001</t>
  </si>
  <si>
    <t>B24016-002</t>
  </si>
  <si>
    <t>GLASS</t>
  </si>
  <si>
    <t>((W-182-(113.25 × 2)/3)-13</t>
  </si>
  <si>
    <t>((W-185-(113.25 × 3)/4)-13</t>
  </si>
  <si>
    <t>((W-182-(113.25 × 3)/4)-13</t>
  </si>
  <si>
    <t>((W-185-(113.25 × 4)/5)-13</t>
  </si>
  <si>
    <t>((W-182-(113.25 × 4)/5)-13</t>
  </si>
  <si>
    <t>((W-185-(113.25 × 5)/6)-13</t>
  </si>
  <si>
    <t>((W-182-(113.25 × 5)/6)-13</t>
  </si>
  <si>
    <t>((W-185-(113.25 × 6)/7)-13</t>
  </si>
  <si>
    <t>((W-185-(113.25 × 7)/8)-13</t>
  </si>
  <si>
    <t>POWDER COAT</t>
  </si>
  <si>
    <t xml:space="preserve">                          = ((Frame Width - 185)-(113.25 × 5))/6</t>
  </si>
  <si>
    <t xml:space="preserve">                         ( (ความกว้างวงกบ - 185)-(113.25 × 5))/6</t>
  </si>
  <si>
    <t xml:space="preserve">                          = (Frame Width - 185)-(113.25 × 5))/6</t>
  </si>
  <si>
    <t xml:space="preserve">                          ((ความกว้างวงกบ - 185)-(113.25 × 5))/6</t>
  </si>
  <si>
    <t xml:space="preserve">                          = ((Frame Width - 185-(113.25 × 3))/4</t>
  </si>
  <si>
    <t xml:space="preserve">                          ((ความกว้างวงกบ - 185-(113.25 × 3))/4</t>
  </si>
  <si>
    <t xml:space="preserve">                          ((ความกว้าง (วงกบ) - 185-(113.25 × 3))/4</t>
  </si>
  <si>
    <t>FG-240-8P4L4R-01</t>
  </si>
  <si>
    <t>240-8 Panel (4L4R)</t>
  </si>
  <si>
    <t xml:space="preserve">                          = (Frame Width - 185-(113.25 × 7))/8</t>
  </si>
  <si>
    <t xml:space="preserve">                          (ความกว้าง (วงกบ) - 185-(113.25 × 7))/8</t>
  </si>
  <si>
    <t xml:space="preserve">                          = ((Frame Width - 185-(113.25 × 8))/9</t>
  </si>
  <si>
    <t xml:space="preserve">                          ((ความกว้าง (วงกบ) - 185-(113.25 × 8))/9</t>
  </si>
  <si>
    <t xml:space="preserve">                          = ((Frame Width - 185-(113.25 × 9))/10</t>
  </si>
  <si>
    <t xml:space="preserve">                          ((ความกว้าง (วงกบ) - 185-(113.25 × 9))/10</t>
  </si>
  <si>
    <t xml:space="preserve">                          ((ความกว้างวงกบ - 185-(113.25 × 9))/10</t>
  </si>
  <si>
    <t xml:space="preserve">                          = ((Frame Width - 185-(113.25 × 10))/11</t>
  </si>
  <si>
    <t xml:space="preserve">                          ((ความกว้าง (วงกบ) - 185-(113.25 × 10))/11</t>
  </si>
  <si>
    <t xml:space="preserve">                          ((ความกว้างวงกบ - 185-(113.25 × 10))/11</t>
  </si>
  <si>
    <t xml:space="preserve">                          = ((Frame Width - 185-(113.25 × 11))/12</t>
  </si>
  <si>
    <t xml:space="preserve">                          ((ความกว้างวงกบ - 185-(113.25 × 11))/12</t>
  </si>
  <si>
    <t xml:space="preserve">                          ((ความกว้าง (วงกบ) - 185-(113.25 × 11))/12</t>
  </si>
  <si>
    <t xml:space="preserve">                          = ((Frame Width - 185-(113.25 × 13))/14</t>
  </si>
  <si>
    <t xml:space="preserve">                          ((ความกว้างวงกบ - 185-(113.25 × 13))/14</t>
  </si>
  <si>
    <t xml:space="preserve">                          = ((Frame Width - 185-(113.25 × 14))/15</t>
  </si>
  <si>
    <t xml:space="preserve">                          ((ความกว้างวงกบ - 185-(113.25 × 14))/15</t>
  </si>
  <si>
    <t xml:space="preserve">                          ความสูงวงกบ - 92.00</t>
  </si>
  <si>
    <t xml:space="preserve">                          ความสูงวงกบ - 242.00</t>
  </si>
  <si>
    <t xml:space="preserve">                          ความสูงวงกบ</t>
  </si>
  <si>
    <t xml:space="preserve">                          ความกว้างวงกบ - 60.00</t>
  </si>
  <si>
    <t xml:space="preserve">                          = ((Frame Width - 185-(113.25 × 7))/8</t>
  </si>
  <si>
    <t xml:space="preserve">                          ((ความกว้าง (วงกบ) - 185-(113.25 × 7))/8</t>
  </si>
  <si>
    <t xml:space="preserve">                          = ((Frame Width - 185-(113.25 × 6))/7</t>
  </si>
  <si>
    <t xml:space="preserve">                          ((ความกว้าง (วงกบ) - 185-(113.25 × 6))/7</t>
  </si>
  <si>
    <t xml:space="preserve">                         ((ความกว้าง (วงกบ) - 185-(113.25 × 6))/7</t>
  </si>
  <si>
    <t xml:space="preserve">                          = ((Frame Width - 2185-(113.25 × 6))/7</t>
  </si>
  <si>
    <t xml:space="preserve">                          = ((Frame Width - 182-(113.25 × 5))/6</t>
  </si>
  <si>
    <t xml:space="preserve">                          ((ความกว้างวงกบ - 182-(113.25 × 5))/6</t>
  </si>
  <si>
    <t xml:space="preserve">                          ((ความกว้าง (วงกบ) - 182-(113.25 × 5))/6</t>
  </si>
  <si>
    <t xml:space="preserve">                          = ((Frame Width - 185-(113.25 × 5))/6</t>
  </si>
  <si>
    <t xml:space="preserve">                          ((ความกว้าง (วงกบ) - 185-(113.25 × 5))/6</t>
  </si>
  <si>
    <t xml:space="preserve">                          = ((Frame Width - 182-(113.25 × 4))/5</t>
  </si>
  <si>
    <t xml:space="preserve">                          ((ความกว้าง (วงกบ) - 182-(113.25 × 4))/5</t>
  </si>
  <si>
    <t xml:space="preserve">                          = ((Frame Width - 185-(113.25 × 4))/5</t>
  </si>
  <si>
    <t xml:space="preserve">                          ((ความกว้าง (วงกบ) - 185-(113.25 × 4))/5</t>
  </si>
  <si>
    <t xml:space="preserve">                          = ((Frame Width - 182-(113.25 × 3))/4</t>
  </si>
  <si>
    <t xml:space="preserve">                          ((ความกว้าง (วงกบ) - 182-(113.25 × 3))/4</t>
  </si>
  <si>
    <t xml:space="preserve">                          = ((Frame Width - 182-(113.25 × 2))/3</t>
  </si>
  <si>
    <t xml:space="preserve">                          ((ความกว้าง (วงกบ) - 182-(113.25 × 2))/3</t>
  </si>
  <si>
    <t xml:space="preserve">                          ((ความกว้างวงกบ - 182-(113.25 × 2))/3</t>
  </si>
  <si>
    <t xml:space="preserve">                          = ((Frame Width - 182-113.25)/2</t>
  </si>
  <si>
    <t xml:space="preserve">                          ((ความกว้าง (วงกบ) - 182-113.25)/2</t>
  </si>
  <si>
    <t>Door Middle</t>
  </si>
  <si>
    <t>B25006</t>
  </si>
  <si>
    <t>ตัวแบ่งบาน</t>
  </si>
  <si>
    <t>B25006-001</t>
  </si>
  <si>
    <t>P1</t>
  </si>
  <si>
    <t>P2</t>
  </si>
  <si>
    <t>SASH -P1-P2-112.5</t>
  </si>
  <si>
    <t>SASH -(2P1)-75</t>
  </si>
  <si>
    <t>5-6mm GLAZING BEAD VERTICAL P1</t>
  </si>
  <si>
    <t>8-12mm GLAZING BEAD VERTICAL P1</t>
  </si>
  <si>
    <t>14-22mm GLAZING BEAD VERTICAL P1</t>
  </si>
  <si>
    <t>5-6mm GLAZING BEAD VERTICAL P2</t>
  </si>
  <si>
    <t>8-12mm GLAZING BEAD VERTICAL P2</t>
  </si>
  <si>
    <t>14-22mm GLAZING BEAD VERTICAL P2</t>
  </si>
  <si>
    <t>B24007-007</t>
  </si>
  <si>
    <t>B24007-008</t>
  </si>
  <si>
    <t>B24007-009</t>
  </si>
  <si>
    <t>PANEL 1 Height - 85.5</t>
  </si>
  <si>
    <t>PANEL 2 Height - 48</t>
  </si>
  <si>
    <t>= ((Frame Width - 185)-(113.25 × 5))/6</t>
  </si>
  <si>
    <t>( (ความกว้างวงกบ - 185)-(113.25 × 5))/6</t>
  </si>
  <si>
    <t>= ((Frame Width - 185-(113.25 × 3))/4</t>
  </si>
  <si>
    <t xml:space="preserve"> ((ความกว้างวงกบ - 185-(113.25 × 3))/4</t>
  </si>
  <si>
    <t>POWDER COATED</t>
  </si>
  <si>
    <t>B24005-001L</t>
  </si>
  <si>
    <t>B24005-002R</t>
  </si>
  <si>
    <t>LOCK STRIKER</t>
  </si>
  <si>
    <t>แผ่นรับล็อค</t>
  </si>
  <si>
    <t>Left Hand End Carriert Set</t>
  </si>
  <si>
    <t>04-024</t>
  </si>
  <si>
    <t>00-24 or 00-027</t>
  </si>
  <si>
    <t>FG-240-6P5L1R-01</t>
  </si>
  <si>
    <t>B24007-005L</t>
  </si>
  <si>
    <t>B24007-006R</t>
  </si>
  <si>
    <t>5-6-8mm คิ้วตบกระจกแนวนอน</t>
  </si>
  <si>
    <t>5-6-8mm GLAZING BEAD HORIZONTAL</t>
  </si>
  <si>
    <t>5-6-8mm คิ้วตบกระจกแนวตั้ง</t>
  </si>
  <si>
    <t>5-6-8mm GLAZING BEAD VERTICAL</t>
  </si>
  <si>
    <t>Twin Bolt + Rods</t>
  </si>
  <si>
    <t>FRAME SEAL BI-FOLD HEAD (L/R)</t>
  </si>
  <si>
    <t>FRAME SEAL BI-FOLD SILL (L/R)</t>
  </si>
  <si>
    <t>B24005-004R</t>
  </si>
  <si>
    <t>B24007-003L</t>
  </si>
  <si>
    <t>B24007-004R</t>
  </si>
  <si>
    <t>B24005-003L</t>
  </si>
  <si>
    <t>240-12 Panel (6L6R)</t>
  </si>
  <si>
    <t>FG-240-12P6L6R-01</t>
  </si>
  <si>
    <t>Powder Coat</t>
  </si>
  <si>
    <t>สักหลาดบังใบ</t>
  </si>
  <si>
    <t>สักหลาดเสา</t>
  </si>
  <si>
    <t>B24006-001L</t>
  </si>
  <si>
    <t>B24006-002R</t>
  </si>
  <si>
    <t>DOOR STOP JAMB (L)</t>
  </si>
  <si>
    <t>DOOR STOP JAMB (R)</t>
  </si>
  <si>
    <t>บังใบข้าง (ซ้าย)</t>
  </si>
  <si>
    <t>บังใบข้าง (ขวา)</t>
  </si>
  <si>
    <t>04-009</t>
  </si>
  <si>
    <t>00-020-90</t>
  </si>
  <si>
    <t>Left Hand carrier Set</t>
  </si>
  <si>
    <t>ชุดล้อและไกด์บานเปิดซ้าย</t>
  </si>
  <si>
    <t>240-8 Panel (8R)</t>
  </si>
  <si>
    <t>FG-240-8P8R-01</t>
  </si>
  <si>
    <t>REFERENCE (เอกสารอ้างอิงของซีรี่ย์ 240 ประตูบานเฟี๊ยม)</t>
  </si>
  <si>
    <t>ข้อมูลแม่พิมพ์</t>
  </si>
  <si>
    <t>IMAGE</t>
  </si>
  <si>
    <t>THICKNESS(mm.)</t>
  </si>
  <si>
    <t>WEIGHT(Kg./m.)</t>
  </si>
  <si>
    <t>B24001-18</t>
  </si>
  <si>
    <t>HEAD / เฟรมบน</t>
  </si>
  <si>
    <t>B24002-14</t>
  </si>
  <si>
    <t>DOOR STOP HEAD / บังใบบน</t>
  </si>
  <si>
    <t>B24003-15</t>
  </si>
  <si>
    <t>SILL / เฟรมล่าง</t>
  </si>
  <si>
    <t>B26003-15</t>
  </si>
  <si>
    <t>B26003-17</t>
  </si>
  <si>
    <t>B26003-20</t>
  </si>
  <si>
    <t>B24004-14</t>
  </si>
  <si>
    <t>DOOR STOP SILL / ตัวตบธรณี</t>
  </si>
  <si>
    <t>B24005-15</t>
  </si>
  <si>
    <t>JAMB / เฟรมข้าง</t>
  </si>
  <si>
    <t>B24006-12</t>
  </si>
  <si>
    <t>DOOR STOP JAMB / บังใบข้าง</t>
  </si>
  <si>
    <t xml:space="preserve">  </t>
  </si>
  <si>
    <t>B24007-15</t>
  </si>
  <si>
    <t>SASH STILE / กรอบบานกระจก(แนวนอน)</t>
  </si>
  <si>
    <t>B24008-12</t>
  </si>
  <si>
    <t>GLAZING BEAD / คิ้วตบกระจก 5-6 มิลลิเมตร</t>
  </si>
  <si>
    <t>B24016-12</t>
  </si>
  <si>
    <t>GLAZING BEAD / คิ้วตบกระจก 8-12 มิลลิเมตร</t>
  </si>
  <si>
    <t>B24013-12</t>
  </si>
  <si>
    <t>GLAZING BEAD / คิ้วตบกระจก 14-20 มิลลิเมตร</t>
  </si>
  <si>
    <t>B24009-12</t>
  </si>
  <si>
    <t>SASH STOP / คิ้วบานประตูเปิดคู่</t>
  </si>
  <si>
    <t>B24017-15</t>
  </si>
  <si>
    <t>BIFOLD ROLLER / รางยู</t>
  </si>
  <si>
    <t>B25006-15</t>
  </si>
  <si>
    <t>DOOR MIDDLE / ซอยลูกฟัก</t>
  </si>
  <si>
    <t>ข้อมูลฮาร์ดแวร์</t>
  </si>
  <si>
    <t>CODE SMS.</t>
  </si>
  <si>
    <t>GROUP</t>
  </si>
  <si>
    <t>00-024-BL</t>
  </si>
  <si>
    <t>STAINLESS STEEL MORTISE LOCK-HANDLE / มือจับ</t>
  </si>
  <si>
    <t>มือจับสแตนเลสประตูบานเปิด(ด้ามจับทรงโค้ง)-สีดำ</t>
  </si>
  <si>
    <t>00-024-SL</t>
  </si>
  <si>
    <t>มือจับสแตนเลสประตูบานเปิด(ด้ามจับทรงโค้ง)-สีเงิน</t>
  </si>
  <si>
    <t>00-017-SL-R</t>
  </si>
  <si>
    <t>00-024-WH</t>
  </si>
  <si>
    <t>มือจับสแตนเลสประตูบานเปิด(ด้ามจับทรงโค้ง)-สีขาว</t>
  </si>
  <si>
    <t>00-017-WH-R</t>
  </si>
  <si>
    <t>00-027-BL</t>
  </si>
  <si>
    <t>มือจับสแตนเลสประตูบานเปิด(ด้ามจับทรงเหลี่ยม)-สีดำ</t>
  </si>
  <si>
    <t>00-027-SL</t>
  </si>
  <si>
    <t>มือจับสแตนเลสประตูบานเปิด(ด้ามจับทรงเหลี่ยม)-สีเงิน</t>
  </si>
  <si>
    <t>00-027-WH</t>
  </si>
  <si>
    <t>มือจับสแตนเลสประตูบานเปิด(ด้ามจับทรงเหลี่ยม)-สีขาว</t>
  </si>
  <si>
    <t>CONCEALED FLUSH BOLT / ชุดล็อค</t>
  </si>
  <si>
    <t>กลอนสวิง ขนาด 25เซนติเมตร</t>
  </si>
  <si>
    <t>00-020-50</t>
  </si>
  <si>
    <t>กลอนสวิง ขนาด 50เซนติเมตร</t>
  </si>
  <si>
    <t>กลอนสวิง ขนาด 90เซนติเมตร</t>
  </si>
  <si>
    <t>FRAME SEAL / แผ่นประเก็นกันน้ำ</t>
  </si>
  <si>
    <t>ประเก็นกันน้ำ เฟรมบนบานเฟี๊ยม B24001 HEAD</t>
  </si>
  <si>
    <t>ประเก็นกันน้ำ เฟรมล่างบานเฟี๊ยม B24003 SILL</t>
  </si>
  <si>
    <t>GASKET / ยาง</t>
  </si>
  <si>
    <t>(5 mm GLASS) INSERT GLAZING / 5mm ยางรอง</t>
  </si>
  <si>
    <t>FRAME SEAL-FOAM / ยางวงกบบานเฟี๊ยม ชนิดโฟม</t>
  </si>
  <si>
    <t>SASH SEAL FOAM/ยางขอบกรอบบาน(วัสดุโฟม)</t>
  </si>
  <si>
    <t>(6 mm GLASS) INSERT GLAZING / 6mm ยางรอง</t>
  </si>
  <si>
    <t>ROLL IN WEDGE FOR GLASS 5 mm  /5mm ยางอัด</t>
  </si>
  <si>
    <t>ROLL IN WEDGE FOR GLASS 6 mm  /6mm ยางอัด</t>
  </si>
  <si>
    <t>ROLL IN WEDGE FOR GLASS 14 mm  /14mm ยางอัด</t>
  </si>
  <si>
    <t>00-040</t>
  </si>
  <si>
    <t>CYLINDER / ชุดล็อค-ไส้กุญแจ</t>
  </si>
  <si>
    <t xml:space="preserve">ชุดล็อค กุญแจนอกบ้าน-ลูกบิดในบ้าน </t>
  </si>
  <si>
    <t>00-041</t>
  </si>
  <si>
    <t>ชุดล็อค กุญแจนอกบ้าน-ในบ้าน</t>
  </si>
  <si>
    <t>05-001</t>
  </si>
  <si>
    <t>BIFOLD HARDWARE / อุปกรณ์ชุดบานเฟี๊ยม</t>
  </si>
  <si>
    <t>STANDARD HINGE ONLY / บานพับระดับเดียวกัน</t>
  </si>
  <si>
    <t>05-002</t>
  </si>
  <si>
    <t>OFFSET HINGE ONLY / บานพับต่างระดับ</t>
  </si>
  <si>
    <t>05-003</t>
  </si>
  <si>
    <t>STANDARD HINGE SET-NO HANDLE / ชุดบานพับระดับเดียวกัน</t>
  </si>
  <si>
    <t>STANDARD HINGE SET-WITH HANDLE / ชุดบานพับระดับเดียวกันและบานพับมือจับ</t>
  </si>
  <si>
    <t>OFFSET HINGE SET-WITH HANDLE / ชุดบานพับต่างระดับและบานพับมือจับ</t>
  </si>
  <si>
    <t>LEFT HAND PIVOT SET / แกนหมุนบานพับข้างซ้าย</t>
  </si>
  <si>
    <t>RIGHT HAND PIVOT SET / แกนหมุนบานพับข้างขวา</t>
  </si>
  <si>
    <t>LEFT HAND CARRIER SET / ชุดล้อบนและไกด์บานเปิดซ้าย</t>
  </si>
  <si>
    <t>RIGHT HAND CARRIER SET / ชุดล้อบนและไกด์บานเปิดขวา</t>
  </si>
  <si>
    <t>MEETING SET / ชุดล้อบนและไกด์บานเปิดกลาง</t>
  </si>
  <si>
    <t>INTERMEDIATE SET / ชุดล้อบน, บานพับ และไกด์บานกลาง</t>
  </si>
  <si>
    <t>STANDARD HINGE ONLY-WITH HANDLE / บานพับมือจับสแตนดาร์ด</t>
  </si>
  <si>
    <t>OFFSET HINGE ONLY-WITH HANDLE / บานพับมือจับเยื้อง</t>
  </si>
  <si>
    <t>TWIN BOLT / มือจับกลอนมัลติพอยท์-ล็อค</t>
  </si>
  <si>
    <t>ACCESSORIES / อุปกรณ์เสริม</t>
  </si>
  <si>
    <t>GLASS SETTING BLOCK 6X10-ยางรองกระจก</t>
  </si>
  <si>
    <t>04-003</t>
  </si>
  <si>
    <t>FLUSH BOLT GUIDE-ไกด์บานเฟี๊ยม กลอนยาว(แกนกลม)</t>
  </si>
  <si>
    <t>TRACK INSERT / ปิดร่องเฟรมบน</t>
  </si>
  <si>
    <t>FLUSH BOLT GUIDE-ไกด์บานเฟี๊ยม กลอนยาวคู่(แกนเหลี่ยม)</t>
  </si>
  <si>
    <t>FLUSH BOLT RECEIVER BI-FOLD-ฝาปิดรูกลอน บานเฟี๊ยม</t>
  </si>
  <si>
    <t xml:space="preserve">ชื่อโครงการ   </t>
  </si>
  <si>
    <t xml:space="preserve">ความหนาเฟรม   </t>
  </si>
  <si>
    <t>Standard (มาตรฐาน)</t>
  </si>
  <si>
    <t xml:space="preserve">สีอลูมิเนียม   </t>
  </si>
  <si>
    <t>Finish :</t>
  </si>
  <si>
    <t>Hardware colour :</t>
  </si>
  <si>
    <t xml:space="preserve">สีฮาร์ดแวร์   </t>
  </si>
  <si>
    <t xml:space="preserve">กระจก   </t>
  </si>
  <si>
    <t>Glass :</t>
  </si>
  <si>
    <t xml:space="preserve">ยางเฟรม </t>
  </si>
  <si>
    <t>Project Name :</t>
  </si>
  <si>
    <t>Frame Seal :</t>
  </si>
  <si>
    <r>
      <t xml:space="preserve">Quantity
</t>
    </r>
    <r>
      <rPr>
        <sz val="11"/>
        <color theme="8" tint="-0.249977111117893"/>
        <rFont val="Tahoma"/>
        <family val="2"/>
      </rPr>
      <t>จำนวน</t>
    </r>
  </si>
  <si>
    <r>
      <t xml:space="preserve">Height
</t>
    </r>
    <r>
      <rPr>
        <sz val="11"/>
        <color theme="8" tint="-0.249977111117893"/>
        <rFont val="Tahoma"/>
        <family val="2"/>
      </rPr>
      <t>ความสูง</t>
    </r>
  </si>
  <si>
    <r>
      <t xml:space="preserve">Width
</t>
    </r>
    <r>
      <rPr>
        <sz val="11"/>
        <color theme="8" tint="-0.249977111117893"/>
        <rFont val="Tahoma"/>
        <family val="2"/>
      </rPr>
      <t>ความกว้าง</t>
    </r>
  </si>
  <si>
    <t>FG-240-3P2L1R-01</t>
  </si>
  <si>
    <t>Sash Stop</t>
  </si>
  <si>
    <t>= FAME HIGHT - 92.00</t>
  </si>
  <si>
    <t>ความสูง (วงกบ) - 92.00</t>
  </si>
  <si>
    <t>240-3 Panel (2L1R)</t>
  </si>
  <si>
    <t>240-3 Panel (1L2R)</t>
  </si>
  <si>
    <t>FG-240-3P1L2R-01</t>
  </si>
  <si>
    <t>กลอนสวิง 250 มม.</t>
  </si>
  <si>
    <t>กลอนสวิง 900 มม.</t>
  </si>
  <si>
    <t xml:space="preserve">                          = FAME HIGHT - 96</t>
  </si>
  <si>
    <t xml:space="preserve">                          ความสูง (วงกบ) - 96</t>
  </si>
  <si>
    <t>W-86</t>
  </si>
  <si>
    <t xml:space="preserve">                          = Frame Width -86</t>
  </si>
  <si>
    <t xml:space="preserve">                          ความกว้าง(วงกบ) - 86</t>
  </si>
  <si>
    <t xml:space="preserve">                          ความกว้างวงกบ - 86</t>
  </si>
  <si>
    <t>240-7 Panel (7R)</t>
  </si>
  <si>
    <t>FG-240-7P7R-01</t>
  </si>
  <si>
    <t>240-7 Panel (7L)</t>
  </si>
  <si>
    <t>FG-240-7P7L-01</t>
  </si>
  <si>
    <t>Aluminum Cost/per unit</t>
  </si>
  <si>
    <t>Hardware Cost/per unit</t>
  </si>
  <si>
    <t>Total price</t>
  </si>
  <si>
    <t>Paa</t>
  </si>
  <si>
    <t>Black</t>
  </si>
  <si>
    <t>Profilo</t>
  </si>
  <si>
    <t>บ้านคุณราเมศ</t>
  </si>
  <si>
    <t>Mini Mockup</t>
  </si>
  <si>
    <t>Back</t>
  </si>
  <si>
    <t>เปรียว 02</t>
  </si>
  <si>
    <t>ส</t>
  </si>
  <si>
    <t>สร้างสรรค์</t>
  </si>
  <si>
    <t>AD5</t>
  </si>
  <si>
    <t>D1</t>
  </si>
  <si>
    <t>Test Roller SMS</t>
  </si>
  <si>
    <t>Scope Green pop up Gallery</t>
  </si>
  <si>
    <t>บ้านคุณพีรดา</t>
  </si>
  <si>
    <t>D1 ชมพู</t>
  </si>
  <si>
    <t>บางใหญ่</t>
  </si>
  <si>
    <t>Mini Mockup KC</t>
  </si>
  <si>
    <t>ฮวดเจริญ D1</t>
  </si>
  <si>
    <t>D1 พี่หน่อย</t>
  </si>
  <si>
    <t>D1 ฮวดเจริญ</t>
  </si>
  <si>
    <t>D3 บาน 4-2-2</t>
  </si>
  <si>
    <t>D5 บาน3-3-0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</si>
</sst>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#,###"/>
    <numFmt numFmtId="165" formatCode="#,###;#,###"/>
    <numFmt numFmtId="166" formatCode="0.0"/>
    <numFmt numFmtId="167" formatCode="#,##0.0\ &quot;M&quot;"/>
    <numFmt numFmtId="168" formatCode="#,##0.0\ &quot;mm&quot;"/>
    <numFmt numFmtId="169" formatCode="#,##0\ &quot;Roll&quot;"/>
    <numFmt numFmtId="170" formatCode="#,##0\ &quot;M&quot;"/>
    <numFmt numFmtId="171" formatCode="#\ &quot;)&quot;"/>
    <numFmt numFmtId="172" formatCode="#,##0.0"/>
    <numFmt numFmtId="173" formatCode="#\ &quot;PCS&quot;"/>
    <numFmt numFmtId="174" formatCode="\L\ \=\ ###0.0\ &quot;mm&quot;"/>
    <numFmt numFmtId="175" formatCode="0.000"/>
    <numFmt numFmtId="176" formatCode="#,###.000;#,###.000"/>
    <numFmt numFmtId="177" formatCode="_-[$฿-41E]* #,##0.00_-;\-[$฿-41E]* #,##0.00_-;_-[$฿-41E]* &quot;-&quot;??_-;_-@_-"/>
  </numFmts>
  <fonts count="35">
    <font>
      <sz val="11"/>
      <color theme="1"/>
      <name val="Calibri"/>
      <family val="2"/>
      <charset val="222"/>
      <scheme val="minor"/>
    </font>
    <font>
      <sz val="11"/>
      <color theme="1"/>
      <name val="Microsoft Sans Serif"/>
      <family val="2"/>
    </font>
    <font>
      <b/>
      <sz val="11"/>
      <color theme="1"/>
      <name val="Microsoft Sans Serif"/>
      <family val="2"/>
    </font>
    <font>
      <sz val="8"/>
      <color theme="1"/>
      <name val="Microsoft Sans Serif"/>
      <family val="2"/>
    </font>
    <font>
      <b/>
      <sz val="8"/>
      <color theme="1"/>
      <name val="Microsoft Sans Serif"/>
      <family val="2"/>
    </font>
    <font>
      <b/>
      <sz val="16"/>
      <color theme="1"/>
      <name val="Microsoft Sans Serif"/>
      <family val="2"/>
    </font>
    <font>
      <b/>
      <sz val="14"/>
      <color theme="1"/>
      <name val="Microsoft Sans Serif"/>
      <family val="2"/>
    </font>
    <font>
      <sz val="12"/>
      <color theme="1"/>
      <name val="Microsoft Sans Serif"/>
      <family val="2"/>
    </font>
    <font>
      <b/>
      <sz val="12"/>
      <color theme="1"/>
      <name val="Microsoft Sans Serif"/>
      <family val="2"/>
    </font>
    <font>
      <sz val="10"/>
      <color theme="1"/>
      <name val="Microsoft Sans Serif"/>
      <family val="2"/>
    </font>
    <font>
      <b/>
      <sz val="10"/>
      <color theme="1"/>
      <name val="Microsoft Sans Serif"/>
      <family val="2"/>
    </font>
    <font>
      <sz val="13"/>
      <color theme="1"/>
      <name val="Microsoft Sans Serif"/>
      <family val="2"/>
    </font>
    <font>
      <b/>
      <sz val="24"/>
      <color theme="1"/>
      <name val="Microsoft Sans Serif"/>
      <family val="2"/>
    </font>
    <font>
      <sz val="22"/>
      <color theme="1"/>
      <name val="Microsoft Sans Serif"/>
      <family val="2"/>
    </font>
    <font>
      <b/>
      <sz val="14"/>
      <color theme="4" tint="0.39997558519241921"/>
      <name val="Arial"/>
      <family val="2"/>
    </font>
    <font>
      <b/>
      <sz val="10"/>
      <name val="Microsoft Sans Serif"/>
      <family val="2"/>
    </font>
    <font>
      <b/>
      <sz val="28"/>
      <color theme="1"/>
      <name val="Calibri"/>
      <family val="2"/>
      <scheme val="minor"/>
    </font>
    <font>
      <b/>
      <sz val="14"/>
      <color rgb="FF000000"/>
      <name val="Tahoma"/>
      <family val="2"/>
    </font>
    <font>
      <sz val="14"/>
      <color theme="1"/>
      <name val="Microsoft Sans Serif"/>
      <family val="2"/>
    </font>
    <font>
      <sz val="16"/>
      <color theme="1"/>
      <name val="Microsoft Sans Serif"/>
      <family val="2"/>
    </font>
    <font>
      <sz val="11"/>
      <name val="Microsoft Sans Serif"/>
      <family val="2"/>
    </font>
    <font>
      <sz val="11"/>
      <color rgb="FFFF0000"/>
      <name val="Microsoft Sans Serif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11"/>
      <color rgb="FFFF0000"/>
      <name val="Calibri"/>
      <family val="2"/>
      <charset val="222"/>
      <scheme val="minor"/>
    </font>
    <font>
      <b/>
      <sz val="20"/>
      <color theme="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Microsoft Sans Serif"/>
      <family val="2"/>
    </font>
    <font>
      <sz val="9"/>
      <name val="Microsoft Sans Serif"/>
      <family val="2"/>
    </font>
    <font>
      <sz val="10"/>
      <color theme="1"/>
      <name val="Calibri"/>
      <family val="2"/>
      <charset val="222"/>
      <scheme val="minor"/>
    </font>
    <font>
      <sz val="11"/>
      <color theme="8" tint="-0.249977111117893"/>
      <name val="Tahoma"/>
      <family val="2"/>
    </font>
    <font>
      <b/>
      <sz val="10"/>
      <color rgb="FFFF0000"/>
      <name val="Microsoft Sans Serif"/>
      <family val="2"/>
    </font>
    <font>
      <sz val="14"/>
      <color theme="1"/>
      <name val="Calibri"/>
      <family val="2"/>
      <scheme val="minor"/>
    </font>
    <font>
      <b/>
      <sz val="11"/>
      <color rgb="FFFF0000"/>
      <name val="Microsoft Sans Serif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4">
    <xf numFmtId="0" fontId="0" fillId="0" borderId="0" xfId="0"/>
    <xf numFmtId="0" fontId="1" fillId="0" borderId="0" xfId="0" applyFont="1"/>
    <xf numFmtId="0" fontId="4" fillId="0" borderId="0" xfId="0" applyFont="1" applyAlignment="1"/>
    <xf numFmtId="0" fontId="0" fillId="0" borderId="0" xfId="0" applyBorder="1"/>
    <xf numFmtId="0" fontId="3" fillId="0" borderId="0" xfId="0" applyFont="1" applyBorder="1" applyAlignment="1"/>
    <xf numFmtId="0" fontId="0" fillId="0" borderId="0" xfId="0" applyAlignment="1">
      <alignment horizontal="right"/>
    </xf>
    <xf numFmtId="0" fontId="0" fillId="0" borderId="0" xfId="0" applyAlignment="1"/>
    <xf numFmtId="0" fontId="6" fillId="0" borderId="0" xfId="0" applyFont="1" applyAlignment="1"/>
    <xf numFmtId="0" fontId="8" fillId="0" borderId="0" xfId="0" applyFont="1" applyAlignment="1"/>
    <xf numFmtId="0" fontId="8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7" fillId="0" borderId="0" xfId="0" applyFont="1" applyAlignment="1"/>
    <xf numFmtId="0" fontId="1" fillId="0" borderId="0" xfId="0" applyFont="1" applyAlignment="1">
      <alignment horizontal="center"/>
    </xf>
    <xf numFmtId="0" fontId="7" fillId="0" borderId="0" xfId="0" applyFont="1"/>
    <xf numFmtId="0" fontId="1" fillId="0" borderId="0" xfId="0" applyFont="1" applyBorder="1"/>
    <xf numFmtId="0" fontId="1" fillId="0" borderId="0" xfId="0" applyFont="1" applyAlignment="1">
      <alignment horizontal="left"/>
    </xf>
    <xf numFmtId="0" fontId="7" fillId="0" borderId="0" xfId="0" quotePrefix="1" applyFont="1" applyAlignment="1"/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0" xfId="0" applyFont="1" applyBorder="1"/>
    <xf numFmtId="0" fontId="1" fillId="0" borderId="6" xfId="0" applyFont="1" applyBorder="1" applyAlignment="1">
      <alignment horizontal="center"/>
    </xf>
    <xf numFmtId="0" fontId="1" fillId="0" borderId="1" xfId="0" applyFont="1" applyBorder="1" applyAlignment="1"/>
    <xf numFmtId="0" fontId="1" fillId="0" borderId="0" xfId="0" applyFont="1" applyAlignment="1">
      <alignment vertical="center"/>
    </xf>
    <xf numFmtId="1" fontId="1" fillId="0" borderId="0" xfId="0" applyNumberFormat="1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0" xfId="0" applyFont="1" applyBorder="1"/>
    <xf numFmtId="0" fontId="9" fillId="0" borderId="0" xfId="0" applyFont="1" applyFill="1" applyBorder="1" applyAlignment="1">
      <alignment horizontal="center"/>
    </xf>
    <xf numFmtId="0" fontId="13" fillId="0" borderId="0" xfId="0" applyFont="1" applyAlignment="1"/>
    <xf numFmtId="0" fontId="7" fillId="0" borderId="0" xfId="0" applyFont="1" applyBorder="1"/>
    <xf numFmtId="0" fontId="1" fillId="0" borderId="0" xfId="0" applyFont="1" applyBorder="1" applyAlignment="1">
      <alignment horizontal="left"/>
    </xf>
    <xf numFmtId="0" fontId="7" fillId="0" borderId="0" xfId="0" quotePrefix="1" applyFont="1" applyBorder="1" applyAlignment="1"/>
    <xf numFmtId="0" fontId="10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/>
    <xf numFmtId="0" fontId="7" fillId="0" borderId="0" xfId="0" quotePrefix="1" applyFont="1" applyFill="1" applyBorder="1" applyAlignment="1"/>
    <xf numFmtId="0" fontId="7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6" fillId="0" borderId="0" xfId="0" applyFont="1" applyFill="1" applyBorder="1" applyAlignment="1"/>
    <xf numFmtId="0" fontId="1" fillId="0" borderId="0" xfId="0" applyFont="1" applyFill="1" applyBorder="1" applyAlignment="1"/>
    <xf numFmtId="0" fontId="8" fillId="0" borderId="0" xfId="0" applyFont="1" applyFill="1" applyBorder="1" applyAlignment="1"/>
    <xf numFmtId="0" fontId="1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/>
    <xf numFmtId="0" fontId="1" fillId="0" borderId="0" xfId="0" quotePrefix="1" applyFont="1" applyFill="1" applyBorder="1"/>
    <xf numFmtId="0" fontId="2" fillId="0" borderId="0" xfId="0" applyFont="1" applyFill="1" applyBorder="1"/>
    <xf numFmtId="0" fontId="0" fillId="0" borderId="0" xfId="0" applyBorder="1" applyAlignment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0" borderId="0" xfId="0" quotePrefix="1" applyFont="1" applyFill="1" applyBorder="1" applyAlignment="1">
      <alignment horizontal="left"/>
    </xf>
    <xf numFmtId="0" fontId="1" fillId="0" borderId="0" xfId="0" applyFont="1" applyFill="1" applyBorder="1" applyAlignment="1">
      <alignment horizontal="center" wrapText="1"/>
    </xf>
    <xf numFmtId="0" fontId="8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/>
    <xf numFmtId="0" fontId="8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0" borderId="0" xfId="0" quotePrefix="1" applyFont="1" applyFill="1" applyBorder="1" applyAlignment="1">
      <alignment horizontal="left"/>
    </xf>
    <xf numFmtId="0" fontId="1" fillId="0" borderId="0" xfId="0" applyFont="1" applyFill="1" applyBorder="1" applyAlignment="1">
      <alignment horizontal="center" wrapText="1"/>
    </xf>
    <xf numFmtId="0" fontId="2" fillId="0" borderId="0" xfId="0" applyFont="1" applyBorder="1" applyAlignment="1"/>
    <xf numFmtId="0" fontId="8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wrapText="1"/>
    </xf>
    <xf numFmtId="0" fontId="1" fillId="0" borderId="0" xfId="0" quotePrefix="1" applyFont="1" applyFill="1" applyBorder="1" applyAlignment="1"/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11" fillId="0" borderId="0" xfId="0" applyFont="1" applyAlignment="1"/>
    <xf numFmtId="1" fontId="11" fillId="0" borderId="0" xfId="0" applyNumberFormat="1" applyFont="1" applyFill="1" applyBorder="1" applyAlignment="1"/>
    <xf numFmtId="0" fontId="8" fillId="0" borderId="0" xfId="0" applyFont="1" applyBorder="1" applyAlignment="1"/>
    <xf numFmtId="0" fontId="1" fillId="0" borderId="0" xfId="0" applyFont="1" applyFill="1" applyBorder="1" applyAlignment="1">
      <alignment horizontal="left"/>
    </xf>
    <xf numFmtId="0" fontId="13" fillId="0" borderId="0" xfId="0" applyFont="1" applyAlignment="1">
      <alignment horizontal="right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0" fillId="0" borderId="1" xfId="0" applyBorder="1" applyAlignment="1"/>
    <xf numFmtId="0" fontId="2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9" fillId="0" borderId="0" xfId="0" applyFont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/>
    </xf>
    <xf numFmtId="0" fontId="12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8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7" fillId="0" borderId="0" xfId="0" quotePrefix="1" applyFont="1" applyFill="1" applyBorder="1"/>
    <xf numFmtId="0" fontId="12" fillId="0" borderId="0" xfId="0" applyFont="1" applyAlignment="1"/>
    <xf numFmtId="0" fontId="1" fillId="0" borderId="0" xfId="0" applyFont="1" applyFill="1" applyBorder="1" applyAlignment="1">
      <alignment horizontal="center"/>
    </xf>
    <xf numFmtId="0" fontId="1" fillId="6" borderId="0" xfId="0" applyFont="1" applyFill="1"/>
    <xf numFmtId="0" fontId="1" fillId="0" borderId="0" xfId="0" quotePrefix="1" applyFont="1"/>
    <xf numFmtId="1" fontId="9" fillId="0" borderId="0" xfId="0" applyNumberFormat="1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1" fillId="0" borderId="0" xfId="0" applyFont="1" applyAlignment="1">
      <alignment horizontal="right"/>
    </xf>
    <xf numFmtId="0" fontId="15" fillId="5" borderId="8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 wrapText="1"/>
    </xf>
    <xf numFmtId="0" fontId="1" fillId="0" borderId="0" xfId="0" quotePrefix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quotePrefix="1" applyFont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9" fillId="0" borderId="0" xfId="0" applyNumberFormat="1" applyFont="1" applyFill="1" applyBorder="1" applyAlignment="1">
      <alignment horizontal="center"/>
    </xf>
    <xf numFmtId="0" fontId="15" fillId="5" borderId="1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7" fillId="0" borderId="0" xfId="0" quotePrefix="1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1" fillId="0" borderId="17" xfId="0" applyFont="1" applyBorder="1"/>
    <xf numFmtId="0" fontId="1" fillId="0" borderId="17" xfId="0" applyFont="1" applyBorder="1" applyAlignment="1">
      <alignment horizontal="left"/>
    </xf>
    <xf numFmtId="0" fontId="1" fillId="0" borderId="17" xfId="0" applyFont="1" applyBorder="1" applyAlignment="1">
      <alignment horizontal="center"/>
    </xf>
    <xf numFmtId="1" fontId="1" fillId="2" borderId="17" xfId="0" applyNumberFormat="1" applyFont="1" applyFill="1" applyBorder="1" applyAlignment="1">
      <alignment horizontal="center"/>
    </xf>
    <xf numFmtId="164" fontId="1" fillId="2" borderId="17" xfId="0" applyNumberFormat="1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" fillId="0" borderId="18" xfId="0" applyFont="1" applyBorder="1"/>
    <xf numFmtId="0" fontId="1" fillId="0" borderId="18" xfId="0" applyFont="1" applyBorder="1" applyAlignment="1">
      <alignment horizontal="left"/>
    </xf>
    <xf numFmtId="0" fontId="1" fillId="0" borderId="18" xfId="0" applyFont="1" applyBorder="1" applyAlignment="1">
      <alignment horizontal="center"/>
    </xf>
    <xf numFmtId="1" fontId="1" fillId="2" borderId="18" xfId="0" applyNumberFormat="1" applyFont="1" applyFill="1" applyBorder="1" applyAlignment="1">
      <alignment horizontal="center"/>
    </xf>
    <xf numFmtId="164" fontId="1" fillId="2" borderId="18" xfId="0" applyNumberFormat="1" applyFont="1" applyFill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1" fillId="0" borderId="19" xfId="0" applyFont="1" applyBorder="1"/>
    <xf numFmtId="0" fontId="1" fillId="0" borderId="19" xfId="0" applyFont="1" applyBorder="1" applyAlignment="1">
      <alignment horizontal="left"/>
    </xf>
    <xf numFmtId="0" fontId="1" fillId="0" borderId="19" xfId="0" applyFont="1" applyBorder="1" applyAlignment="1">
      <alignment horizontal="center"/>
    </xf>
    <xf numFmtId="1" fontId="1" fillId="2" borderId="19" xfId="0" applyNumberFormat="1" applyFont="1" applyFill="1" applyBorder="1" applyAlignment="1">
      <alignment horizontal="center"/>
    </xf>
    <xf numFmtId="0" fontId="1" fillId="0" borderId="17" xfId="0" applyFont="1" applyFill="1" applyBorder="1" applyAlignment="1">
      <alignment horizontal="left"/>
    </xf>
    <xf numFmtId="0" fontId="1" fillId="0" borderId="17" xfId="0" applyFont="1" applyFill="1" applyBorder="1"/>
    <xf numFmtId="0" fontId="1" fillId="0" borderId="18" xfId="0" applyFont="1" applyFill="1" applyBorder="1" applyAlignment="1">
      <alignment horizontal="left"/>
    </xf>
    <xf numFmtId="0" fontId="1" fillId="0" borderId="18" xfId="0" applyFont="1" applyFill="1" applyBorder="1"/>
    <xf numFmtId="0" fontId="1" fillId="0" borderId="19" xfId="0" applyFont="1" applyFill="1" applyBorder="1" applyAlignment="1">
      <alignment horizontal="left"/>
    </xf>
    <xf numFmtId="0" fontId="1" fillId="0" borderId="19" xfId="0" applyFont="1" applyFill="1" applyBorder="1"/>
    <xf numFmtId="0" fontId="1" fillId="0" borderId="18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5" fillId="5" borderId="20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 wrapText="1"/>
    </xf>
    <xf numFmtId="0" fontId="15" fillId="5" borderId="2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" fontId="1" fillId="2" borderId="17" xfId="0" applyNumberFormat="1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0" fontId="15" fillId="5" borderId="23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1" fontId="1" fillId="0" borderId="0" xfId="0" applyNumberFormat="1" applyFont="1" applyFill="1" applyBorder="1" applyAlignment="1">
      <alignment horizontal="left"/>
    </xf>
    <xf numFmtId="0" fontId="1" fillId="0" borderId="0" xfId="0" quotePrefix="1" applyFont="1" applyFill="1" applyBorder="1" applyAlignment="1">
      <alignment horizontal="left"/>
    </xf>
    <xf numFmtId="0" fontId="2" fillId="0" borderId="0" xfId="0" applyFont="1" applyFill="1" applyBorder="1" applyAlignment="1">
      <alignment horizontal="center" wrapText="1"/>
    </xf>
    <xf numFmtId="0" fontId="1" fillId="0" borderId="0" xfId="0" quotePrefix="1" applyFont="1" applyFill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9" xfId="0" applyFont="1" applyBorder="1"/>
    <xf numFmtId="0" fontId="1" fillId="0" borderId="29" xfId="0" applyFont="1" applyBorder="1" applyAlignment="1">
      <alignment horizontal="left"/>
    </xf>
    <xf numFmtId="0" fontId="15" fillId="6" borderId="31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/>
    </xf>
    <xf numFmtId="164" fontId="1" fillId="2" borderId="34" xfId="0" applyNumberFormat="1" applyFont="1" applyFill="1" applyBorder="1" applyAlignment="1">
      <alignment horizontal="center"/>
    </xf>
    <xf numFmtId="165" fontId="1" fillId="0" borderId="6" xfId="0" applyNumberFormat="1" applyFont="1" applyBorder="1"/>
    <xf numFmtId="165" fontId="1" fillId="0" borderId="6" xfId="0" applyNumberFormat="1" applyFont="1" applyBorder="1" applyAlignment="1">
      <alignment vertical="center"/>
    </xf>
    <xf numFmtId="165" fontId="1" fillId="0" borderId="6" xfId="0" applyNumberFormat="1" applyFont="1" applyBorder="1" applyAlignment="1">
      <alignment horizontal="center"/>
    </xf>
    <xf numFmtId="165" fontId="1" fillId="0" borderId="32" xfId="0" applyNumberFormat="1" applyFont="1" applyBorder="1" applyAlignment="1">
      <alignment horizontal="center"/>
    </xf>
    <xf numFmtId="0" fontId="15" fillId="6" borderId="31" xfId="0" applyFont="1" applyFill="1" applyBorder="1" applyAlignment="1">
      <alignment horizontal="center" vertical="center" wrapText="1"/>
    </xf>
    <xf numFmtId="166" fontId="1" fillId="2" borderId="18" xfId="0" applyNumberFormat="1" applyFont="1" applyFill="1" applyBorder="1" applyAlignment="1">
      <alignment horizontal="center"/>
    </xf>
    <xf numFmtId="1" fontId="11" fillId="0" borderId="0" xfId="0" applyNumberFormat="1" applyFont="1" applyFill="1" applyBorder="1" applyAlignment="1">
      <alignment horizontal="right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Alignment="1"/>
    <xf numFmtId="1" fontId="1" fillId="0" borderId="0" xfId="0" applyNumberFormat="1" applyFont="1" applyBorder="1" applyAlignment="1">
      <alignment horizontal="center"/>
    </xf>
    <xf numFmtId="167" fontId="1" fillId="2" borderId="18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quotePrefix="1" applyFont="1" applyFill="1" applyBorder="1" applyAlignment="1">
      <alignment horizontal="left"/>
    </xf>
    <xf numFmtId="0" fontId="8" fillId="0" borderId="0" xfId="0" applyFont="1" applyAlignment="1">
      <alignment horizontal="center"/>
    </xf>
    <xf numFmtId="0" fontId="0" fillId="0" borderId="0" xfId="0" applyAlignment="1"/>
    <xf numFmtId="165" fontId="1" fillId="0" borderId="40" xfId="0" applyNumberFormat="1" applyFont="1" applyBorder="1" applyAlignment="1">
      <alignment horizontal="center"/>
    </xf>
    <xf numFmtId="165" fontId="1" fillId="0" borderId="39" xfId="0" applyNumberFormat="1" applyFont="1" applyBorder="1" applyAlignment="1">
      <alignment horizontal="center"/>
    </xf>
    <xf numFmtId="0" fontId="1" fillId="0" borderId="0" xfId="0" applyFont="1" applyFill="1"/>
    <xf numFmtId="0" fontId="5" fillId="0" borderId="41" xfId="0" applyFont="1" applyFill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/>
    </xf>
    <xf numFmtId="0" fontId="7" fillId="0" borderId="0" xfId="0" quotePrefix="1" applyFont="1" applyFill="1" applyBorder="1" applyAlignment="1">
      <alignment horizontal="left"/>
    </xf>
    <xf numFmtId="0" fontId="0" fillId="0" borderId="0" xfId="0" applyAlignment="1"/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17" xfId="0" applyFont="1" applyFill="1" applyBorder="1" applyAlignment="1">
      <alignment horizontal="center"/>
    </xf>
    <xf numFmtId="0" fontId="9" fillId="0" borderId="18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quotePrefix="1" applyFont="1" applyFill="1" applyBorder="1" applyAlignment="1">
      <alignment horizontal="left"/>
    </xf>
    <xf numFmtId="0" fontId="8" fillId="0" borderId="0" xfId="0" applyFont="1" applyAlignment="1">
      <alignment horizontal="center"/>
    </xf>
    <xf numFmtId="0" fontId="0" fillId="0" borderId="0" xfId="0" applyAlignment="1"/>
    <xf numFmtId="1" fontId="1" fillId="0" borderId="0" xfId="0" applyNumberFormat="1" applyFont="1" applyBorder="1" applyAlignment="1">
      <alignment horizontal="center"/>
    </xf>
    <xf numFmtId="0" fontId="1" fillId="0" borderId="29" xfId="0" applyFont="1" applyFill="1" applyBorder="1"/>
    <xf numFmtId="0" fontId="1" fillId="0" borderId="29" xfId="0" applyFont="1" applyFill="1" applyBorder="1" applyAlignment="1">
      <alignment horizontal="left"/>
    </xf>
    <xf numFmtId="0" fontId="1" fillId="0" borderId="29" xfId="0" applyFont="1" applyFill="1" applyBorder="1" applyAlignment="1">
      <alignment horizontal="center"/>
    </xf>
    <xf numFmtId="0" fontId="15" fillId="6" borderId="4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" fillId="0" borderId="4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0" xfId="0" applyNumberFormat="1"/>
    <xf numFmtId="1" fontId="1" fillId="0" borderId="0" xfId="0" applyNumberFormat="1" applyFont="1" applyBorder="1" applyAlignment="1">
      <alignment horizontal="center"/>
    </xf>
    <xf numFmtId="0" fontId="7" fillId="0" borderId="0" xfId="0" quotePrefix="1" applyFont="1" applyFill="1" applyBorder="1" applyAlignment="1">
      <alignment horizontal="left"/>
    </xf>
    <xf numFmtId="0" fontId="0" fillId="0" borderId="0" xfId="0" applyAlignment="1"/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quotePrefix="1" applyFont="1" applyFill="1" applyBorder="1" applyAlignment="1">
      <alignment horizontal="left"/>
    </xf>
    <xf numFmtId="0" fontId="8" fillId="0" borderId="0" xfId="0" applyFont="1" applyAlignment="1">
      <alignment horizontal="center"/>
    </xf>
    <xf numFmtId="0" fontId="0" fillId="0" borderId="0" xfId="0" applyAlignment="1"/>
    <xf numFmtId="1" fontId="1" fillId="0" borderId="0" xfId="0" applyNumberFormat="1" applyFont="1" applyBorder="1" applyAlignment="1">
      <alignment horizontal="center"/>
    </xf>
    <xf numFmtId="0" fontId="16" fillId="5" borderId="0" xfId="0" applyFont="1" applyFill="1" applyBorder="1"/>
    <xf numFmtId="0" fontId="0" fillId="5" borderId="0" xfId="0" applyFill="1" applyBorder="1"/>
    <xf numFmtId="0" fontId="17" fillId="5" borderId="0" xfId="0" applyFont="1" applyFill="1" applyAlignment="1">
      <alignment horizontal="left"/>
    </xf>
    <xf numFmtId="0" fontId="7" fillId="0" borderId="0" xfId="0" applyFont="1" applyFill="1" applyBorder="1" applyAlignment="1">
      <alignment horizontal="center" vertical="center"/>
    </xf>
    <xf numFmtId="0" fontId="7" fillId="0" borderId="0" xfId="0" quotePrefix="1" applyFont="1" applyFill="1" applyBorder="1" applyAlignment="1">
      <alignment horizontal="left"/>
    </xf>
    <xf numFmtId="0" fontId="8" fillId="0" borderId="0" xfId="0" applyFont="1" applyAlignment="1">
      <alignment horizontal="center"/>
    </xf>
    <xf numFmtId="0" fontId="0" fillId="0" borderId="0" xfId="0" applyAlignment="1"/>
    <xf numFmtId="1" fontId="1" fillId="0" borderId="0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0" fontId="7" fillId="0" borderId="0" xfId="0" quotePrefix="1" applyFont="1" applyFill="1" applyBorder="1" applyAlignment="1">
      <alignment horizontal="left"/>
    </xf>
    <xf numFmtId="0" fontId="0" fillId="0" borderId="0" xfId="0" applyAlignment="1"/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36" xfId="0" applyFont="1" applyBorder="1" applyAlignment="1">
      <alignment horizontal="center"/>
    </xf>
    <xf numFmtId="169" fontId="1" fillId="0" borderId="18" xfId="0" applyNumberFormat="1" applyFont="1" applyBorder="1" applyAlignment="1">
      <alignment horizontal="center"/>
    </xf>
    <xf numFmtId="0" fontId="1" fillId="0" borderId="19" xfId="0" applyFont="1" applyFill="1" applyBorder="1" applyAlignment="1">
      <alignment horizontal="center"/>
    </xf>
    <xf numFmtId="0" fontId="1" fillId="0" borderId="36" xfId="0" applyFont="1" applyFill="1" applyBorder="1" applyAlignment="1">
      <alignment horizontal="left"/>
    </xf>
    <xf numFmtId="0" fontId="1" fillId="0" borderId="36" xfId="0" applyFont="1" applyFill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18" fillId="0" borderId="0" xfId="0" quotePrefix="1" applyFont="1" applyAlignment="1">
      <alignment horizontal="left"/>
    </xf>
    <xf numFmtId="0" fontId="1" fillId="5" borderId="2" xfId="0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quotePrefix="1" applyFont="1" applyAlignment="1">
      <alignment horizontal="center"/>
    </xf>
    <xf numFmtId="0" fontId="15" fillId="5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/>
    </xf>
    <xf numFmtId="0" fontId="15" fillId="5" borderId="44" xfId="0" applyFont="1" applyFill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0" fontId="7" fillId="0" borderId="0" xfId="0" quotePrefix="1" applyFont="1" applyFill="1" applyBorder="1" applyAlignment="1">
      <alignment horizontal="left"/>
    </xf>
    <xf numFmtId="0" fontId="0" fillId="0" borderId="0" xfId="0" applyAlignment="1"/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0" fontId="1" fillId="2" borderId="36" xfId="0" applyNumberFormat="1" applyFont="1" applyFill="1" applyBorder="1" applyAlignment="1">
      <alignment horizontal="center"/>
    </xf>
    <xf numFmtId="170" fontId="1" fillId="2" borderId="18" xfId="0" applyNumberFormat="1" applyFont="1" applyFill="1" applyBorder="1" applyAlignment="1">
      <alignment horizontal="center"/>
    </xf>
    <xf numFmtId="169" fontId="1" fillId="2" borderId="18" xfId="0" applyNumberFormat="1" applyFont="1" applyFill="1" applyBorder="1" applyAlignment="1">
      <alignment horizontal="center"/>
    </xf>
    <xf numFmtId="170" fontId="1" fillId="0" borderId="36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quotePrefix="1" applyFont="1" applyFill="1" applyBorder="1" applyAlignment="1">
      <alignment horizontal="left"/>
    </xf>
    <xf numFmtId="0" fontId="8" fillId="0" borderId="0" xfId="0" applyFont="1" applyAlignment="1">
      <alignment horizontal="center"/>
    </xf>
    <xf numFmtId="0" fontId="0" fillId="0" borderId="0" xfId="0" applyAlignment="1"/>
    <xf numFmtId="1" fontId="1" fillId="0" borderId="0" xfId="0" applyNumberFormat="1" applyFont="1" applyBorder="1" applyAlignment="1">
      <alignment horizontal="center"/>
    </xf>
    <xf numFmtId="169" fontId="1" fillId="2" borderId="36" xfId="0" applyNumberFormat="1" applyFont="1" applyFill="1" applyBorder="1" applyAlignment="1">
      <alignment horizontal="center"/>
    </xf>
    <xf numFmtId="171" fontId="1" fillId="0" borderId="18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0" fontId="7" fillId="0" borderId="0" xfId="0" quotePrefix="1" applyFont="1" applyFill="1" applyBorder="1" applyAlignment="1">
      <alignment horizontal="left"/>
    </xf>
    <xf numFmtId="0" fontId="0" fillId="0" borderId="0" xfId="0" applyAlignment="1"/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0" fontId="1" fillId="0" borderId="18" xfId="0" applyNumberFormat="1" applyFont="1" applyFill="1" applyBorder="1" applyAlignment="1">
      <alignment horizontal="center"/>
    </xf>
    <xf numFmtId="0" fontId="7" fillId="4" borderId="12" xfId="0" quotePrefix="1" applyFont="1" applyFill="1" applyBorder="1" applyAlignment="1"/>
    <xf numFmtId="0" fontId="0" fillId="4" borderId="13" xfId="0" applyFill="1" applyBorder="1" applyAlignment="1"/>
    <xf numFmtId="0" fontId="0" fillId="4" borderId="14" xfId="0" applyFill="1" applyBorder="1" applyAlignment="1"/>
    <xf numFmtId="0" fontId="1" fillId="0" borderId="0" xfId="0" applyFont="1" applyAlignment="1"/>
    <xf numFmtId="0" fontId="0" fillId="0" borderId="0" xfId="0" applyAlignment="1"/>
    <xf numFmtId="0" fontId="1" fillId="0" borderId="2" xfId="0" applyFont="1" applyFill="1" applyBorder="1" applyAlignment="1">
      <alignment horizontal="left"/>
    </xf>
    <xf numFmtId="0" fontId="1" fillId="0" borderId="45" xfId="0" applyFont="1" applyBorder="1"/>
    <xf numFmtId="0" fontId="1" fillId="0" borderId="45" xfId="0" applyFont="1" applyFill="1" applyBorder="1" applyAlignment="1">
      <alignment horizontal="left"/>
    </xf>
    <xf numFmtId="0" fontId="1" fillId="0" borderId="45" xfId="0" applyFont="1" applyBorder="1" applyAlignment="1">
      <alignment horizontal="center"/>
    </xf>
    <xf numFmtId="0" fontId="1" fillId="0" borderId="45" xfId="0" applyFont="1" applyBorder="1" applyAlignment="1">
      <alignment horizontal="left"/>
    </xf>
    <xf numFmtId="0" fontId="1" fillId="2" borderId="45" xfId="0" applyFont="1" applyFill="1" applyBorder="1" applyAlignment="1">
      <alignment horizontal="center"/>
    </xf>
    <xf numFmtId="164" fontId="1" fillId="2" borderId="45" xfId="0" applyNumberFormat="1" applyFont="1" applyFill="1" applyBorder="1" applyAlignment="1">
      <alignment horizontal="center"/>
    </xf>
    <xf numFmtId="0" fontId="1" fillId="0" borderId="0" xfId="0" quotePrefix="1" applyFont="1" applyBorder="1"/>
    <xf numFmtId="1" fontId="1" fillId="2" borderId="45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Fill="1" applyBorder="1"/>
    <xf numFmtId="170" fontId="1" fillId="2" borderId="2" xfId="0" applyNumberFormat="1" applyFont="1" applyFill="1" applyBorder="1" applyAlignment="1">
      <alignment horizontal="center"/>
    </xf>
    <xf numFmtId="169" fontId="1" fillId="0" borderId="2" xfId="0" applyNumberFormat="1" applyFont="1" applyFill="1" applyBorder="1" applyAlignment="1">
      <alignment horizontal="center"/>
    </xf>
    <xf numFmtId="164" fontId="1" fillId="2" borderId="19" xfId="0" applyNumberFormat="1" applyFont="1" applyFill="1" applyBorder="1" applyAlignment="1">
      <alignment horizontal="center"/>
    </xf>
    <xf numFmtId="0" fontId="0" fillId="0" borderId="0" xfId="0" applyFill="1"/>
    <xf numFmtId="0" fontId="1" fillId="0" borderId="36" xfId="0" applyFont="1" applyBorder="1"/>
    <xf numFmtId="0" fontId="1" fillId="0" borderId="36" xfId="0" applyFont="1" applyBorder="1" applyAlignment="1">
      <alignment horizontal="left"/>
    </xf>
    <xf numFmtId="0" fontId="1" fillId="0" borderId="46" xfId="0" applyFont="1" applyBorder="1" applyAlignment="1">
      <alignment horizontal="center" vertical="center"/>
    </xf>
    <xf numFmtId="1" fontId="1" fillId="2" borderId="36" xfId="0" applyNumberFormat="1" applyFont="1" applyFill="1" applyBorder="1" applyAlignment="1">
      <alignment horizontal="center"/>
    </xf>
    <xf numFmtId="1" fontId="1" fillId="2" borderId="36" xfId="0" applyNumberFormat="1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center" vertical="center" wrapText="1"/>
    </xf>
    <xf numFmtId="0" fontId="1" fillId="0" borderId="0" xfId="0" quotePrefix="1" applyFont="1" applyBorder="1" applyAlignment="1">
      <alignment horizontal="center"/>
    </xf>
    <xf numFmtId="1" fontId="1" fillId="2" borderId="0" xfId="0" applyNumberFormat="1" applyFont="1" applyFill="1" applyBorder="1" applyAlignment="1">
      <alignment horizontal="center"/>
    </xf>
    <xf numFmtId="164" fontId="1" fillId="2" borderId="29" xfId="0" applyNumberFormat="1" applyFont="1" applyFill="1" applyBorder="1" applyAlignment="1">
      <alignment horizontal="center"/>
    </xf>
    <xf numFmtId="0" fontId="15" fillId="5" borderId="48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/>
    </xf>
    <xf numFmtId="166" fontId="1" fillId="2" borderId="45" xfId="0" applyNumberFormat="1" applyFont="1" applyFill="1" applyBorder="1" applyAlignment="1">
      <alignment horizontal="center"/>
    </xf>
    <xf numFmtId="166" fontId="1" fillId="2" borderId="19" xfId="0" applyNumberFormat="1" applyFont="1" applyFill="1" applyBorder="1" applyAlignment="1">
      <alignment horizontal="center"/>
    </xf>
    <xf numFmtId="0" fontId="15" fillId="5" borderId="49" xfId="0" applyFont="1" applyFill="1" applyBorder="1" applyAlignment="1">
      <alignment horizontal="center" vertical="center"/>
    </xf>
    <xf numFmtId="0" fontId="15" fillId="5" borderId="30" xfId="0" applyFont="1" applyFill="1" applyBorder="1" applyAlignment="1">
      <alignment horizontal="center" vertical="center"/>
    </xf>
    <xf numFmtId="0" fontId="15" fillId="5" borderId="50" xfId="0" applyFont="1" applyFill="1" applyBorder="1" applyAlignment="1">
      <alignment horizontal="center" vertical="center"/>
    </xf>
    <xf numFmtId="0" fontId="15" fillId="5" borderId="50" xfId="0" applyFont="1" applyFill="1" applyBorder="1" applyAlignment="1">
      <alignment horizontal="center" vertical="center" wrapText="1"/>
    </xf>
    <xf numFmtId="0" fontId="15" fillId="5" borderId="51" xfId="0" applyFont="1" applyFill="1" applyBorder="1" applyAlignment="1">
      <alignment horizontal="center" vertical="center" wrapText="1"/>
    </xf>
    <xf numFmtId="0" fontId="15" fillId="5" borderId="52" xfId="0" applyFont="1" applyFill="1" applyBorder="1" applyAlignment="1">
      <alignment horizontal="center" vertical="center"/>
    </xf>
    <xf numFmtId="0" fontId="15" fillId="5" borderId="3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/>
    </xf>
    <xf numFmtId="0" fontId="9" fillId="0" borderId="19" xfId="0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0" fontId="7" fillId="0" borderId="0" xfId="0" quotePrefix="1" applyFont="1" applyFill="1" applyBorder="1" applyAlignment="1">
      <alignment horizontal="left"/>
    </xf>
    <xf numFmtId="0" fontId="15" fillId="5" borderId="22" xfId="0" applyFont="1" applyFill="1" applyBorder="1" applyAlignment="1">
      <alignment horizontal="center" vertical="center" wrapText="1"/>
    </xf>
    <xf numFmtId="0" fontId="19" fillId="0" borderId="0" xfId="0" applyFont="1" applyAlignment="1"/>
    <xf numFmtId="0" fontId="19" fillId="0" borderId="0" xfId="0" applyFont="1" applyBorder="1" applyAlignment="1"/>
    <xf numFmtId="0" fontId="19" fillId="0" borderId="0" xfId="0" applyFont="1"/>
    <xf numFmtId="0" fontId="7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/>
    </xf>
    <xf numFmtId="0" fontId="7" fillId="0" borderId="0" xfId="0" quotePrefix="1" applyFont="1" applyFill="1" applyBorder="1" applyAlignment="1">
      <alignment horizontal="left"/>
    </xf>
    <xf numFmtId="172" fontId="1" fillId="2" borderId="45" xfId="0" applyNumberFormat="1" applyFont="1" applyFill="1" applyBorder="1" applyAlignment="1">
      <alignment horizontal="center"/>
    </xf>
    <xf numFmtId="172" fontId="1" fillId="2" borderId="18" xfId="0" applyNumberFormat="1" applyFont="1" applyFill="1" applyBorder="1" applyAlignment="1">
      <alignment horizontal="center"/>
    </xf>
    <xf numFmtId="172" fontId="1" fillId="2" borderId="19" xfId="0" applyNumberFormat="1" applyFont="1" applyFill="1" applyBorder="1" applyAlignment="1">
      <alignment horizontal="center"/>
    </xf>
    <xf numFmtId="0" fontId="20" fillId="0" borderId="17" xfId="0" applyFont="1" applyFill="1" applyBorder="1" applyAlignment="1">
      <alignment horizontal="left"/>
    </xf>
    <xf numFmtId="0" fontId="21" fillId="0" borderId="0" xfId="0" applyFont="1" applyBorder="1"/>
    <xf numFmtId="0" fontId="21" fillId="0" borderId="0" xfId="0" applyFont="1"/>
    <xf numFmtId="166" fontId="18" fillId="0" borderId="0" xfId="0" applyNumberFormat="1" applyFont="1" applyAlignment="1">
      <alignment horizontal="center"/>
    </xf>
    <xf numFmtId="166" fontId="18" fillId="0" borderId="0" xfId="0" quotePrefix="1" applyNumberFormat="1" applyFont="1" applyAlignment="1">
      <alignment horizontal="center"/>
    </xf>
    <xf numFmtId="0" fontId="1" fillId="0" borderId="43" xfId="0" quotePrefix="1" applyFont="1" applyBorder="1" applyAlignment="1">
      <alignment horizontal="center"/>
    </xf>
    <xf numFmtId="0" fontId="1" fillId="0" borderId="46" xfId="0" quotePrefix="1" applyFont="1" applyBorder="1" applyAlignment="1">
      <alignment horizontal="center"/>
    </xf>
    <xf numFmtId="0" fontId="15" fillId="5" borderId="44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/>
    </xf>
    <xf numFmtId="0" fontId="1" fillId="0" borderId="1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1" fillId="0" borderId="36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0" fontId="8" fillId="0" borderId="0" xfId="0" applyFont="1" applyAlignment="1">
      <alignment horizontal="center"/>
    </xf>
    <xf numFmtId="0" fontId="15" fillId="5" borderId="44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/>
    </xf>
    <xf numFmtId="0" fontId="1" fillId="2" borderId="18" xfId="0" applyFont="1" applyFill="1" applyBorder="1"/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/>
    </xf>
    <xf numFmtId="1" fontId="1" fillId="0" borderId="36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Fill="1" applyBorder="1" applyAlignment="1">
      <alignment horizontal="left"/>
    </xf>
    <xf numFmtId="0" fontId="15" fillId="5" borderId="44" xfId="0" applyFont="1" applyFill="1" applyBorder="1" applyAlignment="1">
      <alignment horizontal="center" vertical="center" wrapText="1"/>
    </xf>
    <xf numFmtId="173" fontId="1" fillId="0" borderId="0" xfId="0" applyNumberFormat="1" applyFont="1" applyFill="1" applyAlignment="1">
      <alignment horizontal="center"/>
    </xf>
    <xf numFmtId="1" fontId="1" fillId="0" borderId="0" xfId="0" applyNumberFormat="1" applyFont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0" fontId="7" fillId="2" borderId="53" xfId="0" applyFont="1" applyFill="1" applyBorder="1" applyAlignment="1">
      <alignment horizontal="center" vertical="center"/>
    </xf>
    <xf numFmtId="166" fontId="1" fillId="2" borderId="2" xfId="0" applyNumberFormat="1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165" fontId="1" fillId="0" borderId="7" xfId="0" applyNumberFormat="1" applyFont="1" applyBorder="1" applyAlignment="1">
      <alignment vertical="center"/>
    </xf>
    <xf numFmtId="166" fontId="1" fillId="2" borderId="17" xfId="0" applyNumberFormat="1" applyFont="1" applyFill="1" applyBorder="1" applyAlignment="1">
      <alignment horizontal="center"/>
    </xf>
    <xf numFmtId="166" fontId="1" fillId="2" borderId="36" xfId="0" applyNumberFormat="1" applyFont="1" applyFill="1" applyBorder="1" applyAlignment="1">
      <alignment horizontal="center"/>
    </xf>
    <xf numFmtId="0" fontId="7" fillId="0" borderId="53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/>
    </xf>
    <xf numFmtId="174" fontId="1" fillId="0" borderId="0" xfId="0" applyNumberFormat="1" applyFont="1" applyFill="1" applyAlignment="1">
      <alignment horizontal="center"/>
    </xf>
    <xf numFmtId="0" fontId="20" fillId="0" borderId="18" xfId="0" applyFont="1" applyFill="1" applyBorder="1" applyAlignment="1">
      <alignment horizontal="left"/>
    </xf>
    <xf numFmtId="0" fontId="20" fillId="0" borderId="18" xfId="0" applyFont="1" applyFill="1" applyBorder="1" applyAlignment="1">
      <alignment horizontal="center"/>
    </xf>
    <xf numFmtId="0" fontId="21" fillId="0" borderId="45" xfId="0" applyFont="1" applyFill="1" applyBorder="1" applyAlignment="1">
      <alignment horizontal="left"/>
    </xf>
    <xf numFmtId="0" fontId="21" fillId="0" borderId="45" xfId="0" applyFont="1" applyBorder="1" applyAlignment="1">
      <alignment horizontal="left"/>
    </xf>
    <xf numFmtId="0" fontId="21" fillId="0" borderId="2" xfId="0" applyFont="1" applyFill="1" applyBorder="1" applyAlignment="1">
      <alignment horizontal="left"/>
    </xf>
    <xf numFmtId="0" fontId="21" fillId="0" borderId="2" xfId="0" applyFont="1" applyFill="1" applyBorder="1" applyAlignment="1">
      <alignment horizontal="center"/>
    </xf>
    <xf numFmtId="0" fontId="21" fillId="0" borderId="18" xfId="0" applyFont="1" applyFill="1" applyBorder="1" applyAlignment="1">
      <alignment horizontal="left"/>
    </xf>
    <xf numFmtId="0" fontId="8" fillId="0" borderId="0" xfId="0" applyFont="1" applyAlignment="1">
      <alignment horizontal="center"/>
    </xf>
    <xf numFmtId="1" fontId="1" fillId="0" borderId="0" xfId="0" applyNumberFormat="1" applyFont="1" applyBorder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/>
    </xf>
    <xf numFmtId="0" fontId="1" fillId="0" borderId="26" xfId="0" applyFont="1" applyBorder="1" applyAlignment="1">
      <alignment horizontal="center"/>
    </xf>
    <xf numFmtId="0" fontId="15" fillId="5" borderId="44" xfId="0" applyFont="1" applyFill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65" fontId="1" fillId="0" borderId="35" xfId="0" applyNumberFormat="1" applyFont="1" applyBorder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Fill="1" applyBorder="1" applyAlignment="1">
      <alignment horizontal="left"/>
    </xf>
    <xf numFmtId="0" fontId="1" fillId="0" borderId="26" xfId="0" applyFont="1" applyBorder="1" applyAlignment="1">
      <alignment horizontal="center"/>
    </xf>
    <xf numFmtId="165" fontId="1" fillId="0" borderId="6" xfId="0" applyNumberFormat="1" applyFont="1" applyBorder="1" applyAlignment="1">
      <alignment vertical="center"/>
    </xf>
    <xf numFmtId="0" fontId="15" fillId="5" borderId="44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right" vertical="center"/>
    </xf>
    <xf numFmtId="0" fontId="15" fillId="0" borderId="0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0" borderId="0" xfId="0" applyFont="1" applyFill="1" applyAlignment="1"/>
    <xf numFmtId="0" fontId="15" fillId="8" borderId="2" xfId="0" applyFont="1" applyFill="1" applyBorder="1" applyAlignment="1">
      <alignment horizontal="center" vertical="center"/>
    </xf>
    <xf numFmtId="0" fontId="0" fillId="4" borderId="0" xfId="0" applyFont="1" applyFill="1" applyAlignment="1"/>
    <xf numFmtId="0" fontId="0" fillId="4" borderId="0" xfId="0" applyFill="1"/>
    <xf numFmtId="0" fontId="0" fillId="4" borderId="0" xfId="0" applyFont="1" applyFill="1"/>
    <xf numFmtId="0" fontId="0" fillId="4" borderId="56" xfId="0" applyFont="1" applyFill="1" applyBorder="1"/>
    <xf numFmtId="0" fontId="9" fillId="0" borderId="0" xfId="0" applyFont="1" applyBorder="1" applyAlignment="1"/>
    <xf numFmtId="0" fontId="28" fillId="0" borderId="0" xfId="0" applyFont="1" applyBorder="1" applyAlignment="1">
      <alignment horizontal="center" wrapText="1"/>
    </xf>
    <xf numFmtId="166" fontId="29" fillId="0" borderId="0" xfId="0" applyNumberFormat="1" applyFont="1" applyFill="1" applyBorder="1" applyAlignment="1">
      <alignment horizontal="center"/>
    </xf>
    <xf numFmtId="175" fontId="29" fillId="0" borderId="0" xfId="0" applyNumberFormat="1" applyFont="1" applyFill="1" applyBorder="1" applyAlignment="1">
      <alignment horizontal="center"/>
    </xf>
    <xf numFmtId="0" fontId="24" fillId="0" borderId="61" xfId="0" applyFont="1" applyBorder="1" applyAlignment="1">
      <alignment horizontal="center" vertical="center"/>
    </xf>
    <xf numFmtId="0" fontId="0" fillId="4" borderId="57" xfId="0" applyFill="1" applyBorder="1" applyAlignment="1"/>
    <xf numFmtId="0" fontId="0" fillId="4" borderId="58" xfId="0" applyFill="1" applyBorder="1"/>
    <xf numFmtId="0" fontId="30" fillId="4" borderId="58" xfId="0" applyFont="1" applyFill="1" applyBorder="1"/>
    <xf numFmtId="0" fontId="0" fillId="4" borderId="56" xfId="0" applyFill="1" applyBorder="1"/>
    <xf numFmtId="0" fontId="1" fillId="0" borderId="2" xfId="0" applyFont="1" applyBorder="1" applyAlignment="1"/>
    <xf numFmtId="0" fontId="30" fillId="4" borderId="0" xfId="0" applyFont="1" applyFill="1"/>
    <xf numFmtId="0" fontId="15" fillId="0" borderId="2" xfId="0" applyFont="1" applyFill="1" applyBorder="1" applyAlignment="1">
      <alignment horizontal="center" vertical="center"/>
    </xf>
    <xf numFmtId="0" fontId="0" fillId="4" borderId="62" xfId="0" applyFill="1" applyBorder="1"/>
    <xf numFmtId="175" fontId="21" fillId="0" borderId="61" xfId="0" applyNumberFormat="1" applyFont="1" applyFill="1" applyBorder="1" applyAlignment="1">
      <alignment horizontal="center" vertical="center"/>
    </xf>
    <xf numFmtId="0" fontId="0" fillId="0" borderId="2" xfId="0" applyBorder="1"/>
    <xf numFmtId="175" fontId="21" fillId="0" borderId="61" xfId="0" applyNumberFormat="1" applyFont="1" applyFill="1" applyBorder="1" applyAlignment="1">
      <alignment vertical="center"/>
    </xf>
    <xf numFmtId="0" fontId="15" fillId="0" borderId="2" xfId="0" applyFont="1" applyFill="1" applyBorder="1" applyAlignment="1">
      <alignment vertical="center"/>
    </xf>
    <xf numFmtId="0" fontId="31" fillId="0" borderId="0" xfId="0" applyFont="1" applyAlignment="1">
      <alignment horizontal="right" vertical="top"/>
    </xf>
    <xf numFmtId="0" fontId="31" fillId="0" borderId="0" xfId="0" applyFont="1" applyAlignment="1">
      <alignment horizontal="right"/>
    </xf>
    <xf numFmtId="0" fontId="7" fillId="0" borderId="0" xfId="0" applyFont="1" applyFill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Fill="1" applyBorder="1" applyAlignment="1">
      <alignment horizontal="left"/>
    </xf>
    <xf numFmtId="165" fontId="1" fillId="0" borderId="6" xfId="0" applyNumberFormat="1" applyFont="1" applyBorder="1" applyAlignment="1">
      <alignment vertical="center"/>
    </xf>
    <xf numFmtId="0" fontId="15" fillId="5" borderId="44" xfId="0" applyFont="1" applyFill="1" applyBorder="1" applyAlignment="1">
      <alignment horizontal="center" vertical="center" wrapText="1"/>
    </xf>
    <xf numFmtId="174" fontId="1" fillId="0" borderId="0" xfId="0" applyNumberFormat="1" applyFont="1" applyFill="1" applyAlignment="1">
      <alignment horizontal="right"/>
    </xf>
    <xf numFmtId="0" fontId="7" fillId="0" borderId="0" xfId="0" applyFont="1" applyFill="1" applyBorder="1" applyAlignment="1">
      <alignment horizontal="left"/>
    </xf>
    <xf numFmtId="0" fontId="8" fillId="0" borderId="0" xfId="0" applyFont="1" applyAlignment="1">
      <alignment horizontal="center"/>
    </xf>
    <xf numFmtId="1" fontId="1" fillId="0" borderId="0" xfId="0" applyNumberFormat="1" applyFont="1" applyBorder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/>
    </xf>
    <xf numFmtId="0" fontId="1" fillId="0" borderId="26" xfId="0" applyFont="1" applyBorder="1" applyAlignment="1">
      <alignment horizontal="center"/>
    </xf>
    <xf numFmtId="165" fontId="1" fillId="0" borderId="6" xfId="0" applyNumberFormat="1" applyFont="1" applyBorder="1" applyAlignment="1">
      <alignment vertical="center"/>
    </xf>
    <xf numFmtId="0" fontId="15" fillId="5" borderId="44" xfId="0" applyFont="1" applyFill="1" applyBorder="1" applyAlignment="1">
      <alignment horizontal="center" vertical="center" wrapText="1"/>
    </xf>
    <xf numFmtId="176" fontId="1" fillId="0" borderId="6" xfId="0" applyNumberFormat="1" applyFont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9" fontId="1" fillId="0" borderId="0" xfId="0" applyNumberFormat="1" applyFont="1"/>
    <xf numFmtId="0" fontId="33" fillId="2" borderId="2" xfId="0" applyFont="1" applyFill="1" applyBorder="1" applyAlignment="1">
      <alignment horizontal="center" vertical="center"/>
    </xf>
    <xf numFmtId="177" fontId="21" fillId="3" borderId="2" xfId="0" applyNumberFormat="1" applyFont="1" applyFill="1" applyBorder="1" applyAlignment="1"/>
    <xf numFmtId="0" fontId="34" fillId="3" borderId="2" xfId="0" applyFont="1" applyFill="1" applyBorder="1" applyAlignment="1">
      <alignment horizontal="center" vertical="center"/>
    </xf>
    <xf numFmtId="2" fontId="33" fillId="2" borderId="2" xfId="0" applyNumberFormat="1" applyFont="1" applyFill="1" applyBorder="1" applyAlignment="1">
      <alignment horizontal="center" vertical="center"/>
    </xf>
    <xf numFmtId="165" fontId="1" fillId="0" borderId="67" xfId="0" applyNumberFormat="1" applyFont="1" applyBorder="1" applyAlignment="1">
      <alignment vertical="center"/>
    </xf>
    <xf numFmtId="0" fontId="34" fillId="3" borderId="6" xfId="0" applyFont="1" applyFill="1" applyBorder="1" applyAlignment="1">
      <alignment horizontal="center" vertical="center"/>
    </xf>
    <xf numFmtId="165" fontId="1" fillId="0" borderId="42" xfId="0" applyNumberFormat="1" applyFont="1" applyBorder="1" applyAlignment="1">
      <alignment horizontal="center"/>
    </xf>
    <xf numFmtId="0" fontId="1" fillId="9" borderId="18" xfId="0" applyFont="1" applyFill="1" applyBorder="1" applyAlignment="1">
      <alignment horizontal="center"/>
    </xf>
    <xf numFmtId="0" fontId="25" fillId="7" borderId="2" xfId="0" applyFont="1" applyFill="1" applyBorder="1" applyAlignment="1">
      <alignment horizontal="center"/>
    </xf>
    <xf numFmtId="0" fontId="27" fillId="3" borderId="2" xfId="0" applyFont="1" applyFill="1" applyBorder="1" applyAlignment="1">
      <alignment horizontal="center"/>
    </xf>
    <xf numFmtId="0" fontId="1" fillId="0" borderId="7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5" fillId="0" borderId="7" xfId="0" applyFont="1" applyFill="1" applyBorder="1" applyAlignment="1">
      <alignment horizontal="center" vertical="center"/>
    </xf>
    <xf numFmtId="0" fontId="15" fillId="0" borderId="30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wrapText="1"/>
    </xf>
    <xf numFmtId="0" fontId="1" fillId="0" borderId="30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166" fontId="20" fillId="0" borderId="7" xfId="0" applyNumberFormat="1" applyFont="1" applyFill="1" applyBorder="1" applyAlignment="1">
      <alignment horizontal="center" vertical="center"/>
    </xf>
    <xf numFmtId="166" fontId="20" fillId="0" borderId="30" xfId="0" applyNumberFormat="1" applyFont="1" applyFill="1" applyBorder="1" applyAlignment="1">
      <alignment horizontal="center" vertical="center"/>
    </xf>
    <xf numFmtId="166" fontId="20" fillId="0" borderId="6" xfId="0" applyNumberFormat="1" applyFont="1" applyFill="1" applyBorder="1" applyAlignment="1">
      <alignment horizontal="center" vertical="center"/>
    </xf>
    <xf numFmtId="175" fontId="20" fillId="0" borderId="7" xfId="0" applyNumberFormat="1" applyFont="1" applyFill="1" applyBorder="1" applyAlignment="1">
      <alignment horizontal="center" vertical="center"/>
    </xf>
    <xf numFmtId="175" fontId="20" fillId="0" borderId="30" xfId="0" applyNumberFormat="1" applyFont="1" applyFill="1" applyBorder="1" applyAlignment="1">
      <alignment horizontal="center" vertical="center"/>
    </xf>
    <xf numFmtId="175" fontId="20" fillId="0" borderId="6" xfId="0" applyNumberFormat="1" applyFont="1" applyFill="1" applyBorder="1" applyAlignment="1">
      <alignment horizontal="center" vertical="center"/>
    </xf>
    <xf numFmtId="0" fontId="27" fillId="3" borderId="57" xfId="0" applyFont="1" applyFill="1" applyBorder="1" applyAlignment="1">
      <alignment horizontal="center"/>
    </xf>
    <xf numFmtId="0" fontId="27" fillId="3" borderId="58" xfId="0" applyFont="1" applyFill="1" applyBorder="1" applyAlignment="1">
      <alignment horizontal="center"/>
    </xf>
    <xf numFmtId="0" fontId="27" fillId="3" borderId="56" xfId="0" applyFont="1" applyFill="1" applyBorder="1" applyAlignment="1">
      <alignment horizontal="center"/>
    </xf>
    <xf numFmtId="0" fontId="15" fillId="8" borderId="57" xfId="0" applyFont="1" applyFill="1" applyBorder="1" applyAlignment="1">
      <alignment horizontal="center" vertical="center"/>
    </xf>
    <xf numFmtId="0" fontId="15" fillId="8" borderId="5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5" fillId="0" borderId="2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2" fontId="20" fillId="0" borderId="59" xfId="0" applyNumberFormat="1" applyFont="1" applyFill="1" applyBorder="1" applyAlignment="1">
      <alignment horizontal="left"/>
    </xf>
    <xf numFmtId="2" fontId="20" fillId="0" borderId="60" xfId="0" applyNumberFormat="1" applyFont="1" applyFill="1" applyBorder="1" applyAlignment="1">
      <alignment horizontal="left"/>
    </xf>
    <xf numFmtId="2" fontId="20" fillId="0" borderId="32" xfId="0" applyNumberFormat="1" applyFont="1" applyFill="1" applyBorder="1" applyAlignment="1">
      <alignment horizontal="left"/>
    </xf>
    <xf numFmtId="2" fontId="20" fillId="0" borderId="62" xfId="0" applyNumberFormat="1" applyFont="1" applyFill="1" applyBorder="1" applyAlignment="1">
      <alignment horizontal="left"/>
    </xf>
    <xf numFmtId="0" fontId="7" fillId="0" borderId="2" xfId="0" applyFont="1" applyBorder="1" applyAlignment="1">
      <alignment horizontal="center" vertical="center" wrapText="1"/>
    </xf>
    <xf numFmtId="2" fontId="20" fillId="0" borderId="57" xfId="0" applyNumberFormat="1" applyFont="1" applyFill="1" applyBorder="1" applyAlignment="1">
      <alignment horizontal="left"/>
    </xf>
    <xf numFmtId="2" fontId="20" fillId="0" borderId="56" xfId="0" applyNumberFormat="1" applyFont="1" applyFill="1" applyBorder="1" applyAlignment="1">
      <alignment horizontal="left"/>
    </xf>
    <xf numFmtId="0" fontId="1" fillId="0" borderId="57" xfId="0" applyFont="1" applyBorder="1" applyAlignment="1">
      <alignment horizontal="left" wrapText="1"/>
    </xf>
    <xf numFmtId="0" fontId="1" fillId="0" borderId="56" xfId="0" applyFont="1" applyBorder="1" applyAlignment="1">
      <alignment horizontal="left" wrapText="1"/>
    </xf>
    <xf numFmtId="0" fontId="1" fillId="0" borderId="30" xfId="0" applyFont="1" applyBorder="1" applyAlignment="1">
      <alignment horizontal="left"/>
    </xf>
    <xf numFmtId="0" fontId="1" fillId="0" borderId="59" xfId="0" applyFont="1" applyBorder="1" applyAlignment="1">
      <alignment horizontal="left"/>
    </xf>
    <xf numFmtId="0" fontId="1" fillId="0" borderId="60" xfId="0" applyFont="1" applyBorder="1" applyAlignment="1">
      <alignment horizontal="left"/>
    </xf>
    <xf numFmtId="0" fontId="1" fillId="0" borderId="61" xfId="0" applyFont="1" applyBorder="1" applyAlignment="1">
      <alignment horizontal="left"/>
    </xf>
    <xf numFmtId="0" fontId="1" fillId="0" borderId="63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0" borderId="62" xfId="0" applyFont="1" applyBorder="1" applyAlignment="1">
      <alignment horizontal="left"/>
    </xf>
    <xf numFmtId="0" fontId="1" fillId="0" borderId="57" xfId="0" applyFont="1" applyBorder="1" applyAlignment="1">
      <alignment horizontal="left"/>
    </xf>
    <xf numFmtId="0" fontId="1" fillId="0" borderId="56" xfId="0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/>
    <xf numFmtId="1" fontId="1" fillId="0" borderId="33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0" fontId="5" fillId="4" borderId="3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65" fontId="1" fillId="0" borderId="7" xfId="0" applyNumberFormat="1" applyFont="1" applyBorder="1" applyAlignment="1">
      <alignment horizontal="left" vertical="center"/>
    </xf>
    <xf numFmtId="165" fontId="1" fillId="0" borderId="6" xfId="0" applyNumberFormat="1" applyFont="1" applyBorder="1" applyAlignment="1">
      <alignment horizontal="left" vertical="center"/>
    </xf>
    <xf numFmtId="165" fontId="1" fillId="0" borderId="30" xfId="0" applyNumberFormat="1" applyFont="1" applyBorder="1" applyAlignment="1">
      <alignment horizontal="left" vertical="center"/>
    </xf>
    <xf numFmtId="165" fontId="1" fillId="0" borderId="50" xfId="0" applyNumberFormat="1" applyFont="1" applyBorder="1" applyAlignment="1">
      <alignment horizontal="left" vertical="center"/>
    </xf>
    <xf numFmtId="165" fontId="1" fillId="0" borderId="37" xfId="0" applyNumberFormat="1" applyFont="1" applyBorder="1" applyAlignment="1">
      <alignment horizontal="center" vertical="center"/>
    </xf>
    <xf numFmtId="165" fontId="1" fillId="0" borderId="54" xfId="0" applyNumberFormat="1" applyFont="1" applyBorder="1" applyAlignment="1">
      <alignment horizontal="center" vertical="center"/>
    </xf>
    <xf numFmtId="165" fontId="1" fillId="0" borderId="38" xfId="0" applyNumberFormat="1" applyFont="1" applyBorder="1" applyAlignment="1">
      <alignment horizontal="center" vertical="center"/>
    </xf>
    <xf numFmtId="165" fontId="1" fillId="0" borderId="39" xfId="0" applyNumberFormat="1" applyFont="1" applyBorder="1" applyAlignment="1">
      <alignment horizontal="center" vertical="center"/>
    </xf>
    <xf numFmtId="165" fontId="1" fillId="0" borderId="35" xfId="0" applyNumberFormat="1" applyFont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right" vertical="center" wrapText="1"/>
    </xf>
    <xf numFmtId="0" fontId="7" fillId="0" borderId="0" xfId="0" applyFont="1" applyFill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4" borderId="12" xfId="0" quotePrefix="1" applyFont="1" applyFill="1" applyBorder="1" applyAlignment="1">
      <alignment horizontal="left"/>
    </xf>
    <xf numFmtId="0" fontId="7" fillId="4" borderId="13" xfId="0" quotePrefix="1" applyFont="1" applyFill="1" applyBorder="1" applyAlignment="1">
      <alignment horizontal="left"/>
    </xf>
    <xf numFmtId="0" fontId="7" fillId="4" borderId="14" xfId="0" quotePrefix="1" applyFont="1" applyFill="1" applyBorder="1" applyAlignment="1">
      <alignment horizontal="left"/>
    </xf>
    <xf numFmtId="0" fontId="1" fillId="0" borderId="47" xfId="0" quotePrefix="1" applyFont="1" applyBorder="1" applyAlignment="1">
      <alignment horizontal="center"/>
    </xf>
    <xf numFmtId="0" fontId="1" fillId="0" borderId="24" xfId="0" quotePrefix="1" applyFont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" fontId="1" fillId="0" borderId="33" xfId="0" applyNumberFormat="1" applyFont="1" applyBorder="1" applyAlignment="1">
      <alignment horizontal="center" vertical="center"/>
    </xf>
    <xf numFmtId="168" fontId="7" fillId="4" borderId="12" xfId="0" quotePrefix="1" applyNumberFormat="1" applyFont="1" applyFill="1" applyBorder="1" applyAlignment="1">
      <alignment horizontal="left"/>
    </xf>
    <xf numFmtId="168" fontId="0" fillId="4" borderId="13" xfId="0" applyNumberFormat="1" applyFill="1" applyBorder="1" applyAlignment="1">
      <alignment horizontal="left"/>
    </xf>
    <xf numFmtId="168" fontId="0" fillId="0" borderId="14" xfId="0" applyNumberFormat="1" applyBorder="1" applyAlignment="1">
      <alignment horizontal="left"/>
    </xf>
    <xf numFmtId="0" fontId="7" fillId="4" borderId="12" xfId="0" quotePrefix="1" applyNumberFormat="1" applyFont="1" applyFill="1" applyBorder="1" applyAlignment="1">
      <alignment horizontal="left"/>
    </xf>
    <xf numFmtId="0" fontId="0" fillId="4" borderId="13" xfId="0" applyNumberFormat="1" applyFill="1" applyBorder="1" applyAlignment="1">
      <alignment horizontal="left"/>
    </xf>
    <xf numFmtId="0" fontId="0" fillId="0" borderId="14" xfId="0" applyNumberFormat="1" applyBorder="1" applyAlignment="1">
      <alignment horizontal="left"/>
    </xf>
    <xf numFmtId="0" fontId="15" fillId="0" borderId="33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65" fontId="1" fillId="0" borderId="2" xfId="0" applyNumberFormat="1" applyFont="1" applyBorder="1" applyAlignment="1">
      <alignment horizontal="center" vertical="center"/>
    </xf>
    <xf numFmtId="0" fontId="32" fillId="3" borderId="3" xfId="0" applyFont="1" applyFill="1" applyBorder="1" applyAlignment="1">
      <alignment horizontal="center" vertical="center" wrapText="1"/>
    </xf>
    <xf numFmtId="0" fontId="32" fillId="3" borderId="4" xfId="0" applyFont="1" applyFill="1" applyBorder="1" applyAlignment="1">
      <alignment horizontal="center" vertical="center" wrapText="1"/>
    </xf>
    <xf numFmtId="165" fontId="1" fillId="0" borderId="7" xfId="0" applyNumberFormat="1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0" fontId="1" fillId="4" borderId="12" xfId="0" quotePrefix="1" applyFont="1" applyFill="1" applyBorder="1" applyAlignment="1">
      <alignment horizontal="left"/>
    </xf>
    <xf numFmtId="0" fontId="1" fillId="4" borderId="13" xfId="0" quotePrefix="1" applyFont="1" applyFill="1" applyBorder="1" applyAlignment="1">
      <alignment horizontal="left"/>
    </xf>
    <xf numFmtId="0" fontId="1" fillId="4" borderId="14" xfId="0" quotePrefix="1" applyFont="1" applyFill="1" applyBorder="1" applyAlignment="1">
      <alignment horizontal="left"/>
    </xf>
    <xf numFmtId="2" fontId="1" fillId="0" borderId="68" xfId="0" applyNumberFormat="1" applyFont="1" applyBorder="1" applyAlignment="1">
      <alignment horizontal="center"/>
    </xf>
    <xf numFmtId="2" fontId="1" fillId="0" borderId="64" xfId="0" applyNumberFormat="1" applyFont="1" applyBorder="1" applyAlignment="1">
      <alignment horizontal="center"/>
    </xf>
    <xf numFmtId="2" fontId="1" fillId="0" borderId="56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177" fontId="21" fillId="3" borderId="2" xfId="0" applyNumberFormat="1" applyFont="1" applyFill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26" xfId="0" applyNumberFormat="1" applyFont="1" applyBorder="1" applyAlignment="1">
      <alignment horizontal="center"/>
    </xf>
    <xf numFmtId="2" fontId="1" fillId="0" borderId="65" xfId="0" applyNumberFormat="1" applyFont="1" applyBorder="1" applyAlignment="1">
      <alignment horizontal="center"/>
    </xf>
    <xf numFmtId="2" fontId="1" fillId="0" borderId="66" xfId="0" applyNumberFormat="1" applyFont="1" applyBorder="1" applyAlignment="1">
      <alignment horizontal="center"/>
    </xf>
    <xf numFmtId="177" fontId="21" fillId="3" borderId="58" xfId="0" applyNumberFormat="1" applyFont="1" applyFill="1" applyBorder="1" applyAlignment="1">
      <alignment horizontal="center"/>
    </xf>
    <xf numFmtId="177" fontId="21" fillId="3" borderId="56" xfId="0" applyNumberFormat="1" applyFont="1" applyFill="1" applyBorder="1" applyAlignment="1">
      <alignment horizontal="center"/>
    </xf>
    <xf numFmtId="0" fontId="1" fillId="0" borderId="25" xfId="0" quotePrefix="1" applyFont="1" applyBorder="1" applyAlignment="1">
      <alignment horizontal="center"/>
    </xf>
    <xf numFmtId="0" fontId="1" fillId="0" borderId="26" xfId="0" quotePrefix="1" applyFont="1" applyBorder="1" applyAlignment="1">
      <alignment horizontal="center"/>
    </xf>
    <xf numFmtId="165" fontId="1" fillId="0" borderId="7" xfId="0" applyNumberFormat="1" applyFont="1" applyBorder="1" applyAlignment="1">
      <alignment vertical="center"/>
    </xf>
    <xf numFmtId="165" fontId="1" fillId="0" borderId="50" xfId="0" applyNumberFormat="1" applyFont="1" applyBorder="1" applyAlignment="1">
      <alignment vertical="center"/>
    </xf>
    <xf numFmtId="0" fontId="1" fillId="0" borderId="26" xfId="0" applyFont="1" applyBorder="1" applyAlignment="1">
      <alignment horizontal="center"/>
    </xf>
    <xf numFmtId="165" fontId="1" fillId="0" borderId="55" xfId="0" applyNumberFormat="1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165" fontId="1" fillId="0" borderId="6" xfId="0" applyNumberFormat="1" applyFont="1" applyBorder="1" applyAlignment="1">
      <alignment vertical="center"/>
    </xf>
    <xf numFmtId="165" fontId="1" fillId="0" borderId="30" xfId="0" applyNumberFormat="1" applyFont="1" applyBorder="1" applyAlignment="1">
      <alignment vertical="center"/>
    </xf>
    <xf numFmtId="0" fontId="15" fillId="5" borderId="44" xfId="0" applyFont="1" applyFill="1" applyBorder="1" applyAlignment="1">
      <alignment horizontal="center" vertical="center" wrapText="1"/>
    </xf>
    <xf numFmtId="0" fontId="15" fillId="5" borderId="48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.png"/><Relationship Id="rId18" Type="http://schemas.openxmlformats.org/officeDocument/2006/relationships/hyperlink" Target="#'240_5Panel(3L2R)'!A1"/><Relationship Id="rId26" Type="http://schemas.openxmlformats.org/officeDocument/2006/relationships/hyperlink" Target="#'240_6Panel(5L1R)'!A1"/><Relationship Id="rId39" Type="http://schemas.openxmlformats.org/officeDocument/2006/relationships/image" Target="../media/image19.png"/><Relationship Id="rId21" Type="http://schemas.openxmlformats.org/officeDocument/2006/relationships/image" Target="../media/image10.png"/><Relationship Id="rId34" Type="http://schemas.openxmlformats.org/officeDocument/2006/relationships/hyperlink" Target="#'240_15Panel(7L8R)'!A1"/><Relationship Id="rId42" Type="http://schemas.openxmlformats.org/officeDocument/2006/relationships/hyperlink" Target="#'240_11Panel(5L6R)'!A1"/><Relationship Id="rId47" Type="http://schemas.openxmlformats.org/officeDocument/2006/relationships/image" Target="../media/image23.png"/><Relationship Id="rId50" Type="http://schemas.openxmlformats.org/officeDocument/2006/relationships/hyperlink" Target="#'240_9Panel(3L6R)'!A1"/><Relationship Id="rId55" Type="http://schemas.openxmlformats.org/officeDocument/2006/relationships/image" Target="../media/image27.png"/><Relationship Id="rId63" Type="http://schemas.openxmlformats.org/officeDocument/2006/relationships/image" Target="../media/image31.png"/><Relationship Id="rId68" Type="http://schemas.openxmlformats.org/officeDocument/2006/relationships/hyperlink" Target="#'240_7Panel(5L2R)'!A1"/><Relationship Id="rId76" Type="http://schemas.openxmlformats.org/officeDocument/2006/relationships/hyperlink" Target="#'240_6Panel(3L3R) (&#3649;&#3610;&#3656;&#3591;&#3610;&#3634;&#3609;)'!A1"/><Relationship Id="rId84" Type="http://schemas.openxmlformats.org/officeDocument/2006/relationships/hyperlink" Target="#'240_3Panel(2L1R)'!A1"/><Relationship Id="rId89" Type="http://schemas.openxmlformats.org/officeDocument/2006/relationships/image" Target="../media/image44.png"/><Relationship Id="rId7" Type="http://schemas.openxmlformats.org/officeDocument/2006/relationships/hyperlink" Target="#'240_3Panel(R)'!A1"/><Relationship Id="rId71" Type="http://schemas.openxmlformats.org/officeDocument/2006/relationships/image" Target="../media/image35.png"/><Relationship Id="rId92" Type="http://schemas.openxmlformats.org/officeDocument/2006/relationships/hyperlink" Target="#'240_7Panel(7L)'!A1"/><Relationship Id="rId2" Type="http://schemas.openxmlformats.org/officeDocument/2006/relationships/image" Target="../media/image1.png"/><Relationship Id="rId16" Type="http://schemas.openxmlformats.org/officeDocument/2006/relationships/hyperlink" Target="#'240_5Panel(2L3R)'!A1"/><Relationship Id="rId29" Type="http://schemas.openxmlformats.org/officeDocument/2006/relationships/image" Target="../media/image14.png"/><Relationship Id="rId11" Type="http://schemas.openxmlformats.org/officeDocument/2006/relationships/image" Target="../media/image5.png"/><Relationship Id="rId24" Type="http://schemas.openxmlformats.org/officeDocument/2006/relationships/hyperlink" Target="#'240_6Panel(1L5R)'!A1"/><Relationship Id="rId32" Type="http://schemas.openxmlformats.org/officeDocument/2006/relationships/hyperlink" Target="#'240_6Panel(6R)'!A1"/><Relationship Id="rId37" Type="http://schemas.openxmlformats.org/officeDocument/2006/relationships/image" Target="../media/image18.png"/><Relationship Id="rId40" Type="http://schemas.openxmlformats.org/officeDocument/2006/relationships/hyperlink" Target="#'240_11Panel(6L5R)'!A1"/><Relationship Id="rId45" Type="http://schemas.openxmlformats.org/officeDocument/2006/relationships/image" Target="../media/image22.png"/><Relationship Id="rId53" Type="http://schemas.openxmlformats.org/officeDocument/2006/relationships/image" Target="../media/image26.png"/><Relationship Id="rId58" Type="http://schemas.openxmlformats.org/officeDocument/2006/relationships/hyperlink" Target="#'240_7Panel(4L3R)'!A1"/><Relationship Id="rId66" Type="http://schemas.openxmlformats.org/officeDocument/2006/relationships/hyperlink" Target="#'240_7Panel(2L5R)'!A1"/><Relationship Id="rId74" Type="http://schemas.openxmlformats.org/officeDocument/2006/relationships/hyperlink" Target="#'240_4Panel(2L2R) (&#3649;&#3610;&#3656;&#3591;&#3610;&#3634;&#3609;)'!A1"/><Relationship Id="rId79" Type="http://schemas.openxmlformats.org/officeDocument/2006/relationships/image" Target="../media/image39.png"/><Relationship Id="rId87" Type="http://schemas.openxmlformats.org/officeDocument/2006/relationships/image" Target="../media/image43.png"/><Relationship Id="rId5" Type="http://schemas.openxmlformats.org/officeDocument/2006/relationships/hyperlink" Target="#'240_3Panel(L)'!A1"/><Relationship Id="rId61" Type="http://schemas.openxmlformats.org/officeDocument/2006/relationships/image" Target="../media/image30.png"/><Relationship Id="rId82" Type="http://schemas.openxmlformats.org/officeDocument/2006/relationships/hyperlink" Target="#'240_8Panel(8R)'!A1"/><Relationship Id="rId90" Type="http://schemas.openxmlformats.org/officeDocument/2006/relationships/hyperlink" Target="#'240_7Panel(7R)'!A1"/><Relationship Id="rId19" Type="http://schemas.openxmlformats.org/officeDocument/2006/relationships/image" Target="../media/image9.png"/><Relationship Id="rId14" Type="http://schemas.openxmlformats.org/officeDocument/2006/relationships/hyperlink" Target="#'240_5Panel(1L4R)'!A1"/><Relationship Id="rId22" Type="http://schemas.openxmlformats.org/officeDocument/2006/relationships/hyperlink" Target="#'240_5Panel(5R)'!A1"/><Relationship Id="rId27" Type="http://schemas.openxmlformats.org/officeDocument/2006/relationships/image" Target="../media/image13.png"/><Relationship Id="rId30" Type="http://schemas.openxmlformats.org/officeDocument/2006/relationships/hyperlink" Target="#'240_6Panel(6L)'!A1"/><Relationship Id="rId35" Type="http://schemas.openxmlformats.org/officeDocument/2006/relationships/image" Target="../media/image17.png"/><Relationship Id="rId43" Type="http://schemas.openxmlformats.org/officeDocument/2006/relationships/image" Target="../media/image21.png"/><Relationship Id="rId48" Type="http://schemas.openxmlformats.org/officeDocument/2006/relationships/hyperlink" Target="#'240_9Panel(5L4R)'!A1"/><Relationship Id="rId56" Type="http://schemas.openxmlformats.org/officeDocument/2006/relationships/hyperlink" Target="#'240_8Panel(3L5R)'!A1"/><Relationship Id="rId64" Type="http://schemas.openxmlformats.org/officeDocument/2006/relationships/hyperlink" Target="#'240_7Panel(1L6R)'!A1"/><Relationship Id="rId69" Type="http://schemas.openxmlformats.org/officeDocument/2006/relationships/image" Target="../media/image34.png"/><Relationship Id="rId77" Type="http://schemas.openxmlformats.org/officeDocument/2006/relationships/image" Target="../media/image38.png"/><Relationship Id="rId8" Type="http://schemas.openxmlformats.org/officeDocument/2006/relationships/hyperlink" Target="#'240_4Panel(1L3R)'!A1"/><Relationship Id="rId51" Type="http://schemas.openxmlformats.org/officeDocument/2006/relationships/image" Target="../media/image25.png"/><Relationship Id="rId72" Type="http://schemas.openxmlformats.org/officeDocument/2006/relationships/hyperlink" Target="#'240_4Panel(4R)'!A1"/><Relationship Id="rId80" Type="http://schemas.openxmlformats.org/officeDocument/2006/relationships/hyperlink" Target="#'240_12Panel(6L6R)'!A1"/><Relationship Id="rId85" Type="http://schemas.openxmlformats.org/officeDocument/2006/relationships/image" Target="../media/image42.png"/><Relationship Id="rId3" Type="http://schemas.openxmlformats.org/officeDocument/2006/relationships/hyperlink" Target="#'240_2Panel(R)'!A1"/><Relationship Id="rId12" Type="http://schemas.openxmlformats.org/officeDocument/2006/relationships/hyperlink" Target="#'240_4Panel(3L1R)'!A1"/><Relationship Id="rId17" Type="http://schemas.openxmlformats.org/officeDocument/2006/relationships/image" Target="../media/image8.png"/><Relationship Id="rId25" Type="http://schemas.openxmlformats.org/officeDocument/2006/relationships/image" Target="../media/image12.png"/><Relationship Id="rId33" Type="http://schemas.openxmlformats.org/officeDocument/2006/relationships/image" Target="../media/image16.png"/><Relationship Id="rId38" Type="http://schemas.openxmlformats.org/officeDocument/2006/relationships/hyperlink" Target="#'240_12Panel(5L7R)'!A1"/><Relationship Id="rId46" Type="http://schemas.openxmlformats.org/officeDocument/2006/relationships/hyperlink" Target="#'240_9Panel(4L5R)'!A1"/><Relationship Id="rId59" Type="http://schemas.openxmlformats.org/officeDocument/2006/relationships/image" Target="../media/image29.png"/><Relationship Id="rId67" Type="http://schemas.openxmlformats.org/officeDocument/2006/relationships/image" Target="../media/image33.png"/><Relationship Id="rId20" Type="http://schemas.openxmlformats.org/officeDocument/2006/relationships/hyperlink" Target="#'240_5Panel(5L)'!A1"/><Relationship Id="rId41" Type="http://schemas.openxmlformats.org/officeDocument/2006/relationships/image" Target="../media/image20.png"/><Relationship Id="rId54" Type="http://schemas.openxmlformats.org/officeDocument/2006/relationships/hyperlink" Target="#'240_8Panel(5L3R)'!A1"/><Relationship Id="rId62" Type="http://schemas.openxmlformats.org/officeDocument/2006/relationships/hyperlink" Target="#'240_7Panel(6L1R)'!A1"/><Relationship Id="rId70" Type="http://schemas.openxmlformats.org/officeDocument/2006/relationships/hyperlink" Target="#'240_4Panel(4L)'!A1"/><Relationship Id="rId75" Type="http://schemas.openxmlformats.org/officeDocument/2006/relationships/image" Target="../media/image37.png"/><Relationship Id="rId83" Type="http://schemas.openxmlformats.org/officeDocument/2006/relationships/image" Target="../media/image41.png"/><Relationship Id="rId88" Type="http://schemas.openxmlformats.org/officeDocument/2006/relationships/hyperlink" Target="#'240_5Panel(4L1R)'!A1"/><Relationship Id="rId91" Type="http://schemas.openxmlformats.org/officeDocument/2006/relationships/image" Target="../media/image45.png"/><Relationship Id="rId1" Type="http://schemas.openxmlformats.org/officeDocument/2006/relationships/hyperlink" Target="#'240_2Panel(L)'!A1"/><Relationship Id="rId6" Type="http://schemas.openxmlformats.org/officeDocument/2006/relationships/image" Target="../media/image3.png"/><Relationship Id="rId15" Type="http://schemas.openxmlformats.org/officeDocument/2006/relationships/image" Target="../media/image7.png"/><Relationship Id="rId23" Type="http://schemas.openxmlformats.org/officeDocument/2006/relationships/image" Target="../media/image11.png"/><Relationship Id="rId28" Type="http://schemas.openxmlformats.org/officeDocument/2006/relationships/hyperlink" Target="#'240_6Panel(3L3R)'!A1"/><Relationship Id="rId36" Type="http://schemas.openxmlformats.org/officeDocument/2006/relationships/hyperlink" Target="#'240_14Panel(7L7R)'!A1"/><Relationship Id="rId49" Type="http://schemas.openxmlformats.org/officeDocument/2006/relationships/image" Target="../media/image24.png"/><Relationship Id="rId57" Type="http://schemas.openxmlformats.org/officeDocument/2006/relationships/image" Target="../media/image28.png"/><Relationship Id="rId10" Type="http://schemas.openxmlformats.org/officeDocument/2006/relationships/hyperlink" Target="#'240_4Panel(2L2R)'!A1"/><Relationship Id="rId31" Type="http://schemas.openxmlformats.org/officeDocument/2006/relationships/image" Target="../media/image15.png"/><Relationship Id="rId44" Type="http://schemas.openxmlformats.org/officeDocument/2006/relationships/hyperlink" Target="#'240_10Panel(5L5R)'!A1"/><Relationship Id="rId52" Type="http://schemas.openxmlformats.org/officeDocument/2006/relationships/hyperlink" Target="#'240_9Panel(6L3R)'!A1"/><Relationship Id="rId60" Type="http://schemas.openxmlformats.org/officeDocument/2006/relationships/hyperlink" Target="#'240_7Panel(3L4R)'!A1"/><Relationship Id="rId65" Type="http://schemas.openxmlformats.org/officeDocument/2006/relationships/image" Target="../media/image32.png"/><Relationship Id="rId73" Type="http://schemas.openxmlformats.org/officeDocument/2006/relationships/image" Target="../media/image36.png"/><Relationship Id="rId78" Type="http://schemas.openxmlformats.org/officeDocument/2006/relationships/hyperlink" Target="#'240_8Panel(4L4R)'!A1"/><Relationship Id="rId81" Type="http://schemas.openxmlformats.org/officeDocument/2006/relationships/image" Target="../media/image40.png"/><Relationship Id="rId86" Type="http://schemas.openxmlformats.org/officeDocument/2006/relationships/hyperlink" Target="#'240_3Panel(1L2R)'!A1"/><Relationship Id="rId4" Type="http://schemas.openxmlformats.org/officeDocument/2006/relationships/image" Target="../media/image2.png"/><Relationship Id="rId9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9.jpeg"/><Relationship Id="rId18" Type="http://schemas.openxmlformats.org/officeDocument/2006/relationships/image" Target="../media/image64.jpg"/><Relationship Id="rId26" Type="http://schemas.openxmlformats.org/officeDocument/2006/relationships/image" Target="../media/image70.jpeg"/><Relationship Id="rId39" Type="http://schemas.openxmlformats.org/officeDocument/2006/relationships/image" Target="../media/image83.png"/><Relationship Id="rId3" Type="http://schemas.openxmlformats.org/officeDocument/2006/relationships/image" Target="../media/image49.jpeg"/><Relationship Id="rId21" Type="http://schemas.openxmlformats.org/officeDocument/2006/relationships/image" Target="../media/image66.jpeg"/><Relationship Id="rId34" Type="http://schemas.openxmlformats.org/officeDocument/2006/relationships/image" Target="../media/image78.jpeg"/><Relationship Id="rId42" Type="http://schemas.openxmlformats.org/officeDocument/2006/relationships/image" Target="../media/image86.png"/><Relationship Id="rId47" Type="http://schemas.openxmlformats.org/officeDocument/2006/relationships/image" Target="../media/image91.png"/><Relationship Id="rId50" Type="http://schemas.microsoft.com/office/2007/relationships/hdphoto" Target="../media/hdphoto3.wdp"/><Relationship Id="rId7" Type="http://schemas.openxmlformats.org/officeDocument/2006/relationships/image" Target="../media/image53.tiff"/><Relationship Id="rId12" Type="http://schemas.openxmlformats.org/officeDocument/2006/relationships/image" Target="../media/image58.tiff"/><Relationship Id="rId17" Type="http://schemas.openxmlformats.org/officeDocument/2006/relationships/image" Target="../media/image63.jpeg"/><Relationship Id="rId25" Type="http://schemas.microsoft.com/office/2007/relationships/hdphoto" Target="../media/hdphoto2.wdp"/><Relationship Id="rId33" Type="http://schemas.openxmlformats.org/officeDocument/2006/relationships/image" Target="../media/image77.jpeg"/><Relationship Id="rId38" Type="http://schemas.openxmlformats.org/officeDocument/2006/relationships/image" Target="../media/image82.png"/><Relationship Id="rId46" Type="http://schemas.openxmlformats.org/officeDocument/2006/relationships/image" Target="../media/image90.png"/><Relationship Id="rId2" Type="http://schemas.openxmlformats.org/officeDocument/2006/relationships/image" Target="../media/image48.png"/><Relationship Id="rId16" Type="http://schemas.openxmlformats.org/officeDocument/2006/relationships/image" Target="../media/image62.jpg"/><Relationship Id="rId20" Type="http://schemas.microsoft.com/office/2007/relationships/hdphoto" Target="../media/hdphoto1.wdp"/><Relationship Id="rId29" Type="http://schemas.openxmlformats.org/officeDocument/2006/relationships/image" Target="../media/image73.jpeg"/><Relationship Id="rId41" Type="http://schemas.openxmlformats.org/officeDocument/2006/relationships/image" Target="../media/image85.png"/><Relationship Id="rId1" Type="http://schemas.openxmlformats.org/officeDocument/2006/relationships/image" Target="../media/image47.tiff"/><Relationship Id="rId6" Type="http://schemas.openxmlformats.org/officeDocument/2006/relationships/image" Target="../media/image52.jpeg"/><Relationship Id="rId11" Type="http://schemas.openxmlformats.org/officeDocument/2006/relationships/image" Target="../media/image57.tiff"/><Relationship Id="rId24" Type="http://schemas.openxmlformats.org/officeDocument/2006/relationships/image" Target="../media/image69.png"/><Relationship Id="rId32" Type="http://schemas.openxmlformats.org/officeDocument/2006/relationships/image" Target="../media/image76.jpeg"/><Relationship Id="rId37" Type="http://schemas.openxmlformats.org/officeDocument/2006/relationships/image" Target="../media/image81.png"/><Relationship Id="rId40" Type="http://schemas.openxmlformats.org/officeDocument/2006/relationships/image" Target="../media/image84.png"/><Relationship Id="rId45" Type="http://schemas.openxmlformats.org/officeDocument/2006/relationships/image" Target="../media/image89.png"/><Relationship Id="rId53" Type="http://schemas.openxmlformats.org/officeDocument/2006/relationships/image" Target="../media/image96.jpeg"/><Relationship Id="rId5" Type="http://schemas.openxmlformats.org/officeDocument/2006/relationships/image" Target="../media/image51.jpeg"/><Relationship Id="rId15" Type="http://schemas.openxmlformats.org/officeDocument/2006/relationships/image" Target="../media/image61.jpeg"/><Relationship Id="rId23" Type="http://schemas.openxmlformats.org/officeDocument/2006/relationships/image" Target="../media/image68.png"/><Relationship Id="rId28" Type="http://schemas.openxmlformats.org/officeDocument/2006/relationships/image" Target="../media/image72.jpg"/><Relationship Id="rId36" Type="http://schemas.openxmlformats.org/officeDocument/2006/relationships/image" Target="../media/image80.png"/><Relationship Id="rId49" Type="http://schemas.openxmlformats.org/officeDocument/2006/relationships/image" Target="../media/image93.png"/><Relationship Id="rId10" Type="http://schemas.openxmlformats.org/officeDocument/2006/relationships/image" Target="../media/image56.tiff"/><Relationship Id="rId19" Type="http://schemas.openxmlformats.org/officeDocument/2006/relationships/image" Target="../media/image65.png"/><Relationship Id="rId31" Type="http://schemas.openxmlformats.org/officeDocument/2006/relationships/image" Target="../media/image75.jpeg"/><Relationship Id="rId44" Type="http://schemas.openxmlformats.org/officeDocument/2006/relationships/image" Target="../media/image88.png"/><Relationship Id="rId52" Type="http://schemas.openxmlformats.org/officeDocument/2006/relationships/image" Target="../media/image95.jpeg"/><Relationship Id="rId4" Type="http://schemas.openxmlformats.org/officeDocument/2006/relationships/image" Target="../media/image50.jpeg"/><Relationship Id="rId9" Type="http://schemas.openxmlformats.org/officeDocument/2006/relationships/image" Target="../media/image55.tiff"/><Relationship Id="rId14" Type="http://schemas.openxmlformats.org/officeDocument/2006/relationships/image" Target="../media/image60.jpeg"/><Relationship Id="rId22" Type="http://schemas.openxmlformats.org/officeDocument/2006/relationships/image" Target="../media/image67.emf"/><Relationship Id="rId27" Type="http://schemas.openxmlformats.org/officeDocument/2006/relationships/image" Target="../media/image71.jpeg"/><Relationship Id="rId30" Type="http://schemas.openxmlformats.org/officeDocument/2006/relationships/image" Target="../media/image74.jpeg"/><Relationship Id="rId35" Type="http://schemas.openxmlformats.org/officeDocument/2006/relationships/image" Target="../media/image79.jpeg"/><Relationship Id="rId43" Type="http://schemas.openxmlformats.org/officeDocument/2006/relationships/image" Target="../media/image87.png"/><Relationship Id="rId48" Type="http://schemas.openxmlformats.org/officeDocument/2006/relationships/image" Target="../media/image92.png"/><Relationship Id="rId8" Type="http://schemas.openxmlformats.org/officeDocument/2006/relationships/image" Target="../media/image54.png"/><Relationship Id="rId51" Type="http://schemas.openxmlformats.org/officeDocument/2006/relationships/image" Target="../media/image94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2.emf"/><Relationship Id="rId13" Type="http://schemas.openxmlformats.org/officeDocument/2006/relationships/image" Target="../media/image107.emf"/><Relationship Id="rId3" Type="http://schemas.openxmlformats.org/officeDocument/2006/relationships/image" Target="../media/image1.png"/><Relationship Id="rId7" Type="http://schemas.openxmlformats.org/officeDocument/2006/relationships/image" Target="../media/image101.emf"/><Relationship Id="rId12" Type="http://schemas.openxmlformats.org/officeDocument/2006/relationships/image" Target="../media/image106.emf"/><Relationship Id="rId17" Type="http://schemas.openxmlformats.org/officeDocument/2006/relationships/image" Target="../media/image111.emf"/><Relationship Id="rId2" Type="http://schemas.openxmlformats.org/officeDocument/2006/relationships/image" Target="../media/image98.jpeg"/><Relationship Id="rId16" Type="http://schemas.openxmlformats.org/officeDocument/2006/relationships/image" Target="../media/image110.emf"/><Relationship Id="rId1" Type="http://schemas.openxmlformats.org/officeDocument/2006/relationships/image" Target="../media/image97.emf"/><Relationship Id="rId6" Type="http://schemas.openxmlformats.org/officeDocument/2006/relationships/image" Target="../media/image100.emf"/><Relationship Id="rId11" Type="http://schemas.openxmlformats.org/officeDocument/2006/relationships/image" Target="../media/image105.emf"/><Relationship Id="rId5" Type="http://schemas.openxmlformats.org/officeDocument/2006/relationships/image" Target="../media/image99.emf"/><Relationship Id="rId15" Type="http://schemas.openxmlformats.org/officeDocument/2006/relationships/image" Target="../media/image109.emf"/><Relationship Id="rId10" Type="http://schemas.openxmlformats.org/officeDocument/2006/relationships/image" Target="../media/image104.emf"/><Relationship Id="rId4" Type="http://schemas.openxmlformats.org/officeDocument/2006/relationships/hyperlink" Target="#'BI-FOLD'!A1"/><Relationship Id="rId9" Type="http://schemas.openxmlformats.org/officeDocument/2006/relationships/image" Target="../media/image103.emf"/><Relationship Id="rId14" Type="http://schemas.openxmlformats.org/officeDocument/2006/relationships/image" Target="../media/image108.emf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3.emf"/><Relationship Id="rId13" Type="http://schemas.openxmlformats.org/officeDocument/2006/relationships/image" Target="../media/image108.emf"/><Relationship Id="rId3" Type="http://schemas.openxmlformats.org/officeDocument/2006/relationships/hyperlink" Target="#'BI-FOLD'!A1"/><Relationship Id="rId7" Type="http://schemas.openxmlformats.org/officeDocument/2006/relationships/image" Target="../media/image102.emf"/><Relationship Id="rId12" Type="http://schemas.openxmlformats.org/officeDocument/2006/relationships/image" Target="../media/image107.emf"/><Relationship Id="rId17" Type="http://schemas.openxmlformats.org/officeDocument/2006/relationships/image" Target="../media/image105.emf"/><Relationship Id="rId2" Type="http://schemas.openxmlformats.org/officeDocument/2006/relationships/image" Target="../media/image2.png"/><Relationship Id="rId16" Type="http://schemas.openxmlformats.org/officeDocument/2006/relationships/image" Target="../media/image111.emf"/><Relationship Id="rId1" Type="http://schemas.openxmlformats.org/officeDocument/2006/relationships/image" Target="../media/image98.jpeg"/><Relationship Id="rId6" Type="http://schemas.openxmlformats.org/officeDocument/2006/relationships/image" Target="../media/image101.emf"/><Relationship Id="rId11" Type="http://schemas.openxmlformats.org/officeDocument/2006/relationships/image" Target="../media/image106.emf"/><Relationship Id="rId5" Type="http://schemas.openxmlformats.org/officeDocument/2006/relationships/image" Target="../media/image100.emf"/><Relationship Id="rId15" Type="http://schemas.openxmlformats.org/officeDocument/2006/relationships/image" Target="../media/image110.emf"/><Relationship Id="rId10" Type="http://schemas.openxmlformats.org/officeDocument/2006/relationships/image" Target="../media/image97.emf"/><Relationship Id="rId4" Type="http://schemas.openxmlformats.org/officeDocument/2006/relationships/image" Target="../media/image99.emf"/><Relationship Id="rId9" Type="http://schemas.openxmlformats.org/officeDocument/2006/relationships/image" Target="../media/image104.emf"/><Relationship Id="rId14" Type="http://schemas.openxmlformats.org/officeDocument/2006/relationships/image" Target="../media/image109.emf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4.emf"/><Relationship Id="rId13" Type="http://schemas.openxmlformats.org/officeDocument/2006/relationships/image" Target="../media/image108.emf"/><Relationship Id="rId18" Type="http://schemas.openxmlformats.org/officeDocument/2006/relationships/image" Target="../media/image42.png"/><Relationship Id="rId3" Type="http://schemas.openxmlformats.org/officeDocument/2006/relationships/image" Target="../media/image99.emf"/><Relationship Id="rId7" Type="http://schemas.openxmlformats.org/officeDocument/2006/relationships/image" Target="../media/image103.emf"/><Relationship Id="rId12" Type="http://schemas.openxmlformats.org/officeDocument/2006/relationships/image" Target="../media/image3.png"/><Relationship Id="rId17" Type="http://schemas.openxmlformats.org/officeDocument/2006/relationships/image" Target="../media/image105.emf"/><Relationship Id="rId2" Type="http://schemas.openxmlformats.org/officeDocument/2006/relationships/hyperlink" Target="#'BI-FOLD'!A1"/><Relationship Id="rId16" Type="http://schemas.openxmlformats.org/officeDocument/2006/relationships/image" Target="../media/image111.emf"/><Relationship Id="rId1" Type="http://schemas.openxmlformats.org/officeDocument/2006/relationships/image" Target="../media/image98.jpeg"/><Relationship Id="rId6" Type="http://schemas.openxmlformats.org/officeDocument/2006/relationships/image" Target="../media/image102.emf"/><Relationship Id="rId11" Type="http://schemas.openxmlformats.org/officeDocument/2006/relationships/image" Target="../media/image113.emf"/><Relationship Id="rId5" Type="http://schemas.openxmlformats.org/officeDocument/2006/relationships/image" Target="../media/image101.emf"/><Relationship Id="rId15" Type="http://schemas.openxmlformats.org/officeDocument/2006/relationships/image" Target="../media/image110.emf"/><Relationship Id="rId10" Type="http://schemas.openxmlformats.org/officeDocument/2006/relationships/image" Target="../media/image112.emf"/><Relationship Id="rId19" Type="http://schemas.openxmlformats.org/officeDocument/2006/relationships/image" Target="../media/image114.emf"/><Relationship Id="rId4" Type="http://schemas.openxmlformats.org/officeDocument/2006/relationships/image" Target="../media/image100.emf"/><Relationship Id="rId9" Type="http://schemas.openxmlformats.org/officeDocument/2006/relationships/image" Target="../media/image97.emf"/><Relationship Id="rId14" Type="http://schemas.openxmlformats.org/officeDocument/2006/relationships/image" Target="../media/image109.emf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4.emf"/><Relationship Id="rId13" Type="http://schemas.openxmlformats.org/officeDocument/2006/relationships/image" Target="../media/image108.emf"/><Relationship Id="rId18" Type="http://schemas.openxmlformats.org/officeDocument/2006/relationships/image" Target="../media/image43.png"/><Relationship Id="rId3" Type="http://schemas.openxmlformats.org/officeDocument/2006/relationships/image" Target="../media/image99.emf"/><Relationship Id="rId7" Type="http://schemas.openxmlformats.org/officeDocument/2006/relationships/image" Target="../media/image103.emf"/><Relationship Id="rId12" Type="http://schemas.openxmlformats.org/officeDocument/2006/relationships/image" Target="../media/image3.png"/><Relationship Id="rId17" Type="http://schemas.openxmlformats.org/officeDocument/2006/relationships/image" Target="../media/image105.emf"/><Relationship Id="rId2" Type="http://schemas.openxmlformats.org/officeDocument/2006/relationships/hyperlink" Target="#'BI-FOLD'!A1"/><Relationship Id="rId16" Type="http://schemas.openxmlformats.org/officeDocument/2006/relationships/image" Target="../media/image111.emf"/><Relationship Id="rId1" Type="http://schemas.openxmlformats.org/officeDocument/2006/relationships/image" Target="../media/image98.jpeg"/><Relationship Id="rId6" Type="http://schemas.openxmlformats.org/officeDocument/2006/relationships/image" Target="../media/image102.emf"/><Relationship Id="rId11" Type="http://schemas.openxmlformats.org/officeDocument/2006/relationships/image" Target="../media/image113.emf"/><Relationship Id="rId5" Type="http://schemas.openxmlformats.org/officeDocument/2006/relationships/image" Target="../media/image101.emf"/><Relationship Id="rId15" Type="http://schemas.openxmlformats.org/officeDocument/2006/relationships/image" Target="../media/image110.emf"/><Relationship Id="rId10" Type="http://schemas.openxmlformats.org/officeDocument/2006/relationships/image" Target="../media/image112.emf"/><Relationship Id="rId19" Type="http://schemas.openxmlformats.org/officeDocument/2006/relationships/image" Target="../media/image114.emf"/><Relationship Id="rId4" Type="http://schemas.openxmlformats.org/officeDocument/2006/relationships/image" Target="../media/image100.emf"/><Relationship Id="rId9" Type="http://schemas.openxmlformats.org/officeDocument/2006/relationships/image" Target="../media/image97.emf"/><Relationship Id="rId14" Type="http://schemas.openxmlformats.org/officeDocument/2006/relationships/image" Target="../media/image109.emf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3.emf"/><Relationship Id="rId13" Type="http://schemas.openxmlformats.org/officeDocument/2006/relationships/image" Target="../media/image108.emf"/><Relationship Id="rId3" Type="http://schemas.openxmlformats.org/officeDocument/2006/relationships/hyperlink" Target="#'BI-FOLD'!A1"/><Relationship Id="rId7" Type="http://schemas.openxmlformats.org/officeDocument/2006/relationships/image" Target="../media/image102.emf"/><Relationship Id="rId12" Type="http://schemas.openxmlformats.org/officeDocument/2006/relationships/image" Target="../media/image113.emf"/><Relationship Id="rId17" Type="http://schemas.openxmlformats.org/officeDocument/2006/relationships/image" Target="../media/image105.emf"/><Relationship Id="rId2" Type="http://schemas.openxmlformats.org/officeDocument/2006/relationships/image" Target="../media/image3.png"/><Relationship Id="rId16" Type="http://schemas.openxmlformats.org/officeDocument/2006/relationships/image" Target="../media/image111.emf"/><Relationship Id="rId1" Type="http://schemas.openxmlformats.org/officeDocument/2006/relationships/image" Target="../media/image98.jpeg"/><Relationship Id="rId6" Type="http://schemas.openxmlformats.org/officeDocument/2006/relationships/image" Target="../media/image101.emf"/><Relationship Id="rId11" Type="http://schemas.openxmlformats.org/officeDocument/2006/relationships/image" Target="../media/image112.emf"/><Relationship Id="rId5" Type="http://schemas.openxmlformats.org/officeDocument/2006/relationships/image" Target="../media/image100.emf"/><Relationship Id="rId15" Type="http://schemas.openxmlformats.org/officeDocument/2006/relationships/image" Target="../media/image110.emf"/><Relationship Id="rId10" Type="http://schemas.openxmlformats.org/officeDocument/2006/relationships/image" Target="../media/image97.emf"/><Relationship Id="rId4" Type="http://schemas.openxmlformats.org/officeDocument/2006/relationships/image" Target="../media/image99.emf"/><Relationship Id="rId9" Type="http://schemas.openxmlformats.org/officeDocument/2006/relationships/image" Target="../media/image104.emf"/><Relationship Id="rId14" Type="http://schemas.openxmlformats.org/officeDocument/2006/relationships/image" Target="../media/image109.emf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3.emf"/><Relationship Id="rId13" Type="http://schemas.openxmlformats.org/officeDocument/2006/relationships/image" Target="../media/image108.emf"/><Relationship Id="rId3" Type="http://schemas.openxmlformats.org/officeDocument/2006/relationships/hyperlink" Target="#'BI-FOLD'!A1"/><Relationship Id="rId7" Type="http://schemas.openxmlformats.org/officeDocument/2006/relationships/image" Target="../media/image102.emf"/><Relationship Id="rId12" Type="http://schemas.openxmlformats.org/officeDocument/2006/relationships/image" Target="../media/image113.emf"/><Relationship Id="rId17" Type="http://schemas.openxmlformats.org/officeDocument/2006/relationships/image" Target="../media/image105.emf"/><Relationship Id="rId2" Type="http://schemas.openxmlformats.org/officeDocument/2006/relationships/image" Target="../media/image3.png"/><Relationship Id="rId16" Type="http://schemas.openxmlformats.org/officeDocument/2006/relationships/image" Target="../media/image111.emf"/><Relationship Id="rId1" Type="http://schemas.openxmlformats.org/officeDocument/2006/relationships/image" Target="../media/image98.jpeg"/><Relationship Id="rId6" Type="http://schemas.openxmlformats.org/officeDocument/2006/relationships/image" Target="../media/image101.emf"/><Relationship Id="rId11" Type="http://schemas.openxmlformats.org/officeDocument/2006/relationships/image" Target="../media/image112.emf"/><Relationship Id="rId5" Type="http://schemas.openxmlformats.org/officeDocument/2006/relationships/image" Target="../media/image100.emf"/><Relationship Id="rId15" Type="http://schemas.openxmlformats.org/officeDocument/2006/relationships/image" Target="../media/image110.emf"/><Relationship Id="rId10" Type="http://schemas.openxmlformats.org/officeDocument/2006/relationships/image" Target="../media/image97.emf"/><Relationship Id="rId4" Type="http://schemas.openxmlformats.org/officeDocument/2006/relationships/image" Target="../media/image99.emf"/><Relationship Id="rId9" Type="http://schemas.openxmlformats.org/officeDocument/2006/relationships/image" Target="../media/image104.emf"/><Relationship Id="rId14" Type="http://schemas.openxmlformats.org/officeDocument/2006/relationships/image" Target="../media/image109.emf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2.emf"/><Relationship Id="rId13" Type="http://schemas.openxmlformats.org/officeDocument/2006/relationships/image" Target="../media/image113.emf"/><Relationship Id="rId18" Type="http://schemas.openxmlformats.org/officeDocument/2006/relationships/image" Target="../media/image105.emf"/><Relationship Id="rId3" Type="http://schemas.openxmlformats.org/officeDocument/2006/relationships/image" Target="../media/image114.emf"/><Relationship Id="rId7" Type="http://schemas.openxmlformats.org/officeDocument/2006/relationships/image" Target="../media/image101.emf"/><Relationship Id="rId12" Type="http://schemas.openxmlformats.org/officeDocument/2006/relationships/image" Target="../media/image112.emf"/><Relationship Id="rId17" Type="http://schemas.openxmlformats.org/officeDocument/2006/relationships/image" Target="../media/image111.emf"/><Relationship Id="rId2" Type="http://schemas.openxmlformats.org/officeDocument/2006/relationships/image" Target="../media/image4.png"/><Relationship Id="rId16" Type="http://schemas.openxmlformats.org/officeDocument/2006/relationships/image" Target="../media/image110.emf"/><Relationship Id="rId1" Type="http://schemas.openxmlformats.org/officeDocument/2006/relationships/image" Target="../media/image98.jpeg"/><Relationship Id="rId6" Type="http://schemas.openxmlformats.org/officeDocument/2006/relationships/image" Target="../media/image100.emf"/><Relationship Id="rId11" Type="http://schemas.openxmlformats.org/officeDocument/2006/relationships/image" Target="../media/image97.emf"/><Relationship Id="rId5" Type="http://schemas.openxmlformats.org/officeDocument/2006/relationships/image" Target="../media/image99.emf"/><Relationship Id="rId15" Type="http://schemas.openxmlformats.org/officeDocument/2006/relationships/image" Target="../media/image109.emf"/><Relationship Id="rId10" Type="http://schemas.openxmlformats.org/officeDocument/2006/relationships/image" Target="../media/image104.emf"/><Relationship Id="rId4" Type="http://schemas.openxmlformats.org/officeDocument/2006/relationships/hyperlink" Target="#'BI-FOLD'!A1"/><Relationship Id="rId9" Type="http://schemas.openxmlformats.org/officeDocument/2006/relationships/image" Target="../media/image103.emf"/><Relationship Id="rId14" Type="http://schemas.openxmlformats.org/officeDocument/2006/relationships/image" Target="../media/image108.emf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3.emf"/><Relationship Id="rId13" Type="http://schemas.openxmlformats.org/officeDocument/2006/relationships/image" Target="../media/image108.emf"/><Relationship Id="rId3" Type="http://schemas.openxmlformats.org/officeDocument/2006/relationships/hyperlink" Target="#'BI-FOLD'!A1"/><Relationship Id="rId7" Type="http://schemas.openxmlformats.org/officeDocument/2006/relationships/image" Target="../media/image102.emf"/><Relationship Id="rId12" Type="http://schemas.openxmlformats.org/officeDocument/2006/relationships/image" Target="../media/image113.emf"/><Relationship Id="rId17" Type="http://schemas.openxmlformats.org/officeDocument/2006/relationships/image" Target="../media/image105.emf"/><Relationship Id="rId2" Type="http://schemas.openxmlformats.org/officeDocument/2006/relationships/image" Target="../media/image5.png"/><Relationship Id="rId16" Type="http://schemas.openxmlformats.org/officeDocument/2006/relationships/image" Target="../media/image111.emf"/><Relationship Id="rId1" Type="http://schemas.openxmlformats.org/officeDocument/2006/relationships/image" Target="../media/image98.jpeg"/><Relationship Id="rId6" Type="http://schemas.openxmlformats.org/officeDocument/2006/relationships/image" Target="../media/image101.emf"/><Relationship Id="rId11" Type="http://schemas.openxmlformats.org/officeDocument/2006/relationships/image" Target="../media/image112.emf"/><Relationship Id="rId5" Type="http://schemas.openxmlformats.org/officeDocument/2006/relationships/image" Target="../media/image100.emf"/><Relationship Id="rId15" Type="http://schemas.openxmlformats.org/officeDocument/2006/relationships/image" Target="../media/image110.emf"/><Relationship Id="rId10" Type="http://schemas.openxmlformats.org/officeDocument/2006/relationships/image" Target="../media/image97.emf"/><Relationship Id="rId4" Type="http://schemas.openxmlformats.org/officeDocument/2006/relationships/image" Target="../media/image99.emf"/><Relationship Id="rId9" Type="http://schemas.openxmlformats.org/officeDocument/2006/relationships/image" Target="../media/image104.emf"/><Relationship Id="rId14" Type="http://schemas.openxmlformats.org/officeDocument/2006/relationships/image" Target="../media/image109.emf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4.emf"/><Relationship Id="rId13" Type="http://schemas.openxmlformats.org/officeDocument/2006/relationships/image" Target="../media/image109.emf"/><Relationship Id="rId18" Type="http://schemas.openxmlformats.org/officeDocument/2006/relationships/image" Target="../media/image115.emf"/><Relationship Id="rId3" Type="http://schemas.openxmlformats.org/officeDocument/2006/relationships/image" Target="../media/image99.emf"/><Relationship Id="rId7" Type="http://schemas.openxmlformats.org/officeDocument/2006/relationships/image" Target="../media/image103.emf"/><Relationship Id="rId12" Type="http://schemas.openxmlformats.org/officeDocument/2006/relationships/image" Target="../media/image108.emf"/><Relationship Id="rId17" Type="http://schemas.openxmlformats.org/officeDocument/2006/relationships/image" Target="../media/image37.png"/><Relationship Id="rId2" Type="http://schemas.openxmlformats.org/officeDocument/2006/relationships/hyperlink" Target="#'BI-FOLD'!A1"/><Relationship Id="rId16" Type="http://schemas.openxmlformats.org/officeDocument/2006/relationships/image" Target="../media/image105.emf"/><Relationship Id="rId1" Type="http://schemas.openxmlformats.org/officeDocument/2006/relationships/image" Target="../media/image98.jpeg"/><Relationship Id="rId6" Type="http://schemas.openxmlformats.org/officeDocument/2006/relationships/image" Target="../media/image102.emf"/><Relationship Id="rId11" Type="http://schemas.openxmlformats.org/officeDocument/2006/relationships/image" Target="../media/image113.emf"/><Relationship Id="rId5" Type="http://schemas.openxmlformats.org/officeDocument/2006/relationships/image" Target="../media/image101.emf"/><Relationship Id="rId15" Type="http://schemas.openxmlformats.org/officeDocument/2006/relationships/image" Target="../media/image111.emf"/><Relationship Id="rId10" Type="http://schemas.openxmlformats.org/officeDocument/2006/relationships/image" Target="../media/image112.emf"/><Relationship Id="rId4" Type="http://schemas.openxmlformats.org/officeDocument/2006/relationships/image" Target="../media/image100.emf"/><Relationship Id="rId9" Type="http://schemas.openxmlformats.org/officeDocument/2006/relationships/image" Target="../media/image97.emf"/><Relationship Id="rId14" Type="http://schemas.openxmlformats.org/officeDocument/2006/relationships/image" Target="../media/image110.emf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2.emf"/><Relationship Id="rId13" Type="http://schemas.openxmlformats.org/officeDocument/2006/relationships/image" Target="../media/image113.emf"/><Relationship Id="rId18" Type="http://schemas.openxmlformats.org/officeDocument/2006/relationships/image" Target="../media/image105.emf"/><Relationship Id="rId3" Type="http://schemas.openxmlformats.org/officeDocument/2006/relationships/hyperlink" Target="#'BI-FOLD'!A1"/><Relationship Id="rId7" Type="http://schemas.openxmlformats.org/officeDocument/2006/relationships/image" Target="../media/image101.emf"/><Relationship Id="rId12" Type="http://schemas.openxmlformats.org/officeDocument/2006/relationships/image" Target="../media/image112.emf"/><Relationship Id="rId17" Type="http://schemas.openxmlformats.org/officeDocument/2006/relationships/image" Target="../media/image111.emf"/><Relationship Id="rId2" Type="http://schemas.openxmlformats.org/officeDocument/2006/relationships/image" Target="../media/image116.png"/><Relationship Id="rId16" Type="http://schemas.openxmlformats.org/officeDocument/2006/relationships/image" Target="../media/image110.emf"/><Relationship Id="rId1" Type="http://schemas.openxmlformats.org/officeDocument/2006/relationships/image" Target="../media/image98.jpeg"/><Relationship Id="rId6" Type="http://schemas.openxmlformats.org/officeDocument/2006/relationships/image" Target="../media/image100.emf"/><Relationship Id="rId11" Type="http://schemas.openxmlformats.org/officeDocument/2006/relationships/image" Target="../media/image97.emf"/><Relationship Id="rId5" Type="http://schemas.openxmlformats.org/officeDocument/2006/relationships/image" Target="../media/image99.emf"/><Relationship Id="rId15" Type="http://schemas.openxmlformats.org/officeDocument/2006/relationships/image" Target="../media/image109.emf"/><Relationship Id="rId10" Type="http://schemas.openxmlformats.org/officeDocument/2006/relationships/image" Target="../media/image104.emf"/><Relationship Id="rId4" Type="http://schemas.openxmlformats.org/officeDocument/2006/relationships/image" Target="../media/image114.emf"/><Relationship Id="rId9" Type="http://schemas.openxmlformats.org/officeDocument/2006/relationships/image" Target="../media/image103.emf"/><Relationship Id="rId14" Type="http://schemas.openxmlformats.org/officeDocument/2006/relationships/image" Target="../media/image108.emf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3.emf"/><Relationship Id="rId13" Type="http://schemas.openxmlformats.org/officeDocument/2006/relationships/image" Target="../media/image108.emf"/><Relationship Id="rId3" Type="http://schemas.openxmlformats.org/officeDocument/2006/relationships/hyperlink" Target="#'BI-FOLD'!A1"/><Relationship Id="rId7" Type="http://schemas.openxmlformats.org/officeDocument/2006/relationships/image" Target="../media/image102.emf"/><Relationship Id="rId12" Type="http://schemas.openxmlformats.org/officeDocument/2006/relationships/image" Target="../media/image113.emf"/><Relationship Id="rId17" Type="http://schemas.openxmlformats.org/officeDocument/2006/relationships/image" Target="../media/image105.emf"/><Relationship Id="rId2" Type="http://schemas.openxmlformats.org/officeDocument/2006/relationships/image" Target="../media/image117.png"/><Relationship Id="rId16" Type="http://schemas.openxmlformats.org/officeDocument/2006/relationships/image" Target="../media/image111.emf"/><Relationship Id="rId1" Type="http://schemas.openxmlformats.org/officeDocument/2006/relationships/image" Target="../media/image98.jpeg"/><Relationship Id="rId6" Type="http://schemas.openxmlformats.org/officeDocument/2006/relationships/image" Target="../media/image101.emf"/><Relationship Id="rId11" Type="http://schemas.openxmlformats.org/officeDocument/2006/relationships/image" Target="../media/image112.emf"/><Relationship Id="rId5" Type="http://schemas.openxmlformats.org/officeDocument/2006/relationships/image" Target="../media/image100.emf"/><Relationship Id="rId15" Type="http://schemas.openxmlformats.org/officeDocument/2006/relationships/image" Target="../media/image110.emf"/><Relationship Id="rId10" Type="http://schemas.openxmlformats.org/officeDocument/2006/relationships/image" Target="../media/image97.emf"/><Relationship Id="rId4" Type="http://schemas.openxmlformats.org/officeDocument/2006/relationships/image" Target="../media/image99.emf"/><Relationship Id="rId9" Type="http://schemas.openxmlformats.org/officeDocument/2006/relationships/image" Target="../media/image104.emf"/><Relationship Id="rId14" Type="http://schemas.openxmlformats.org/officeDocument/2006/relationships/image" Target="../media/image109.emf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3.emf"/><Relationship Id="rId13" Type="http://schemas.openxmlformats.org/officeDocument/2006/relationships/image" Target="../media/image108.emf"/><Relationship Id="rId3" Type="http://schemas.openxmlformats.org/officeDocument/2006/relationships/hyperlink" Target="#'BI-FOLD'!A1"/><Relationship Id="rId7" Type="http://schemas.openxmlformats.org/officeDocument/2006/relationships/image" Target="../media/image102.emf"/><Relationship Id="rId12" Type="http://schemas.openxmlformats.org/officeDocument/2006/relationships/image" Target="../media/image113.emf"/><Relationship Id="rId17" Type="http://schemas.openxmlformats.org/officeDocument/2006/relationships/image" Target="../media/image105.emf"/><Relationship Id="rId2" Type="http://schemas.openxmlformats.org/officeDocument/2006/relationships/image" Target="../media/image118.png"/><Relationship Id="rId16" Type="http://schemas.openxmlformats.org/officeDocument/2006/relationships/image" Target="../media/image111.emf"/><Relationship Id="rId1" Type="http://schemas.openxmlformats.org/officeDocument/2006/relationships/image" Target="../media/image98.jpeg"/><Relationship Id="rId6" Type="http://schemas.openxmlformats.org/officeDocument/2006/relationships/image" Target="../media/image101.emf"/><Relationship Id="rId11" Type="http://schemas.openxmlformats.org/officeDocument/2006/relationships/image" Target="../media/image112.emf"/><Relationship Id="rId5" Type="http://schemas.openxmlformats.org/officeDocument/2006/relationships/image" Target="../media/image100.emf"/><Relationship Id="rId15" Type="http://schemas.openxmlformats.org/officeDocument/2006/relationships/image" Target="../media/image110.emf"/><Relationship Id="rId10" Type="http://schemas.openxmlformats.org/officeDocument/2006/relationships/image" Target="../media/image97.emf"/><Relationship Id="rId4" Type="http://schemas.openxmlformats.org/officeDocument/2006/relationships/image" Target="../media/image99.emf"/><Relationship Id="rId9" Type="http://schemas.openxmlformats.org/officeDocument/2006/relationships/image" Target="../media/image104.emf"/><Relationship Id="rId14" Type="http://schemas.openxmlformats.org/officeDocument/2006/relationships/image" Target="../media/image109.emf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3.emf"/><Relationship Id="rId13" Type="http://schemas.openxmlformats.org/officeDocument/2006/relationships/image" Target="../media/image108.emf"/><Relationship Id="rId18" Type="http://schemas.openxmlformats.org/officeDocument/2006/relationships/image" Target="../media/image119.png"/><Relationship Id="rId3" Type="http://schemas.openxmlformats.org/officeDocument/2006/relationships/image" Target="../media/image114.emf"/><Relationship Id="rId7" Type="http://schemas.openxmlformats.org/officeDocument/2006/relationships/image" Target="../media/image102.emf"/><Relationship Id="rId12" Type="http://schemas.openxmlformats.org/officeDocument/2006/relationships/image" Target="../media/image113.emf"/><Relationship Id="rId17" Type="http://schemas.openxmlformats.org/officeDocument/2006/relationships/image" Target="../media/image105.emf"/><Relationship Id="rId2" Type="http://schemas.openxmlformats.org/officeDocument/2006/relationships/hyperlink" Target="#'BI-FOLD'!A1"/><Relationship Id="rId16" Type="http://schemas.openxmlformats.org/officeDocument/2006/relationships/image" Target="../media/image111.emf"/><Relationship Id="rId1" Type="http://schemas.openxmlformats.org/officeDocument/2006/relationships/image" Target="../media/image98.jpeg"/><Relationship Id="rId6" Type="http://schemas.openxmlformats.org/officeDocument/2006/relationships/image" Target="../media/image101.emf"/><Relationship Id="rId11" Type="http://schemas.openxmlformats.org/officeDocument/2006/relationships/image" Target="../media/image112.emf"/><Relationship Id="rId5" Type="http://schemas.openxmlformats.org/officeDocument/2006/relationships/image" Target="../media/image100.emf"/><Relationship Id="rId15" Type="http://schemas.openxmlformats.org/officeDocument/2006/relationships/image" Target="../media/image110.emf"/><Relationship Id="rId10" Type="http://schemas.openxmlformats.org/officeDocument/2006/relationships/image" Target="../media/image97.emf"/><Relationship Id="rId4" Type="http://schemas.openxmlformats.org/officeDocument/2006/relationships/image" Target="../media/image99.emf"/><Relationship Id="rId9" Type="http://schemas.openxmlformats.org/officeDocument/2006/relationships/image" Target="../media/image104.emf"/><Relationship Id="rId14" Type="http://schemas.openxmlformats.org/officeDocument/2006/relationships/image" Target="../media/image109.emf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2.emf"/><Relationship Id="rId13" Type="http://schemas.openxmlformats.org/officeDocument/2006/relationships/image" Target="../media/image113.emf"/><Relationship Id="rId18" Type="http://schemas.openxmlformats.org/officeDocument/2006/relationships/image" Target="../media/image105.emf"/><Relationship Id="rId3" Type="http://schemas.openxmlformats.org/officeDocument/2006/relationships/hyperlink" Target="#'BI-FOLD'!A1"/><Relationship Id="rId7" Type="http://schemas.openxmlformats.org/officeDocument/2006/relationships/image" Target="../media/image101.emf"/><Relationship Id="rId12" Type="http://schemas.openxmlformats.org/officeDocument/2006/relationships/image" Target="../media/image112.emf"/><Relationship Id="rId17" Type="http://schemas.openxmlformats.org/officeDocument/2006/relationships/image" Target="../media/image111.emf"/><Relationship Id="rId2" Type="http://schemas.openxmlformats.org/officeDocument/2006/relationships/image" Target="../media/image120.png"/><Relationship Id="rId16" Type="http://schemas.openxmlformats.org/officeDocument/2006/relationships/image" Target="../media/image110.emf"/><Relationship Id="rId1" Type="http://schemas.openxmlformats.org/officeDocument/2006/relationships/image" Target="../media/image98.jpeg"/><Relationship Id="rId6" Type="http://schemas.openxmlformats.org/officeDocument/2006/relationships/image" Target="../media/image100.emf"/><Relationship Id="rId11" Type="http://schemas.openxmlformats.org/officeDocument/2006/relationships/image" Target="../media/image97.emf"/><Relationship Id="rId5" Type="http://schemas.openxmlformats.org/officeDocument/2006/relationships/image" Target="../media/image99.emf"/><Relationship Id="rId15" Type="http://schemas.openxmlformats.org/officeDocument/2006/relationships/image" Target="../media/image109.emf"/><Relationship Id="rId10" Type="http://schemas.openxmlformats.org/officeDocument/2006/relationships/image" Target="../media/image104.emf"/><Relationship Id="rId4" Type="http://schemas.openxmlformats.org/officeDocument/2006/relationships/image" Target="../media/image114.emf"/><Relationship Id="rId9" Type="http://schemas.openxmlformats.org/officeDocument/2006/relationships/image" Target="../media/image103.emf"/><Relationship Id="rId14" Type="http://schemas.openxmlformats.org/officeDocument/2006/relationships/image" Target="../media/image108.emf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2.emf"/><Relationship Id="rId13" Type="http://schemas.openxmlformats.org/officeDocument/2006/relationships/image" Target="../media/image113.emf"/><Relationship Id="rId18" Type="http://schemas.openxmlformats.org/officeDocument/2006/relationships/image" Target="../media/image105.emf"/><Relationship Id="rId3" Type="http://schemas.openxmlformats.org/officeDocument/2006/relationships/hyperlink" Target="#'BI-FOLD'!A1"/><Relationship Id="rId7" Type="http://schemas.openxmlformats.org/officeDocument/2006/relationships/image" Target="../media/image101.emf"/><Relationship Id="rId12" Type="http://schemas.openxmlformats.org/officeDocument/2006/relationships/image" Target="../media/image112.emf"/><Relationship Id="rId17" Type="http://schemas.openxmlformats.org/officeDocument/2006/relationships/image" Target="../media/image111.emf"/><Relationship Id="rId2" Type="http://schemas.openxmlformats.org/officeDocument/2006/relationships/image" Target="../media/image121.png"/><Relationship Id="rId16" Type="http://schemas.openxmlformats.org/officeDocument/2006/relationships/image" Target="../media/image110.emf"/><Relationship Id="rId1" Type="http://schemas.openxmlformats.org/officeDocument/2006/relationships/image" Target="../media/image98.jpeg"/><Relationship Id="rId6" Type="http://schemas.openxmlformats.org/officeDocument/2006/relationships/image" Target="../media/image100.emf"/><Relationship Id="rId11" Type="http://schemas.openxmlformats.org/officeDocument/2006/relationships/image" Target="../media/image97.emf"/><Relationship Id="rId5" Type="http://schemas.openxmlformats.org/officeDocument/2006/relationships/image" Target="../media/image99.emf"/><Relationship Id="rId15" Type="http://schemas.openxmlformats.org/officeDocument/2006/relationships/image" Target="../media/image109.emf"/><Relationship Id="rId10" Type="http://schemas.openxmlformats.org/officeDocument/2006/relationships/image" Target="../media/image104.emf"/><Relationship Id="rId4" Type="http://schemas.openxmlformats.org/officeDocument/2006/relationships/image" Target="../media/image114.emf"/><Relationship Id="rId9" Type="http://schemas.openxmlformats.org/officeDocument/2006/relationships/image" Target="../media/image103.emf"/><Relationship Id="rId14" Type="http://schemas.openxmlformats.org/officeDocument/2006/relationships/image" Target="../media/image108.emf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3.emf"/><Relationship Id="rId13" Type="http://schemas.openxmlformats.org/officeDocument/2006/relationships/image" Target="../media/image108.emf"/><Relationship Id="rId18" Type="http://schemas.openxmlformats.org/officeDocument/2006/relationships/image" Target="../media/image44.png"/><Relationship Id="rId3" Type="http://schemas.openxmlformats.org/officeDocument/2006/relationships/image" Target="../media/image114.emf"/><Relationship Id="rId7" Type="http://schemas.openxmlformats.org/officeDocument/2006/relationships/image" Target="../media/image102.emf"/><Relationship Id="rId12" Type="http://schemas.openxmlformats.org/officeDocument/2006/relationships/image" Target="../media/image113.emf"/><Relationship Id="rId17" Type="http://schemas.openxmlformats.org/officeDocument/2006/relationships/image" Target="../media/image105.emf"/><Relationship Id="rId2" Type="http://schemas.openxmlformats.org/officeDocument/2006/relationships/hyperlink" Target="#'BI-FOLD'!A1"/><Relationship Id="rId16" Type="http://schemas.openxmlformats.org/officeDocument/2006/relationships/image" Target="../media/image111.emf"/><Relationship Id="rId1" Type="http://schemas.openxmlformats.org/officeDocument/2006/relationships/image" Target="../media/image98.jpeg"/><Relationship Id="rId6" Type="http://schemas.openxmlformats.org/officeDocument/2006/relationships/image" Target="../media/image101.emf"/><Relationship Id="rId11" Type="http://schemas.openxmlformats.org/officeDocument/2006/relationships/image" Target="../media/image112.emf"/><Relationship Id="rId5" Type="http://schemas.openxmlformats.org/officeDocument/2006/relationships/image" Target="../media/image100.emf"/><Relationship Id="rId15" Type="http://schemas.openxmlformats.org/officeDocument/2006/relationships/image" Target="../media/image110.emf"/><Relationship Id="rId10" Type="http://schemas.openxmlformats.org/officeDocument/2006/relationships/image" Target="../media/image97.emf"/><Relationship Id="rId4" Type="http://schemas.openxmlformats.org/officeDocument/2006/relationships/image" Target="../media/image99.emf"/><Relationship Id="rId9" Type="http://schemas.openxmlformats.org/officeDocument/2006/relationships/image" Target="../media/image104.emf"/><Relationship Id="rId14" Type="http://schemas.openxmlformats.org/officeDocument/2006/relationships/image" Target="../media/image109.emf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3.emf"/><Relationship Id="rId13" Type="http://schemas.openxmlformats.org/officeDocument/2006/relationships/image" Target="../media/image108.emf"/><Relationship Id="rId3" Type="http://schemas.openxmlformats.org/officeDocument/2006/relationships/hyperlink" Target="#'BI-FOLD'!A1"/><Relationship Id="rId7" Type="http://schemas.openxmlformats.org/officeDocument/2006/relationships/image" Target="../media/image102.emf"/><Relationship Id="rId12" Type="http://schemas.openxmlformats.org/officeDocument/2006/relationships/image" Target="../media/image113.emf"/><Relationship Id="rId17" Type="http://schemas.openxmlformats.org/officeDocument/2006/relationships/image" Target="../media/image105.emf"/><Relationship Id="rId2" Type="http://schemas.openxmlformats.org/officeDocument/2006/relationships/image" Target="../media/image122.png"/><Relationship Id="rId16" Type="http://schemas.openxmlformats.org/officeDocument/2006/relationships/image" Target="../media/image111.emf"/><Relationship Id="rId1" Type="http://schemas.openxmlformats.org/officeDocument/2006/relationships/image" Target="../media/image98.jpeg"/><Relationship Id="rId6" Type="http://schemas.openxmlformats.org/officeDocument/2006/relationships/image" Target="../media/image101.emf"/><Relationship Id="rId11" Type="http://schemas.openxmlformats.org/officeDocument/2006/relationships/image" Target="../media/image112.emf"/><Relationship Id="rId5" Type="http://schemas.openxmlformats.org/officeDocument/2006/relationships/image" Target="../media/image100.emf"/><Relationship Id="rId15" Type="http://schemas.openxmlformats.org/officeDocument/2006/relationships/image" Target="../media/image110.emf"/><Relationship Id="rId10" Type="http://schemas.openxmlformats.org/officeDocument/2006/relationships/image" Target="../media/image97.emf"/><Relationship Id="rId4" Type="http://schemas.openxmlformats.org/officeDocument/2006/relationships/image" Target="../media/image99.emf"/><Relationship Id="rId9" Type="http://schemas.openxmlformats.org/officeDocument/2006/relationships/image" Target="../media/image104.emf"/><Relationship Id="rId14" Type="http://schemas.openxmlformats.org/officeDocument/2006/relationships/image" Target="../media/image109.emf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3.emf"/><Relationship Id="rId13" Type="http://schemas.openxmlformats.org/officeDocument/2006/relationships/image" Target="../media/image108.emf"/><Relationship Id="rId3" Type="http://schemas.openxmlformats.org/officeDocument/2006/relationships/hyperlink" Target="#'BI-FOLD'!A1"/><Relationship Id="rId7" Type="http://schemas.openxmlformats.org/officeDocument/2006/relationships/image" Target="../media/image102.emf"/><Relationship Id="rId12" Type="http://schemas.openxmlformats.org/officeDocument/2006/relationships/image" Target="../media/image113.emf"/><Relationship Id="rId17" Type="http://schemas.openxmlformats.org/officeDocument/2006/relationships/image" Target="../media/image105.emf"/><Relationship Id="rId2" Type="http://schemas.openxmlformats.org/officeDocument/2006/relationships/image" Target="../media/image122.png"/><Relationship Id="rId16" Type="http://schemas.openxmlformats.org/officeDocument/2006/relationships/image" Target="../media/image111.emf"/><Relationship Id="rId1" Type="http://schemas.openxmlformats.org/officeDocument/2006/relationships/image" Target="../media/image98.jpeg"/><Relationship Id="rId6" Type="http://schemas.openxmlformats.org/officeDocument/2006/relationships/image" Target="../media/image101.emf"/><Relationship Id="rId11" Type="http://schemas.openxmlformats.org/officeDocument/2006/relationships/image" Target="../media/image112.emf"/><Relationship Id="rId5" Type="http://schemas.openxmlformats.org/officeDocument/2006/relationships/image" Target="../media/image100.emf"/><Relationship Id="rId15" Type="http://schemas.openxmlformats.org/officeDocument/2006/relationships/image" Target="../media/image110.emf"/><Relationship Id="rId10" Type="http://schemas.openxmlformats.org/officeDocument/2006/relationships/image" Target="../media/image97.emf"/><Relationship Id="rId4" Type="http://schemas.openxmlformats.org/officeDocument/2006/relationships/image" Target="../media/image99.emf"/><Relationship Id="rId9" Type="http://schemas.openxmlformats.org/officeDocument/2006/relationships/image" Target="../media/image104.emf"/><Relationship Id="rId14" Type="http://schemas.openxmlformats.org/officeDocument/2006/relationships/image" Target="../media/image109.emf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2.emf"/><Relationship Id="rId13" Type="http://schemas.openxmlformats.org/officeDocument/2006/relationships/image" Target="../media/image113.emf"/><Relationship Id="rId18" Type="http://schemas.openxmlformats.org/officeDocument/2006/relationships/image" Target="../media/image105.emf"/><Relationship Id="rId3" Type="http://schemas.openxmlformats.org/officeDocument/2006/relationships/hyperlink" Target="#'BI-FOLD'!A1"/><Relationship Id="rId7" Type="http://schemas.openxmlformats.org/officeDocument/2006/relationships/image" Target="../media/image101.emf"/><Relationship Id="rId12" Type="http://schemas.openxmlformats.org/officeDocument/2006/relationships/image" Target="../media/image112.emf"/><Relationship Id="rId17" Type="http://schemas.openxmlformats.org/officeDocument/2006/relationships/image" Target="../media/image111.emf"/><Relationship Id="rId2" Type="http://schemas.openxmlformats.org/officeDocument/2006/relationships/image" Target="../media/image123.png"/><Relationship Id="rId16" Type="http://schemas.openxmlformats.org/officeDocument/2006/relationships/image" Target="../media/image110.emf"/><Relationship Id="rId1" Type="http://schemas.openxmlformats.org/officeDocument/2006/relationships/image" Target="../media/image98.jpeg"/><Relationship Id="rId6" Type="http://schemas.openxmlformats.org/officeDocument/2006/relationships/image" Target="../media/image100.emf"/><Relationship Id="rId11" Type="http://schemas.openxmlformats.org/officeDocument/2006/relationships/image" Target="../media/image97.emf"/><Relationship Id="rId5" Type="http://schemas.openxmlformats.org/officeDocument/2006/relationships/image" Target="../media/image99.emf"/><Relationship Id="rId15" Type="http://schemas.openxmlformats.org/officeDocument/2006/relationships/image" Target="../media/image109.emf"/><Relationship Id="rId10" Type="http://schemas.openxmlformats.org/officeDocument/2006/relationships/image" Target="../media/image104.emf"/><Relationship Id="rId4" Type="http://schemas.openxmlformats.org/officeDocument/2006/relationships/image" Target="../media/image114.emf"/><Relationship Id="rId9" Type="http://schemas.openxmlformats.org/officeDocument/2006/relationships/image" Target="../media/image103.emf"/><Relationship Id="rId14" Type="http://schemas.openxmlformats.org/officeDocument/2006/relationships/image" Target="../media/image108.emf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2.emf"/><Relationship Id="rId13" Type="http://schemas.openxmlformats.org/officeDocument/2006/relationships/image" Target="../media/image113.emf"/><Relationship Id="rId18" Type="http://schemas.openxmlformats.org/officeDocument/2006/relationships/image" Target="../media/image105.emf"/><Relationship Id="rId3" Type="http://schemas.openxmlformats.org/officeDocument/2006/relationships/hyperlink" Target="#'BI-FOLD'!A1"/><Relationship Id="rId7" Type="http://schemas.openxmlformats.org/officeDocument/2006/relationships/image" Target="../media/image101.emf"/><Relationship Id="rId12" Type="http://schemas.openxmlformats.org/officeDocument/2006/relationships/image" Target="../media/image112.emf"/><Relationship Id="rId17" Type="http://schemas.openxmlformats.org/officeDocument/2006/relationships/image" Target="../media/image111.emf"/><Relationship Id="rId2" Type="http://schemas.openxmlformats.org/officeDocument/2006/relationships/image" Target="../media/image124.png"/><Relationship Id="rId16" Type="http://schemas.openxmlformats.org/officeDocument/2006/relationships/image" Target="../media/image110.emf"/><Relationship Id="rId1" Type="http://schemas.openxmlformats.org/officeDocument/2006/relationships/image" Target="../media/image98.jpeg"/><Relationship Id="rId6" Type="http://schemas.openxmlformats.org/officeDocument/2006/relationships/image" Target="../media/image100.emf"/><Relationship Id="rId11" Type="http://schemas.openxmlformats.org/officeDocument/2006/relationships/image" Target="../media/image97.emf"/><Relationship Id="rId5" Type="http://schemas.openxmlformats.org/officeDocument/2006/relationships/image" Target="../media/image99.emf"/><Relationship Id="rId15" Type="http://schemas.openxmlformats.org/officeDocument/2006/relationships/image" Target="../media/image109.emf"/><Relationship Id="rId10" Type="http://schemas.openxmlformats.org/officeDocument/2006/relationships/image" Target="../media/image104.emf"/><Relationship Id="rId4" Type="http://schemas.openxmlformats.org/officeDocument/2006/relationships/image" Target="../media/image114.emf"/><Relationship Id="rId9" Type="http://schemas.openxmlformats.org/officeDocument/2006/relationships/image" Target="../media/image103.emf"/><Relationship Id="rId14" Type="http://schemas.openxmlformats.org/officeDocument/2006/relationships/image" Target="../media/image108.emf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3.emf"/><Relationship Id="rId13" Type="http://schemas.openxmlformats.org/officeDocument/2006/relationships/image" Target="../media/image108.emf"/><Relationship Id="rId18" Type="http://schemas.openxmlformats.org/officeDocument/2006/relationships/image" Target="../media/image38.png"/><Relationship Id="rId3" Type="http://schemas.openxmlformats.org/officeDocument/2006/relationships/image" Target="../media/image114.emf"/><Relationship Id="rId7" Type="http://schemas.openxmlformats.org/officeDocument/2006/relationships/image" Target="../media/image102.emf"/><Relationship Id="rId12" Type="http://schemas.openxmlformats.org/officeDocument/2006/relationships/image" Target="../media/image113.emf"/><Relationship Id="rId17" Type="http://schemas.openxmlformats.org/officeDocument/2006/relationships/image" Target="../media/image105.emf"/><Relationship Id="rId2" Type="http://schemas.openxmlformats.org/officeDocument/2006/relationships/hyperlink" Target="#'BI-FOLD'!A1"/><Relationship Id="rId16" Type="http://schemas.openxmlformats.org/officeDocument/2006/relationships/image" Target="../media/image111.emf"/><Relationship Id="rId1" Type="http://schemas.openxmlformats.org/officeDocument/2006/relationships/image" Target="../media/image98.jpeg"/><Relationship Id="rId6" Type="http://schemas.openxmlformats.org/officeDocument/2006/relationships/image" Target="../media/image101.emf"/><Relationship Id="rId11" Type="http://schemas.openxmlformats.org/officeDocument/2006/relationships/image" Target="../media/image112.emf"/><Relationship Id="rId5" Type="http://schemas.openxmlformats.org/officeDocument/2006/relationships/image" Target="../media/image100.emf"/><Relationship Id="rId15" Type="http://schemas.openxmlformats.org/officeDocument/2006/relationships/image" Target="../media/image110.emf"/><Relationship Id="rId10" Type="http://schemas.openxmlformats.org/officeDocument/2006/relationships/image" Target="../media/image97.emf"/><Relationship Id="rId19" Type="http://schemas.openxmlformats.org/officeDocument/2006/relationships/image" Target="../media/image115.emf"/><Relationship Id="rId4" Type="http://schemas.openxmlformats.org/officeDocument/2006/relationships/image" Target="../media/image99.emf"/><Relationship Id="rId9" Type="http://schemas.openxmlformats.org/officeDocument/2006/relationships/image" Target="../media/image104.emf"/><Relationship Id="rId14" Type="http://schemas.openxmlformats.org/officeDocument/2006/relationships/image" Target="../media/image109.emf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2.emf"/><Relationship Id="rId13" Type="http://schemas.openxmlformats.org/officeDocument/2006/relationships/image" Target="../media/image113.emf"/><Relationship Id="rId18" Type="http://schemas.openxmlformats.org/officeDocument/2006/relationships/image" Target="../media/image105.emf"/><Relationship Id="rId3" Type="http://schemas.openxmlformats.org/officeDocument/2006/relationships/hyperlink" Target="#'BI-FOLD'!A1"/><Relationship Id="rId7" Type="http://schemas.openxmlformats.org/officeDocument/2006/relationships/image" Target="../media/image101.emf"/><Relationship Id="rId12" Type="http://schemas.openxmlformats.org/officeDocument/2006/relationships/image" Target="../media/image112.emf"/><Relationship Id="rId17" Type="http://schemas.openxmlformats.org/officeDocument/2006/relationships/image" Target="../media/image111.emf"/><Relationship Id="rId2" Type="http://schemas.openxmlformats.org/officeDocument/2006/relationships/image" Target="../media/image125.png"/><Relationship Id="rId16" Type="http://schemas.openxmlformats.org/officeDocument/2006/relationships/image" Target="../media/image110.emf"/><Relationship Id="rId1" Type="http://schemas.openxmlformats.org/officeDocument/2006/relationships/image" Target="../media/image98.jpeg"/><Relationship Id="rId6" Type="http://schemas.openxmlformats.org/officeDocument/2006/relationships/image" Target="../media/image100.emf"/><Relationship Id="rId11" Type="http://schemas.openxmlformats.org/officeDocument/2006/relationships/image" Target="../media/image97.emf"/><Relationship Id="rId5" Type="http://schemas.openxmlformats.org/officeDocument/2006/relationships/image" Target="../media/image99.emf"/><Relationship Id="rId15" Type="http://schemas.openxmlformats.org/officeDocument/2006/relationships/image" Target="../media/image109.emf"/><Relationship Id="rId10" Type="http://schemas.openxmlformats.org/officeDocument/2006/relationships/image" Target="../media/image104.emf"/><Relationship Id="rId4" Type="http://schemas.openxmlformats.org/officeDocument/2006/relationships/image" Target="../media/image114.emf"/><Relationship Id="rId9" Type="http://schemas.openxmlformats.org/officeDocument/2006/relationships/image" Target="../media/image103.emf"/><Relationship Id="rId14" Type="http://schemas.openxmlformats.org/officeDocument/2006/relationships/image" Target="../media/image108.emf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3.emf"/><Relationship Id="rId13" Type="http://schemas.openxmlformats.org/officeDocument/2006/relationships/image" Target="../media/image108.emf"/><Relationship Id="rId3" Type="http://schemas.openxmlformats.org/officeDocument/2006/relationships/hyperlink" Target="#'BI-FOLD'!A1"/><Relationship Id="rId7" Type="http://schemas.openxmlformats.org/officeDocument/2006/relationships/image" Target="../media/image102.emf"/><Relationship Id="rId12" Type="http://schemas.openxmlformats.org/officeDocument/2006/relationships/image" Target="../media/image113.emf"/><Relationship Id="rId17" Type="http://schemas.openxmlformats.org/officeDocument/2006/relationships/image" Target="../media/image105.emf"/><Relationship Id="rId2" Type="http://schemas.openxmlformats.org/officeDocument/2006/relationships/image" Target="../media/image126.png"/><Relationship Id="rId16" Type="http://schemas.openxmlformats.org/officeDocument/2006/relationships/image" Target="../media/image111.emf"/><Relationship Id="rId1" Type="http://schemas.openxmlformats.org/officeDocument/2006/relationships/image" Target="../media/image98.jpeg"/><Relationship Id="rId6" Type="http://schemas.openxmlformats.org/officeDocument/2006/relationships/image" Target="../media/image101.emf"/><Relationship Id="rId11" Type="http://schemas.openxmlformats.org/officeDocument/2006/relationships/image" Target="../media/image112.emf"/><Relationship Id="rId5" Type="http://schemas.openxmlformats.org/officeDocument/2006/relationships/image" Target="../media/image100.emf"/><Relationship Id="rId15" Type="http://schemas.openxmlformats.org/officeDocument/2006/relationships/image" Target="../media/image110.emf"/><Relationship Id="rId10" Type="http://schemas.openxmlformats.org/officeDocument/2006/relationships/image" Target="../media/image97.emf"/><Relationship Id="rId4" Type="http://schemas.openxmlformats.org/officeDocument/2006/relationships/image" Target="../media/image99.emf"/><Relationship Id="rId9" Type="http://schemas.openxmlformats.org/officeDocument/2006/relationships/image" Target="../media/image104.emf"/><Relationship Id="rId14" Type="http://schemas.openxmlformats.org/officeDocument/2006/relationships/image" Target="../media/image109.emf"/></Relationships>
</file>

<file path=xl/drawings/_rels/drawing2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3.emf"/><Relationship Id="rId13" Type="http://schemas.openxmlformats.org/officeDocument/2006/relationships/image" Target="../media/image108.emf"/><Relationship Id="rId3" Type="http://schemas.openxmlformats.org/officeDocument/2006/relationships/hyperlink" Target="#'BI-FOLD'!A1"/><Relationship Id="rId7" Type="http://schemas.openxmlformats.org/officeDocument/2006/relationships/image" Target="../media/image102.emf"/><Relationship Id="rId12" Type="http://schemas.openxmlformats.org/officeDocument/2006/relationships/image" Target="../media/image113.emf"/><Relationship Id="rId17" Type="http://schemas.openxmlformats.org/officeDocument/2006/relationships/image" Target="../media/image105.emf"/><Relationship Id="rId2" Type="http://schemas.openxmlformats.org/officeDocument/2006/relationships/image" Target="../media/image127.png"/><Relationship Id="rId16" Type="http://schemas.openxmlformats.org/officeDocument/2006/relationships/image" Target="../media/image111.emf"/><Relationship Id="rId1" Type="http://schemas.openxmlformats.org/officeDocument/2006/relationships/image" Target="../media/image98.jpeg"/><Relationship Id="rId6" Type="http://schemas.openxmlformats.org/officeDocument/2006/relationships/image" Target="../media/image101.emf"/><Relationship Id="rId11" Type="http://schemas.openxmlformats.org/officeDocument/2006/relationships/image" Target="../media/image112.emf"/><Relationship Id="rId5" Type="http://schemas.openxmlformats.org/officeDocument/2006/relationships/image" Target="../media/image100.emf"/><Relationship Id="rId15" Type="http://schemas.openxmlformats.org/officeDocument/2006/relationships/image" Target="../media/image110.emf"/><Relationship Id="rId10" Type="http://schemas.openxmlformats.org/officeDocument/2006/relationships/image" Target="../media/image97.emf"/><Relationship Id="rId4" Type="http://schemas.openxmlformats.org/officeDocument/2006/relationships/image" Target="../media/image99.emf"/><Relationship Id="rId9" Type="http://schemas.openxmlformats.org/officeDocument/2006/relationships/image" Target="../media/image104.emf"/><Relationship Id="rId14" Type="http://schemas.openxmlformats.org/officeDocument/2006/relationships/image" Target="../media/image109.emf"/></Relationships>
</file>

<file path=xl/drawings/_rels/drawing2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2.emf"/><Relationship Id="rId13" Type="http://schemas.openxmlformats.org/officeDocument/2006/relationships/image" Target="../media/image113.emf"/><Relationship Id="rId18" Type="http://schemas.openxmlformats.org/officeDocument/2006/relationships/image" Target="../media/image105.emf"/><Relationship Id="rId3" Type="http://schemas.openxmlformats.org/officeDocument/2006/relationships/image" Target="../media/image32.png"/><Relationship Id="rId7" Type="http://schemas.openxmlformats.org/officeDocument/2006/relationships/image" Target="../media/image101.emf"/><Relationship Id="rId12" Type="http://schemas.openxmlformats.org/officeDocument/2006/relationships/image" Target="../media/image112.emf"/><Relationship Id="rId17" Type="http://schemas.openxmlformats.org/officeDocument/2006/relationships/image" Target="../media/image111.emf"/><Relationship Id="rId2" Type="http://schemas.openxmlformats.org/officeDocument/2006/relationships/hyperlink" Target="#'BI-FOLD'!A1"/><Relationship Id="rId16" Type="http://schemas.openxmlformats.org/officeDocument/2006/relationships/image" Target="../media/image110.emf"/><Relationship Id="rId1" Type="http://schemas.openxmlformats.org/officeDocument/2006/relationships/image" Target="../media/image98.jpeg"/><Relationship Id="rId6" Type="http://schemas.openxmlformats.org/officeDocument/2006/relationships/image" Target="../media/image100.emf"/><Relationship Id="rId11" Type="http://schemas.openxmlformats.org/officeDocument/2006/relationships/image" Target="../media/image97.emf"/><Relationship Id="rId5" Type="http://schemas.openxmlformats.org/officeDocument/2006/relationships/image" Target="../media/image99.emf"/><Relationship Id="rId15" Type="http://schemas.openxmlformats.org/officeDocument/2006/relationships/image" Target="../media/image109.emf"/><Relationship Id="rId10" Type="http://schemas.openxmlformats.org/officeDocument/2006/relationships/image" Target="../media/image104.emf"/><Relationship Id="rId4" Type="http://schemas.openxmlformats.org/officeDocument/2006/relationships/image" Target="../media/image114.emf"/><Relationship Id="rId9" Type="http://schemas.openxmlformats.org/officeDocument/2006/relationships/image" Target="../media/image103.emf"/><Relationship Id="rId14" Type="http://schemas.openxmlformats.org/officeDocument/2006/relationships/image" Target="../media/image108.emf"/></Relationships>
</file>

<file path=xl/drawings/_rels/drawing2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2.emf"/><Relationship Id="rId13" Type="http://schemas.openxmlformats.org/officeDocument/2006/relationships/image" Target="../media/image113.emf"/><Relationship Id="rId18" Type="http://schemas.openxmlformats.org/officeDocument/2006/relationships/image" Target="../media/image111.emf"/><Relationship Id="rId3" Type="http://schemas.openxmlformats.org/officeDocument/2006/relationships/image" Target="../media/image33.png"/><Relationship Id="rId7" Type="http://schemas.openxmlformats.org/officeDocument/2006/relationships/image" Target="../media/image101.emf"/><Relationship Id="rId12" Type="http://schemas.openxmlformats.org/officeDocument/2006/relationships/image" Target="../media/image112.emf"/><Relationship Id="rId17" Type="http://schemas.openxmlformats.org/officeDocument/2006/relationships/image" Target="../media/image110.emf"/><Relationship Id="rId2" Type="http://schemas.openxmlformats.org/officeDocument/2006/relationships/hyperlink" Target="#'BI-FOLD'!A1"/><Relationship Id="rId16" Type="http://schemas.openxmlformats.org/officeDocument/2006/relationships/image" Target="../media/image109.emf"/><Relationship Id="rId1" Type="http://schemas.openxmlformats.org/officeDocument/2006/relationships/image" Target="../media/image98.jpeg"/><Relationship Id="rId6" Type="http://schemas.openxmlformats.org/officeDocument/2006/relationships/image" Target="../media/image100.emf"/><Relationship Id="rId11" Type="http://schemas.openxmlformats.org/officeDocument/2006/relationships/image" Target="../media/image97.emf"/><Relationship Id="rId5" Type="http://schemas.openxmlformats.org/officeDocument/2006/relationships/image" Target="../media/image99.emf"/><Relationship Id="rId15" Type="http://schemas.openxmlformats.org/officeDocument/2006/relationships/image" Target="../media/image108.emf"/><Relationship Id="rId10" Type="http://schemas.openxmlformats.org/officeDocument/2006/relationships/image" Target="../media/image104.emf"/><Relationship Id="rId19" Type="http://schemas.openxmlformats.org/officeDocument/2006/relationships/image" Target="../media/image105.emf"/><Relationship Id="rId4" Type="http://schemas.openxmlformats.org/officeDocument/2006/relationships/image" Target="../media/image114.emf"/><Relationship Id="rId9" Type="http://schemas.openxmlformats.org/officeDocument/2006/relationships/image" Target="../media/image103.emf"/><Relationship Id="rId14" Type="http://schemas.openxmlformats.org/officeDocument/2006/relationships/image" Target="../media/image128.png"/></Relationships>
</file>

<file path=xl/drawings/_rels/drawing2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3.emf"/><Relationship Id="rId13" Type="http://schemas.openxmlformats.org/officeDocument/2006/relationships/image" Target="../media/image108.emf"/><Relationship Id="rId18" Type="http://schemas.openxmlformats.org/officeDocument/2006/relationships/image" Target="../media/image30.png"/><Relationship Id="rId3" Type="http://schemas.openxmlformats.org/officeDocument/2006/relationships/image" Target="../media/image114.emf"/><Relationship Id="rId7" Type="http://schemas.openxmlformats.org/officeDocument/2006/relationships/image" Target="../media/image102.emf"/><Relationship Id="rId12" Type="http://schemas.openxmlformats.org/officeDocument/2006/relationships/image" Target="../media/image113.emf"/><Relationship Id="rId17" Type="http://schemas.openxmlformats.org/officeDocument/2006/relationships/image" Target="../media/image105.emf"/><Relationship Id="rId2" Type="http://schemas.openxmlformats.org/officeDocument/2006/relationships/hyperlink" Target="#'BI-FOLD'!A1"/><Relationship Id="rId16" Type="http://schemas.openxmlformats.org/officeDocument/2006/relationships/image" Target="../media/image111.emf"/><Relationship Id="rId1" Type="http://schemas.openxmlformats.org/officeDocument/2006/relationships/image" Target="../media/image98.jpeg"/><Relationship Id="rId6" Type="http://schemas.openxmlformats.org/officeDocument/2006/relationships/image" Target="../media/image101.emf"/><Relationship Id="rId11" Type="http://schemas.openxmlformats.org/officeDocument/2006/relationships/image" Target="../media/image112.emf"/><Relationship Id="rId5" Type="http://schemas.openxmlformats.org/officeDocument/2006/relationships/image" Target="../media/image100.emf"/><Relationship Id="rId15" Type="http://schemas.openxmlformats.org/officeDocument/2006/relationships/image" Target="../media/image110.emf"/><Relationship Id="rId10" Type="http://schemas.openxmlformats.org/officeDocument/2006/relationships/image" Target="../media/image97.emf"/><Relationship Id="rId4" Type="http://schemas.openxmlformats.org/officeDocument/2006/relationships/image" Target="../media/image99.emf"/><Relationship Id="rId9" Type="http://schemas.openxmlformats.org/officeDocument/2006/relationships/image" Target="../media/image104.emf"/><Relationship Id="rId14" Type="http://schemas.openxmlformats.org/officeDocument/2006/relationships/image" Target="../media/image109.emf"/></Relationships>
</file>

<file path=xl/drawings/_rels/drawing3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2.emf"/><Relationship Id="rId13" Type="http://schemas.openxmlformats.org/officeDocument/2006/relationships/image" Target="../media/image113.emf"/><Relationship Id="rId18" Type="http://schemas.openxmlformats.org/officeDocument/2006/relationships/image" Target="../media/image111.emf"/><Relationship Id="rId3" Type="http://schemas.openxmlformats.org/officeDocument/2006/relationships/image" Target="../media/image29.png"/><Relationship Id="rId7" Type="http://schemas.openxmlformats.org/officeDocument/2006/relationships/image" Target="../media/image101.emf"/><Relationship Id="rId12" Type="http://schemas.openxmlformats.org/officeDocument/2006/relationships/image" Target="../media/image112.emf"/><Relationship Id="rId17" Type="http://schemas.openxmlformats.org/officeDocument/2006/relationships/image" Target="../media/image110.emf"/><Relationship Id="rId2" Type="http://schemas.openxmlformats.org/officeDocument/2006/relationships/hyperlink" Target="#'BI-FOLD'!A1"/><Relationship Id="rId16" Type="http://schemas.openxmlformats.org/officeDocument/2006/relationships/image" Target="../media/image109.emf"/><Relationship Id="rId1" Type="http://schemas.openxmlformats.org/officeDocument/2006/relationships/image" Target="../media/image98.jpeg"/><Relationship Id="rId6" Type="http://schemas.openxmlformats.org/officeDocument/2006/relationships/image" Target="../media/image100.emf"/><Relationship Id="rId11" Type="http://schemas.openxmlformats.org/officeDocument/2006/relationships/image" Target="../media/image97.emf"/><Relationship Id="rId5" Type="http://schemas.openxmlformats.org/officeDocument/2006/relationships/image" Target="../media/image99.emf"/><Relationship Id="rId15" Type="http://schemas.openxmlformats.org/officeDocument/2006/relationships/image" Target="../media/image108.emf"/><Relationship Id="rId10" Type="http://schemas.openxmlformats.org/officeDocument/2006/relationships/image" Target="../media/image104.emf"/><Relationship Id="rId19" Type="http://schemas.openxmlformats.org/officeDocument/2006/relationships/image" Target="../media/image105.emf"/><Relationship Id="rId4" Type="http://schemas.openxmlformats.org/officeDocument/2006/relationships/image" Target="../media/image114.emf"/><Relationship Id="rId9" Type="http://schemas.openxmlformats.org/officeDocument/2006/relationships/image" Target="../media/image103.emf"/><Relationship Id="rId14" Type="http://schemas.openxmlformats.org/officeDocument/2006/relationships/image" Target="../media/image129.png"/></Relationships>
</file>

<file path=xl/drawings/_rels/drawing3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3.emf"/><Relationship Id="rId13" Type="http://schemas.openxmlformats.org/officeDocument/2006/relationships/image" Target="../media/image108.emf"/><Relationship Id="rId18" Type="http://schemas.openxmlformats.org/officeDocument/2006/relationships/image" Target="../media/image34.png"/><Relationship Id="rId3" Type="http://schemas.openxmlformats.org/officeDocument/2006/relationships/image" Target="../media/image114.emf"/><Relationship Id="rId7" Type="http://schemas.openxmlformats.org/officeDocument/2006/relationships/image" Target="../media/image102.emf"/><Relationship Id="rId12" Type="http://schemas.openxmlformats.org/officeDocument/2006/relationships/image" Target="../media/image113.emf"/><Relationship Id="rId17" Type="http://schemas.openxmlformats.org/officeDocument/2006/relationships/image" Target="../media/image105.emf"/><Relationship Id="rId2" Type="http://schemas.openxmlformats.org/officeDocument/2006/relationships/hyperlink" Target="#'BI-FOLD'!A1"/><Relationship Id="rId16" Type="http://schemas.openxmlformats.org/officeDocument/2006/relationships/image" Target="../media/image111.emf"/><Relationship Id="rId1" Type="http://schemas.openxmlformats.org/officeDocument/2006/relationships/image" Target="../media/image98.jpeg"/><Relationship Id="rId6" Type="http://schemas.openxmlformats.org/officeDocument/2006/relationships/image" Target="../media/image101.emf"/><Relationship Id="rId11" Type="http://schemas.openxmlformats.org/officeDocument/2006/relationships/image" Target="../media/image112.emf"/><Relationship Id="rId5" Type="http://schemas.openxmlformats.org/officeDocument/2006/relationships/image" Target="../media/image100.emf"/><Relationship Id="rId15" Type="http://schemas.openxmlformats.org/officeDocument/2006/relationships/image" Target="../media/image110.emf"/><Relationship Id="rId10" Type="http://schemas.openxmlformats.org/officeDocument/2006/relationships/image" Target="../media/image97.emf"/><Relationship Id="rId4" Type="http://schemas.openxmlformats.org/officeDocument/2006/relationships/image" Target="../media/image99.emf"/><Relationship Id="rId9" Type="http://schemas.openxmlformats.org/officeDocument/2006/relationships/image" Target="../media/image104.emf"/><Relationship Id="rId14" Type="http://schemas.openxmlformats.org/officeDocument/2006/relationships/image" Target="../media/image109.emf"/></Relationships>
</file>

<file path=xl/drawings/_rels/drawing3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3.emf"/><Relationship Id="rId13" Type="http://schemas.openxmlformats.org/officeDocument/2006/relationships/image" Target="../media/image31.png"/><Relationship Id="rId18" Type="http://schemas.openxmlformats.org/officeDocument/2006/relationships/image" Target="../media/image111.emf"/><Relationship Id="rId3" Type="http://schemas.openxmlformats.org/officeDocument/2006/relationships/image" Target="../media/image114.emf"/><Relationship Id="rId7" Type="http://schemas.openxmlformats.org/officeDocument/2006/relationships/image" Target="../media/image102.emf"/><Relationship Id="rId12" Type="http://schemas.openxmlformats.org/officeDocument/2006/relationships/image" Target="../media/image113.emf"/><Relationship Id="rId17" Type="http://schemas.openxmlformats.org/officeDocument/2006/relationships/image" Target="../media/image110.emf"/><Relationship Id="rId2" Type="http://schemas.openxmlformats.org/officeDocument/2006/relationships/hyperlink" Target="#'BI-FOLD'!A1"/><Relationship Id="rId16" Type="http://schemas.openxmlformats.org/officeDocument/2006/relationships/image" Target="../media/image109.emf"/><Relationship Id="rId1" Type="http://schemas.openxmlformats.org/officeDocument/2006/relationships/image" Target="../media/image98.jpeg"/><Relationship Id="rId6" Type="http://schemas.openxmlformats.org/officeDocument/2006/relationships/image" Target="../media/image101.emf"/><Relationship Id="rId11" Type="http://schemas.openxmlformats.org/officeDocument/2006/relationships/image" Target="../media/image112.emf"/><Relationship Id="rId5" Type="http://schemas.openxmlformats.org/officeDocument/2006/relationships/image" Target="../media/image100.emf"/><Relationship Id="rId15" Type="http://schemas.openxmlformats.org/officeDocument/2006/relationships/image" Target="../media/image108.emf"/><Relationship Id="rId10" Type="http://schemas.openxmlformats.org/officeDocument/2006/relationships/image" Target="../media/image97.emf"/><Relationship Id="rId19" Type="http://schemas.openxmlformats.org/officeDocument/2006/relationships/image" Target="../media/image105.emf"/><Relationship Id="rId4" Type="http://schemas.openxmlformats.org/officeDocument/2006/relationships/image" Target="../media/image99.emf"/><Relationship Id="rId9" Type="http://schemas.openxmlformats.org/officeDocument/2006/relationships/image" Target="../media/image104.emf"/><Relationship Id="rId14" Type="http://schemas.openxmlformats.org/officeDocument/2006/relationships/image" Target="../media/image130.png"/></Relationships>
</file>

<file path=xl/drawings/_rels/drawing3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4.emf"/><Relationship Id="rId13" Type="http://schemas.openxmlformats.org/officeDocument/2006/relationships/image" Target="../media/image109.emf"/><Relationship Id="rId3" Type="http://schemas.openxmlformats.org/officeDocument/2006/relationships/image" Target="../media/image99.emf"/><Relationship Id="rId7" Type="http://schemas.openxmlformats.org/officeDocument/2006/relationships/image" Target="../media/image103.emf"/><Relationship Id="rId12" Type="http://schemas.openxmlformats.org/officeDocument/2006/relationships/image" Target="../media/image108.emf"/><Relationship Id="rId17" Type="http://schemas.openxmlformats.org/officeDocument/2006/relationships/image" Target="../media/image45.png"/><Relationship Id="rId2" Type="http://schemas.openxmlformats.org/officeDocument/2006/relationships/hyperlink" Target="#'BI-FOLD'!A1"/><Relationship Id="rId16" Type="http://schemas.openxmlformats.org/officeDocument/2006/relationships/image" Target="../media/image105.emf"/><Relationship Id="rId1" Type="http://schemas.openxmlformats.org/officeDocument/2006/relationships/image" Target="../media/image98.jpeg"/><Relationship Id="rId6" Type="http://schemas.openxmlformats.org/officeDocument/2006/relationships/image" Target="../media/image102.emf"/><Relationship Id="rId11" Type="http://schemas.openxmlformats.org/officeDocument/2006/relationships/image" Target="../media/image113.emf"/><Relationship Id="rId5" Type="http://schemas.openxmlformats.org/officeDocument/2006/relationships/image" Target="../media/image101.emf"/><Relationship Id="rId15" Type="http://schemas.openxmlformats.org/officeDocument/2006/relationships/image" Target="../media/image111.emf"/><Relationship Id="rId10" Type="http://schemas.openxmlformats.org/officeDocument/2006/relationships/image" Target="../media/image112.emf"/><Relationship Id="rId4" Type="http://schemas.openxmlformats.org/officeDocument/2006/relationships/image" Target="../media/image100.emf"/><Relationship Id="rId9" Type="http://schemas.openxmlformats.org/officeDocument/2006/relationships/image" Target="../media/image97.emf"/><Relationship Id="rId14" Type="http://schemas.openxmlformats.org/officeDocument/2006/relationships/image" Target="../media/image110.emf"/></Relationships>
</file>

<file path=xl/drawings/_rels/drawing3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4.emf"/><Relationship Id="rId13" Type="http://schemas.openxmlformats.org/officeDocument/2006/relationships/image" Target="../media/image109.emf"/><Relationship Id="rId3" Type="http://schemas.openxmlformats.org/officeDocument/2006/relationships/image" Target="../media/image99.emf"/><Relationship Id="rId7" Type="http://schemas.openxmlformats.org/officeDocument/2006/relationships/image" Target="../media/image103.emf"/><Relationship Id="rId12" Type="http://schemas.openxmlformats.org/officeDocument/2006/relationships/image" Target="../media/image108.emf"/><Relationship Id="rId17" Type="http://schemas.openxmlformats.org/officeDocument/2006/relationships/image" Target="../media/image45.png"/><Relationship Id="rId2" Type="http://schemas.openxmlformats.org/officeDocument/2006/relationships/hyperlink" Target="#'BI-FOLD'!A1"/><Relationship Id="rId16" Type="http://schemas.openxmlformats.org/officeDocument/2006/relationships/image" Target="../media/image105.emf"/><Relationship Id="rId1" Type="http://schemas.openxmlformats.org/officeDocument/2006/relationships/image" Target="../media/image98.jpeg"/><Relationship Id="rId6" Type="http://schemas.openxmlformats.org/officeDocument/2006/relationships/image" Target="../media/image102.emf"/><Relationship Id="rId11" Type="http://schemas.openxmlformats.org/officeDocument/2006/relationships/image" Target="../media/image113.emf"/><Relationship Id="rId5" Type="http://schemas.openxmlformats.org/officeDocument/2006/relationships/image" Target="../media/image101.emf"/><Relationship Id="rId15" Type="http://schemas.openxmlformats.org/officeDocument/2006/relationships/image" Target="../media/image111.emf"/><Relationship Id="rId10" Type="http://schemas.openxmlformats.org/officeDocument/2006/relationships/image" Target="../media/image112.emf"/><Relationship Id="rId4" Type="http://schemas.openxmlformats.org/officeDocument/2006/relationships/image" Target="../media/image100.emf"/><Relationship Id="rId9" Type="http://schemas.openxmlformats.org/officeDocument/2006/relationships/image" Target="../media/image97.emf"/><Relationship Id="rId14" Type="http://schemas.openxmlformats.org/officeDocument/2006/relationships/image" Target="../media/image110.emf"/></Relationships>
</file>

<file path=xl/drawings/_rels/drawing3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3.emf"/><Relationship Id="rId13" Type="http://schemas.openxmlformats.org/officeDocument/2006/relationships/image" Target="../media/image108.emf"/><Relationship Id="rId18" Type="http://schemas.openxmlformats.org/officeDocument/2006/relationships/image" Target="../media/image41.png"/><Relationship Id="rId3" Type="http://schemas.openxmlformats.org/officeDocument/2006/relationships/image" Target="../media/image114.emf"/><Relationship Id="rId7" Type="http://schemas.openxmlformats.org/officeDocument/2006/relationships/image" Target="../media/image102.emf"/><Relationship Id="rId12" Type="http://schemas.openxmlformats.org/officeDocument/2006/relationships/image" Target="../media/image113.emf"/><Relationship Id="rId17" Type="http://schemas.openxmlformats.org/officeDocument/2006/relationships/image" Target="../media/image105.emf"/><Relationship Id="rId2" Type="http://schemas.openxmlformats.org/officeDocument/2006/relationships/hyperlink" Target="#'BI-FOLD'!A1"/><Relationship Id="rId16" Type="http://schemas.openxmlformats.org/officeDocument/2006/relationships/image" Target="../media/image111.emf"/><Relationship Id="rId1" Type="http://schemas.openxmlformats.org/officeDocument/2006/relationships/image" Target="../media/image98.jpeg"/><Relationship Id="rId6" Type="http://schemas.openxmlformats.org/officeDocument/2006/relationships/image" Target="../media/image101.emf"/><Relationship Id="rId11" Type="http://schemas.openxmlformats.org/officeDocument/2006/relationships/image" Target="../media/image112.emf"/><Relationship Id="rId5" Type="http://schemas.openxmlformats.org/officeDocument/2006/relationships/image" Target="../media/image100.emf"/><Relationship Id="rId15" Type="http://schemas.openxmlformats.org/officeDocument/2006/relationships/image" Target="../media/image110.emf"/><Relationship Id="rId10" Type="http://schemas.openxmlformats.org/officeDocument/2006/relationships/image" Target="../media/image97.emf"/><Relationship Id="rId4" Type="http://schemas.openxmlformats.org/officeDocument/2006/relationships/image" Target="../media/image99.emf"/><Relationship Id="rId9" Type="http://schemas.openxmlformats.org/officeDocument/2006/relationships/image" Target="../media/image104.emf"/><Relationship Id="rId14" Type="http://schemas.openxmlformats.org/officeDocument/2006/relationships/image" Target="../media/image109.emf"/></Relationships>
</file>

<file path=xl/drawings/_rels/drawing3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2.emf"/><Relationship Id="rId13" Type="http://schemas.openxmlformats.org/officeDocument/2006/relationships/image" Target="../media/image113.emf"/><Relationship Id="rId18" Type="http://schemas.openxmlformats.org/officeDocument/2006/relationships/image" Target="../media/image111.emf"/><Relationship Id="rId3" Type="http://schemas.openxmlformats.org/officeDocument/2006/relationships/image" Target="../media/image28.png"/><Relationship Id="rId7" Type="http://schemas.openxmlformats.org/officeDocument/2006/relationships/image" Target="../media/image101.emf"/><Relationship Id="rId12" Type="http://schemas.openxmlformats.org/officeDocument/2006/relationships/image" Target="../media/image112.emf"/><Relationship Id="rId17" Type="http://schemas.openxmlformats.org/officeDocument/2006/relationships/image" Target="../media/image110.emf"/><Relationship Id="rId2" Type="http://schemas.openxmlformats.org/officeDocument/2006/relationships/hyperlink" Target="#'BI-FOLD'!A1"/><Relationship Id="rId16" Type="http://schemas.openxmlformats.org/officeDocument/2006/relationships/image" Target="../media/image109.emf"/><Relationship Id="rId1" Type="http://schemas.openxmlformats.org/officeDocument/2006/relationships/image" Target="../media/image98.jpeg"/><Relationship Id="rId6" Type="http://schemas.openxmlformats.org/officeDocument/2006/relationships/image" Target="../media/image100.emf"/><Relationship Id="rId11" Type="http://schemas.openxmlformats.org/officeDocument/2006/relationships/image" Target="../media/image97.emf"/><Relationship Id="rId5" Type="http://schemas.openxmlformats.org/officeDocument/2006/relationships/image" Target="../media/image99.emf"/><Relationship Id="rId15" Type="http://schemas.openxmlformats.org/officeDocument/2006/relationships/image" Target="../media/image108.emf"/><Relationship Id="rId10" Type="http://schemas.openxmlformats.org/officeDocument/2006/relationships/image" Target="../media/image104.emf"/><Relationship Id="rId19" Type="http://schemas.openxmlformats.org/officeDocument/2006/relationships/image" Target="../media/image105.emf"/><Relationship Id="rId4" Type="http://schemas.openxmlformats.org/officeDocument/2006/relationships/image" Target="../media/image114.emf"/><Relationship Id="rId9" Type="http://schemas.openxmlformats.org/officeDocument/2006/relationships/image" Target="../media/image103.emf"/><Relationship Id="rId14" Type="http://schemas.openxmlformats.org/officeDocument/2006/relationships/image" Target="../media/image131.png"/></Relationships>
</file>

<file path=xl/drawings/_rels/drawing3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4.emf"/><Relationship Id="rId13" Type="http://schemas.openxmlformats.org/officeDocument/2006/relationships/image" Target="../media/image108.emf"/><Relationship Id="rId3" Type="http://schemas.openxmlformats.org/officeDocument/2006/relationships/image" Target="../media/image99.emf"/><Relationship Id="rId7" Type="http://schemas.openxmlformats.org/officeDocument/2006/relationships/image" Target="../media/image103.emf"/><Relationship Id="rId12" Type="http://schemas.openxmlformats.org/officeDocument/2006/relationships/image" Target="../media/image39.png"/><Relationship Id="rId17" Type="http://schemas.openxmlformats.org/officeDocument/2006/relationships/image" Target="../media/image105.emf"/><Relationship Id="rId2" Type="http://schemas.openxmlformats.org/officeDocument/2006/relationships/hyperlink" Target="#'BI-FOLD'!A1"/><Relationship Id="rId16" Type="http://schemas.openxmlformats.org/officeDocument/2006/relationships/image" Target="../media/image111.emf"/><Relationship Id="rId1" Type="http://schemas.openxmlformats.org/officeDocument/2006/relationships/image" Target="../media/image98.jpeg"/><Relationship Id="rId6" Type="http://schemas.openxmlformats.org/officeDocument/2006/relationships/image" Target="../media/image102.emf"/><Relationship Id="rId11" Type="http://schemas.openxmlformats.org/officeDocument/2006/relationships/image" Target="../media/image113.emf"/><Relationship Id="rId5" Type="http://schemas.openxmlformats.org/officeDocument/2006/relationships/image" Target="../media/image101.emf"/><Relationship Id="rId15" Type="http://schemas.openxmlformats.org/officeDocument/2006/relationships/image" Target="../media/image110.emf"/><Relationship Id="rId10" Type="http://schemas.openxmlformats.org/officeDocument/2006/relationships/image" Target="../media/image112.emf"/><Relationship Id="rId4" Type="http://schemas.openxmlformats.org/officeDocument/2006/relationships/image" Target="../media/image100.emf"/><Relationship Id="rId9" Type="http://schemas.openxmlformats.org/officeDocument/2006/relationships/image" Target="../media/image97.emf"/><Relationship Id="rId14" Type="http://schemas.openxmlformats.org/officeDocument/2006/relationships/image" Target="../media/image109.emf"/></Relationships>
</file>

<file path=xl/drawings/_rels/drawing3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2.emf"/><Relationship Id="rId13" Type="http://schemas.openxmlformats.org/officeDocument/2006/relationships/image" Target="../media/image113.emf"/><Relationship Id="rId18" Type="http://schemas.openxmlformats.org/officeDocument/2006/relationships/image" Target="../media/image111.emf"/><Relationship Id="rId3" Type="http://schemas.openxmlformats.org/officeDocument/2006/relationships/image" Target="../media/image28.png"/><Relationship Id="rId7" Type="http://schemas.openxmlformats.org/officeDocument/2006/relationships/image" Target="../media/image101.emf"/><Relationship Id="rId12" Type="http://schemas.openxmlformats.org/officeDocument/2006/relationships/image" Target="../media/image112.emf"/><Relationship Id="rId17" Type="http://schemas.openxmlformats.org/officeDocument/2006/relationships/image" Target="../media/image110.emf"/><Relationship Id="rId2" Type="http://schemas.openxmlformats.org/officeDocument/2006/relationships/hyperlink" Target="#'BI-FOLD'!A1"/><Relationship Id="rId16" Type="http://schemas.openxmlformats.org/officeDocument/2006/relationships/image" Target="../media/image109.emf"/><Relationship Id="rId1" Type="http://schemas.openxmlformats.org/officeDocument/2006/relationships/image" Target="../media/image98.jpeg"/><Relationship Id="rId6" Type="http://schemas.openxmlformats.org/officeDocument/2006/relationships/image" Target="../media/image100.emf"/><Relationship Id="rId11" Type="http://schemas.openxmlformats.org/officeDocument/2006/relationships/image" Target="../media/image97.emf"/><Relationship Id="rId5" Type="http://schemas.openxmlformats.org/officeDocument/2006/relationships/image" Target="../media/image99.emf"/><Relationship Id="rId15" Type="http://schemas.openxmlformats.org/officeDocument/2006/relationships/image" Target="../media/image108.emf"/><Relationship Id="rId10" Type="http://schemas.openxmlformats.org/officeDocument/2006/relationships/image" Target="../media/image104.emf"/><Relationship Id="rId19" Type="http://schemas.openxmlformats.org/officeDocument/2006/relationships/image" Target="../media/image105.emf"/><Relationship Id="rId4" Type="http://schemas.openxmlformats.org/officeDocument/2006/relationships/image" Target="../media/image114.emf"/><Relationship Id="rId9" Type="http://schemas.openxmlformats.org/officeDocument/2006/relationships/image" Target="../media/image103.emf"/><Relationship Id="rId14" Type="http://schemas.openxmlformats.org/officeDocument/2006/relationships/image" Target="../media/image132.png"/></Relationships>
</file>

<file path=xl/drawings/_rels/drawing3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2.emf"/><Relationship Id="rId13" Type="http://schemas.openxmlformats.org/officeDocument/2006/relationships/image" Target="../media/image113.emf"/><Relationship Id="rId18" Type="http://schemas.openxmlformats.org/officeDocument/2006/relationships/image" Target="../media/image111.emf"/><Relationship Id="rId3" Type="http://schemas.openxmlformats.org/officeDocument/2006/relationships/image" Target="../media/image25.png"/><Relationship Id="rId7" Type="http://schemas.openxmlformats.org/officeDocument/2006/relationships/image" Target="../media/image101.emf"/><Relationship Id="rId12" Type="http://schemas.openxmlformats.org/officeDocument/2006/relationships/image" Target="../media/image112.emf"/><Relationship Id="rId17" Type="http://schemas.openxmlformats.org/officeDocument/2006/relationships/image" Target="../media/image110.emf"/><Relationship Id="rId2" Type="http://schemas.openxmlformats.org/officeDocument/2006/relationships/hyperlink" Target="#'BI-FOLD'!A1"/><Relationship Id="rId16" Type="http://schemas.openxmlformats.org/officeDocument/2006/relationships/image" Target="../media/image109.emf"/><Relationship Id="rId1" Type="http://schemas.openxmlformats.org/officeDocument/2006/relationships/image" Target="../media/image98.jpeg"/><Relationship Id="rId6" Type="http://schemas.openxmlformats.org/officeDocument/2006/relationships/image" Target="../media/image100.emf"/><Relationship Id="rId11" Type="http://schemas.openxmlformats.org/officeDocument/2006/relationships/image" Target="../media/image97.emf"/><Relationship Id="rId5" Type="http://schemas.openxmlformats.org/officeDocument/2006/relationships/image" Target="../media/image99.emf"/><Relationship Id="rId15" Type="http://schemas.openxmlformats.org/officeDocument/2006/relationships/image" Target="../media/image108.emf"/><Relationship Id="rId10" Type="http://schemas.openxmlformats.org/officeDocument/2006/relationships/image" Target="../media/image104.emf"/><Relationship Id="rId19" Type="http://schemas.openxmlformats.org/officeDocument/2006/relationships/image" Target="../media/image105.emf"/><Relationship Id="rId4" Type="http://schemas.openxmlformats.org/officeDocument/2006/relationships/image" Target="../media/image114.emf"/><Relationship Id="rId9" Type="http://schemas.openxmlformats.org/officeDocument/2006/relationships/image" Target="../media/image103.emf"/><Relationship Id="rId14" Type="http://schemas.openxmlformats.org/officeDocument/2006/relationships/image" Target="../media/image133.png"/></Relationships>
</file>

<file path=xl/drawings/_rels/drawing4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2.emf"/><Relationship Id="rId13" Type="http://schemas.openxmlformats.org/officeDocument/2006/relationships/image" Target="../media/image113.emf"/><Relationship Id="rId18" Type="http://schemas.openxmlformats.org/officeDocument/2006/relationships/image" Target="../media/image111.emf"/><Relationship Id="rId3" Type="http://schemas.openxmlformats.org/officeDocument/2006/relationships/image" Target="../media/image23.png"/><Relationship Id="rId7" Type="http://schemas.openxmlformats.org/officeDocument/2006/relationships/image" Target="../media/image101.emf"/><Relationship Id="rId12" Type="http://schemas.openxmlformats.org/officeDocument/2006/relationships/image" Target="../media/image112.emf"/><Relationship Id="rId17" Type="http://schemas.openxmlformats.org/officeDocument/2006/relationships/image" Target="../media/image110.emf"/><Relationship Id="rId2" Type="http://schemas.openxmlformats.org/officeDocument/2006/relationships/hyperlink" Target="#'BI-FOLD'!A1"/><Relationship Id="rId16" Type="http://schemas.openxmlformats.org/officeDocument/2006/relationships/image" Target="../media/image109.emf"/><Relationship Id="rId1" Type="http://schemas.openxmlformats.org/officeDocument/2006/relationships/image" Target="../media/image98.jpeg"/><Relationship Id="rId6" Type="http://schemas.openxmlformats.org/officeDocument/2006/relationships/image" Target="../media/image100.emf"/><Relationship Id="rId11" Type="http://schemas.openxmlformats.org/officeDocument/2006/relationships/image" Target="../media/image97.emf"/><Relationship Id="rId5" Type="http://schemas.openxmlformats.org/officeDocument/2006/relationships/image" Target="../media/image99.emf"/><Relationship Id="rId15" Type="http://schemas.openxmlformats.org/officeDocument/2006/relationships/image" Target="../media/image108.emf"/><Relationship Id="rId10" Type="http://schemas.openxmlformats.org/officeDocument/2006/relationships/image" Target="../media/image104.emf"/><Relationship Id="rId19" Type="http://schemas.openxmlformats.org/officeDocument/2006/relationships/image" Target="../media/image105.emf"/><Relationship Id="rId4" Type="http://schemas.openxmlformats.org/officeDocument/2006/relationships/image" Target="../media/image114.emf"/><Relationship Id="rId9" Type="http://schemas.openxmlformats.org/officeDocument/2006/relationships/image" Target="../media/image103.emf"/><Relationship Id="rId14" Type="http://schemas.openxmlformats.org/officeDocument/2006/relationships/image" Target="../media/image134.png"/></Relationships>
</file>

<file path=xl/drawings/_rels/drawing4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2.emf"/><Relationship Id="rId13" Type="http://schemas.openxmlformats.org/officeDocument/2006/relationships/image" Target="../media/image113.emf"/><Relationship Id="rId18" Type="http://schemas.openxmlformats.org/officeDocument/2006/relationships/image" Target="../media/image111.emf"/><Relationship Id="rId3" Type="http://schemas.openxmlformats.org/officeDocument/2006/relationships/image" Target="../media/image23.png"/><Relationship Id="rId7" Type="http://schemas.openxmlformats.org/officeDocument/2006/relationships/image" Target="../media/image101.emf"/><Relationship Id="rId12" Type="http://schemas.openxmlformats.org/officeDocument/2006/relationships/image" Target="../media/image112.emf"/><Relationship Id="rId17" Type="http://schemas.openxmlformats.org/officeDocument/2006/relationships/image" Target="../media/image110.emf"/><Relationship Id="rId2" Type="http://schemas.openxmlformats.org/officeDocument/2006/relationships/hyperlink" Target="#'BI-FOLD'!A1"/><Relationship Id="rId16" Type="http://schemas.openxmlformats.org/officeDocument/2006/relationships/image" Target="../media/image109.emf"/><Relationship Id="rId1" Type="http://schemas.openxmlformats.org/officeDocument/2006/relationships/image" Target="../media/image98.jpeg"/><Relationship Id="rId6" Type="http://schemas.openxmlformats.org/officeDocument/2006/relationships/image" Target="../media/image100.emf"/><Relationship Id="rId11" Type="http://schemas.openxmlformats.org/officeDocument/2006/relationships/image" Target="../media/image97.emf"/><Relationship Id="rId5" Type="http://schemas.openxmlformats.org/officeDocument/2006/relationships/image" Target="../media/image99.emf"/><Relationship Id="rId15" Type="http://schemas.openxmlformats.org/officeDocument/2006/relationships/image" Target="../media/image108.emf"/><Relationship Id="rId10" Type="http://schemas.openxmlformats.org/officeDocument/2006/relationships/image" Target="../media/image104.emf"/><Relationship Id="rId19" Type="http://schemas.openxmlformats.org/officeDocument/2006/relationships/image" Target="../media/image105.emf"/><Relationship Id="rId4" Type="http://schemas.openxmlformats.org/officeDocument/2006/relationships/image" Target="../media/image114.emf"/><Relationship Id="rId9" Type="http://schemas.openxmlformats.org/officeDocument/2006/relationships/image" Target="../media/image103.emf"/><Relationship Id="rId14" Type="http://schemas.openxmlformats.org/officeDocument/2006/relationships/image" Target="../media/image135.png"/></Relationships>
</file>

<file path=xl/drawings/_rels/drawing4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2.emf"/><Relationship Id="rId13" Type="http://schemas.openxmlformats.org/officeDocument/2006/relationships/image" Target="../media/image113.emf"/><Relationship Id="rId18" Type="http://schemas.openxmlformats.org/officeDocument/2006/relationships/image" Target="../media/image111.emf"/><Relationship Id="rId3" Type="http://schemas.openxmlformats.org/officeDocument/2006/relationships/image" Target="../media/image25.png"/><Relationship Id="rId7" Type="http://schemas.openxmlformats.org/officeDocument/2006/relationships/image" Target="../media/image101.emf"/><Relationship Id="rId12" Type="http://schemas.openxmlformats.org/officeDocument/2006/relationships/image" Target="../media/image112.emf"/><Relationship Id="rId17" Type="http://schemas.openxmlformats.org/officeDocument/2006/relationships/image" Target="../media/image110.emf"/><Relationship Id="rId2" Type="http://schemas.openxmlformats.org/officeDocument/2006/relationships/hyperlink" Target="#'BI-FOLD'!A1"/><Relationship Id="rId16" Type="http://schemas.openxmlformats.org/officeDocument/2006/relationships/image" Target="../media/image109.emf"/><Relationship Id="rId1" Type="http://schemas.openxmlformats.org/officeDocument/2006/relationships/image" Target="../media/image98.jpeg"/><Relationship Id="rId6" Type="http://schemas.openxmlformats.org/officeDocument/2006/relationships/image" Target="../media/image100.emf"/><Relationship Id="rId11" Type="http://schemas.openxmlformats.org/officeDocument/2006/relationships/image" Target="../media/image97.emf"/><Relationship Id="rId5" Type="http://schemas.openxmlformats.org/officeDocument/2006/relationships/image" Target="../media/image99.emf"/><Relationship Id="rId15" Type="http://schemas.openxmlformats.org/officeDocument/2006/relationships/image" Target="../media/image108.emf"/><Relationship Id="rId10" Type="http://schemas.openxmlformats.org/officeDocument/2006/relationships/image" Target="../media/image104.emf"/><Relationship Id="rId19" Type="http://schemas.openxmlformats.org/officeDocument/2006/relationships/image" Target="../media/image105.emf"/><Relationship Id="rId4" Type="http://schemas.openxmlformats.org/officeDocument/2006/relationships/image" Target="../media/image114.emf"/><Relationship Id="rId9" Type="http://schemas.openxmlformats.org/officeDocument/2006/relationships/image" Target="../media/image103.emf"/><Relationship Id="rId14" Type="http://schemas.openxmlformats.org/officeDocument/2006/relationships/image" Target="../media/image136.png"/></Relationships>
</file>

<file path=xl/drawings/_rels/drawing4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2.emf"/><Relationship Id="rId13" Type="http://schemas.openxmlformats.org/officeDocument/2006/relationships/image" Target="../media/image113.emf"/><Relationship Id="rId18" Type="http://schemas.openxmlformats.org/officeDocument/2006/relationships/image" Target="../media/image111.emf"/><Relationship Id="rId3" Type="http://schemas.openxmlformats.org/officeDocument/2006/relationships/image" Target="../media/image22.png"/><Relationship Id="rId7" Type="http://schemas.openxmlformats.org/officeDocument/2006/relationships/image" Target="../media/image101.emf"/><Relationship Id="rId12" Type="http://schemas.openxmlformats.org/officeDocument/2006/relationships/image" Target="../media/image112.emf"/><Relationship Id="rId17" Type="http://schemas.openxmlformats.org/officeDocument/2006/relationships/image" Target="../media/image110.emf"/><Relationship Id="rId2" Type="http://schemas.openxmlformats.org/officeDocument/2006/relationships/hyperlink" Target="#'BI-FOLD'!A1"/><Relationship Id="rId16" Type="http://schemas.openxmlformats.org/officeDocument/2006/relationships/image" Target="../media/image109.emf"/><Relationship Id="rId1" Type="http://schemas.openxmlformats.org/officeDocument/2006/relationships/image" Target="../media/image98.jpeg"/><Relationship Id="rId6" Type="http://schemas.openxmlformats.org/officeDocument/2006/relationships/image" Target="../media/image100.emf"/><Relationship Id="rId11" Type="http://schemas.openxmlformats.org/officeDocument/2006/relationships/image" Target="../media/image97.emf"/><Relationship Id="rId5" Type="http://schemas.openxmlformats.org/officeDocument/2006/relationships/image" Target="../media/image99.emf"/><Relationship Id="rId15" Type="http://schemas.openxmlformats.org/officeDocument/2006/relationships/image" Target="../media/image108.emf"/><Relationship Id="rId10" Type="http://schemas.openxmlformats.org/officeDocument/2006/relationships/image" Target="../media/image104.emf"/><Relationship Id="rId19" Type="http://schemas.openxmlformats.org/officeDocument/2006/relationships/image" Target="../media/image105.emf"/><Relationship Id="rId4" Type="http://schemas.openxmlformats.org/officeDocument/2006/relationships/image" Target="../media/image114.emf"/><Relationship Id="rId9" Type="http://schemas.openxmlformats.org/officeDocument/2006/relationships/image" Target="../media/image103.emf"/><Relationship Id="rId14" Type="http://schemas.openxmlformats.org/officeDocument/2006/relationships/image" Target="../media/image137.png"/></Relationships>
</file>

<file path=xl/drawings/_rels/drawing4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2.emf"/><Relationship Id="rId13" Type="http://schemas.openxmlformats.org/officeDocument/2006/relationships/image" Target="../media/image113.emf"/><Relationship Id="rId18" Type="http://schemas.openxmlformats.org/officeDocument/2006/relationships/image" Target="../media/image111.emf"/><Relationship Id="rId3" Type="http://schemas.openxmlformats.org/officeDocument/2006/relationships/image" Target="../media/image20.png"/><Relationship Id="rId7" Type="http://schemas.openxmlformats.org/officeDocument/2006/relationships/image" Target="../media/image101.emf"/><Relationship Id="rId12" Type="http://schemas.openxmlformats.org/officeDocument/2006/relationships/image" Target="../media/image112.emf"/><Relationship Id="rId17" Type="http://schemas.openxmlformats.org/officeDocument/2006/relationships/image" Target="../media/image110.emf"/><Relationship Id="rId2" Type="http://schemas.openxmlformats.org/officeDocument/2006/relationships/hyperlink" Target="#'BI-FOLD'!A1"/><Relationship Id="rId16" Type="http://schemas.openxmlformats.org/officeDocument/2006/relationships/image" Target="../media/image109.emf"/><Relationship Id="rId1" Type="http://schemas.openxmlformats.org/officeDocument/2006/relationships/image" Target="../media/image98.jpeg"/><Relationship Id="rId6" Type="http://schemas.openxmlformats.org/officeDocument/2006/relationships/image" Target="../media/image100.emf"/><Relationship Id="rId11" Type="http://schemas.openxmlformats.org/officeDocument/2006/relationships/image" Target="../media/image97.emf"/><Relationship Id="rId5" Type="http://schemas.openxmlformats.org/officeDocument/2006/relationships/image" Target="../media/image99.emf"/><Relationship Id="rId15" Type="http://schemas.openxmlformats.org/officeDocument/2006/relationships/image" Target="../media/image108.emf"/><Relationship Id="rId10" Type="http://schemas.openxmlformats.org/officeDocument/2006/relationships/image" Target="../media/image104.emf"/><Relationship Id="rId19" Type="http://schemas.openxmlformats.org/officeDocument/2006/relationships/image" Target="../media/image105.emf"/><Relationship Id="rId4" Type="http://schemas.openxmlformats.org/officeDocument/2006/relationships/image" Target="../media/image114.emf"/><Relationship Id="rId9" Type="http://schemas.openxmlformats.org/officeDocument/2006/relationships/image" Target="../media/image103.emf"/><Relationship Id="rId14" Type="http://schemas.openxmlformats.org/officeDocument/2006/relationships/image" Target="../media/image138.png"/></Relationships>
</file>

<file path=xl/drawings/_rels/drawing4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2.emf"/><Relationship Id="rId13" Type="http://schemas.openxmlformats.org/officeDocument/2006/relationships/image" Target="../media/image112.emf"/><Relationship Id="rId18" Type="http://schemas.openxmlformats.org/officeDocument/2006/relationships/image" Target="../media/image110.emf"/><Relationship Id="rId3" Type="http://schemas.openxmlformats.org/officeDocument/2006/relationships/image" Target="../media/image20.png"/><Relationship Id="rId7" Type="http://schemas.openxmlformats.org/officeDocument/2006/relationships/image" Target="../media/image101.emf"/><Relationship Id="rId12" Type="http://schemas.openxmlformats.org/officeDocument/2006/relationships/image" Target="../media/image97.emf"/><Relationship Id="rId17" Type="http://schemas.openxmlformats.org/officeDocument/2006/relationships/image" Target="../media/image109.emf"/><Relationship Id="rId2" Type="http://schemas.openxmlformats.org/officeDocument/2006/relationships/hyperlink" Target="#'BI-FOLD'!A1"/><Relationship Id="rId16" Type="http://schemas.openxmlformats.org/officeDocument/2006/relationships/image" Target="../media/image108.emf"/><Relationship Id="rId1" Type="http://schemas.openxmlformats.org/officeDocument/2006/relationships/image" Target="../media/image98.jpeg"/><Relationship Id="rId6" Type="http://schemas.openxmlformats.org/officeDocument/2006/relationships/image" Target="../media/image100.emf"/><Relationship Id="rId11" Type="http://schemas.openxmlformats.org/officeDocument/2006/relationships/image" Target="../media/image105.emf"/><Relationship Id="rId5" Type="http://schemas.openxmlformats.org/officeDocument/2006/relationships/image" Target="../media/image99.emf"/><Relationship Id="rId15" Type="http://schemas.openxmlformats.org/officeDocument/2006/relationships/image" Target="../media/image138.png"/><Relationship Id="rId10" Type="http://schemas.openxmlformats.org/officeDocument/2006/relationships/image" Target="../media/image104.emf"/><Relationship Id="rId19" Type="http://schemas.openxmlformats.org/officeDocument/2006/relationships/image" Target="../media/image111.emf"/><Relationship Id="rId4" Type="http://schemas.openxmlformats.org/officeDocument/2006/relationships/image" Target="../media/image114.emf"/><Relationship Id="rId9" Type="http://schemas.openxmlformats.org/officeDocument/2006/relationships/image" Target="../media/image103.emf"/><Relationship Id="rId14" Type="http://schemas.openxmlformats.org/officeDocument/2006/relationships/image" Target="../media/image113.emf"/></Relationships>
</file>

<file path=xl/drawings/_rels/drawing4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2.emf"/><Relationship Id="rId13" Type="http://schemas.openxmlformats.org/officeDocument/2006/relationships/image" Target="../media/image112.emf"/><Relationship Id="rId18" Type="http://schemas.openxmlformats.org/officeDocument/2006/relationships/image" Target="../media/image110.emf"/><Relationship Id="rId3" Type="http://schemas.openxmlformats.org/officeDocument/2006/relationships/image" Target="../media/image19.png"/><Relationship Id="rId7" Type="http://schemas.openxmlformats.org/officeDocument/2006/relationships/image" Target="../media/image101.emf"/><Relationship Id="rId12" Type="http://schemas.openxmlformats.org/officeDocument/2006/relationships/image" Target="../media/image97.emf"/><Relationship Id="rId17" Type="http://schemas.openxmlformats.org/officeDocument/2006/relationships/image" Target="../media/image109.emf"/><Relationship Id="rId2" Type="http://schemas.openxmlformats.org/officeDocument/2006/relationships/hyperlink" Target="#'BI-FOLD'!A1"/><Relationship Id="rId16" Type="http://schemas.openxmlformats.org/officeDocument/2006/relationships/image" Target="../media/image108.emf"/><Relationship Id="rId1" Type="http://schemas.openxmlformats.org/officeDocument/2006/relationships/image" Target="../media/image98.jpeg"/><Relationship Id="rId6" Type="http://schemas.openxmlformats.org/officeDocument/2006/relationships/image" Target="../media/image100.emf"/><Relationship Id="rId11" Type="http://schemas.openxmlformats.org/officeDocument/2006/relationships/image" Target="../media/image105.emf"/><Relationship Id="rId5" Type="http://schemas.openxmlformats.org/officeDocument/2006/relationships/image" Target="../media/image99.emf"/><Relationship Id="rId15" Type="http://schemas.openxmlformats.org/officeDocument/2006/relationships/image" Target="../media/image139.png"/><Relationship Id="rId10" Type="http://schemas.openxmlformats.org/officeDocument/2006/relationships/image" Target="../media/image104.emf"/><Relationship Id="rId19" Type="http://schemas.openxmlformats.org/officeDocument/2006/relationships/image" Target="../media/image111.emf"/><Relationship Id="rId4" Type="http://schemas.openxmlformats.org/officeDocument/2006/relationships/image" Target="../media/image114.emf"/><Relationship Id="rId9" Type="http://schemas.openxmlformats.org/officeDocument/2006/relationships/image" Target="../media/image103.emf"/><Relationship Id="rId14" Type="http://schemas.openxmlformats.org/officeDocument/2006/relationships/image" Target="../media/image113.emf"/></Relationships>
</file>

<file path=xl/drawings/_rels/drawing4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4.emf"/><Relationship Id="rId13" Type="http://schemas.openxmlformats.org/officeDocument/2006/relationships/image" Target="../media/image108.emf"/><Relationship Id="rId3" Type="http://schemas.openxmlformats.org/officeDocument/2006/relationships/image" Target="../media/image99.emf"/><Relationship Id="rId7" Type="http://schemas.openxmlformats.org/officeDocument/2006/relationships/image" Target="../media/image103.emf"/><Relationship Id="rId12" Type="http://schemas.openxmlformats.org/officeDocument/2006/relationships/image" Target="../media/image113.emf"/><Relationship Id="rId17" Type="http://schemas.openxmlformats.org/officeDocument/2006/relationships/image" Target="../media/image40.png"/><Relationship Id="rId2" Type="http://schemas.openxmlformats.org/officeDocument/2006/relationships/hyperlink" Target="#'BI-FOLD'!A1"/><Relationship Id="rId16" Type="http://schemas.openxmlformats.org/officeDocument/2006/relationships/image" Target="../media/image111.emf"/><Relationship Id="rId1" Type="http://schemas.openxmlformats.org/officeDocument/2006/relationships/image" Target="../media/image98.jpeg"/><Relationship Id="rId6" Type="http://schemas.openxmlformats.org/officeDocument/2006/relationships/image" Target="../media/image102.emf"/><Relationship Id="rId11" Type="http://schemas.openxmlformats.org/officeDocument/2006/relationships/image" Target="../media/image112.emf"/><Relationship Id="rId5" Type="http://schemas.openxmlformats.org/officeDocument/2006/relationships/image" Target="../media/image101.emf"/><Relationship Id="rId15" Type="http://schemas.openxmlformats.org/officeDocument/2006/relationships/image" Target="../media/image110.emf"/><Relationship Id="rId10" Type="http://schemas.openxmlformats.org/officeDocument/2006/relationships/image" Target="../media/image97.emf"/><Relationship Id="rId4" Type="http://schemas.openxmlformats.org/officeDocument/2006/relationships/image" Target="../media/image100.emf"/><Relationship Id="rId9" Type="http://schemas.openxmlformats.org/officeDocument/2006/relationships/image" Target="../media/image105.emf"/><Relationship Id="rId14" Type="http://schemas.openxmlformats.org/officeDocument/2006/relationships/image" Target="../media/image109.emf"/></Relationships>
</file>

<file path=xl/drawings/_rels/drawing4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2.emf"/><Relationship Id="rId13" Type="http://schemas.openxmlformats.org/officeDocument/2006/relationships/image" Target="../media/image113.emf"/><Relationship Id="rId18" Type="http://schemas.openxmlformats.org/officeDocument/2006/relationships/image" Target="../media/image111.emf"/><Relationship Id="rId3" Type="http://schemas.openxmlformats.org/officeDocument/2006/relationships/image" Target="../media/image18.png"/><Relationship Id="rId7" Type="http://schemas.openxmlformats.org/officeDocument/2006/relationships/image" Target="../media/image101.emf"/><Relationship Id="rId12" Type="http://schemas.openxmlformats.org/officeDocument/2006/relationships/image" Target="../media/image112.emf"/><Relationship Id="rId17" Type="http://schemas.openxmlformats.org/officeDocument/2006/relationships/image" Target="../media/image110.emf"/><Relationship Id="rId2" Type="http://schemas.openxmlformats.org/officeDocument/2006/relationships/hyperlink" Target="#'BI-FOLD'!A1"/><Relationship Id="rId16" Type="http://schemas.openxmlformats.org/officeDocument/2006/relationships/image" Target="../media/image109.emf"/><Relationship Id="rId1" Type="http://schemas.openxmlformats.org/officeDocument/2006/relationships/image" Target="../media/image98.jpeg"/><Relationship Id="rId6" Type="http://schemas.openxmlformats.org/officeDocument/2006/relationships/image" Target="../media/image100.emf"/><Relationship Id="rId11" Type="http://schemas.openxmlformats.org/officeDocument/2006/relationships/image" Target="../media/image97.emf"/><Relationship Id="rId5" Type="http://schemas.openxmlformats.org/officeDocument/2006/relationships/image" Target="../media/image99.emf"/><Relationship Id="rId15" Type="http://schemas.openxmlformats.org/officeDocument/2006/relationships/image" Target="../media/image108.emf"/><Relationship Id="rId10" Type="http://schemas.openxmlformats.org/officeDocument/2006/relationships/image" Target="../media/image104.emf"/><Relationship Id="rId19" Type="http://schemas.openxmlformats.org/officeDocument/2006/relationships/image" Target="../media/image105.emf"/><Relationship Id="rId4" Type="http://schemas.openxmlformats.org/officeDocument/2006/relationships/image" Target="../media/image114.emf"/><Relationship Id="rId9" Type="http://schemas.openxmlformats.org/officeDocument/2006/relationships/image" Target="../media/image103.emf"/><Relationship Id="rId14" Type="http://schemas.openxmlformats.org/officeDocument/2006/relationships/image" Target="../media/image140.png"/></Relationships>
</file>

<file path=xl/drawings/_rels/drawing4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2.emf"/><Relationship Id="rId13" Type="http://schemas.openxmlformats.org/officeDocument/2006/relationships/image" Target="../media/image113.emf"/><Relationship Id="rId18" Type="http://schemas.openxmlformats.org/officeDocument/2006/relationships/image" Target="../media/image111.emf"/><Relationship Id="rId3" Type="http://schemas.openxmlformats.org/officeDocument/2006/relationships/image" Target="../media/image17.png"/><Relationship Id="rId7" Type="http://schemas.openxmlformats.org/officeDocument/2006/relationships/image" Target="../media/image101.emf"/><Relationship Id="rId12" Type="http://schemas.openxmlformats.org/officeDocument/2006/relationships/image" Target="../media/image112.emf"/><Relationship Id="rId17" Type="http://schemas.openxmlformats.org/officeDocument/2006/relationships/image" Target="../media/image110.emf"/><Relationship Id="rId2" Type="http://schemas.openxmlformats.org/officeDocument/2006/relationships/hyperlink" Target="#'BI-FOLD'!A1"/><Relationship Id="rId16" Type="http://schemas.openxmlformats.org/officeDocument/2006/relationships/image" Target="../media/image109.emf"/><Relationship Id="rId1" Type="http://schemas.openxmlformats.org/officeDocument/2006/relationships/image" Target="../media/image98.jpeg"/><Relationship Id="rId6" Type="http://schemas.openxmlformats.org/officeDocument/2006/relationships/image" Target="../media/image100.emf"/><Relationship Id="rId11" Type="http://schemas.openxmlformats.org/officeDocument/2006/relationships/image" Target="../media/image97.emf"/><Relationship Id="rId5" Type="http://schemas.openxmlformats.org/officeDocument/2006/relationships/image" Target="../media/image99.emf"/><Relationship Id="rId15" Type="http://schemas.openxmlformats.org/officeDocument/2006/relationships/image" Target="../media/image108.emf"/><Relationship Id="rId10" Type="http://schemas.openxmlformats.org/officeDocument/2006/relationships/image" Target="../media/image104.emf"/><Relationship Id="rId19" Type="http://schemas.openxmlformats.org/officeDocument/2006/relationships/image" Target="../media/image105.emf"/><Relationship Id="rId4" Type="http://schemas.openxmlformats.org/officeDocument/2006/relationships/image" Target="../media/image114.emf"/><Relationship Id="rId9" Type="http://schemas.openxmlformats.org/officeDocument/2006/relationships/image" Target="../media/image103.emf"/><Relationship Id="rId14" Type="http://schemas.openxmlformats.org/officeDocument/2006/relationships/image" Target="../media/image14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6</xdr:row>
      <xdr:rowOff>0</xdr:rowOff>
    </xdr:from>
    <xdr:to>
      <xdr:col>3</xdr:col>
      <xdr:colOff>315530</xdr:colOff>
      <xdr:row>14</xdr:row>
      <xdr:rowOff>57150</xdr:rowOff>
    </xdr:to>
    <xdr:grpSp>
      <xdr:nvGrpSpPr>
        <xdr:cNvPr id="137" name="Group 136">
          <a:hlinkClick xmlns:r="http://schemas.openxmlformats.org/officeDocument/2006/relationships" r:id="rId1"/>
        </xdr:cNvPr>
        <xdr:cNvGrpSpPr/>
      </xdr:nvGrpSpPr>
      <xdr:grpSpPr>
        <a:xfrm>
          <a:off x="796290" y="1417320"/>
          <a:ext cx="1393760" cy="1520190"/>
          <a:chOff x="533400" y="2149834"/>
          <a:chExt cx="1363280" cy="1612541"/>
        </a:xfrm>
      </xdr:grpSpPr>
      <xdr:pic>
        <xdr:nvPicPr>
          <xdr:cNvPr id="3" name="Picture 2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00075" y="2382931"/>
            <a:ext cx="1296605" cy="1379444"/>
          </a:xfrm>
          <a:prstGeom prst="rect">
            <a:avLst/>
          </a:prstGeom>
        </xdr:spPr>
      </xdr:pic>
      <xdr:sp macro="" textlink="">
        <xdr:nvSpPr>
          <xdr:cNvPr id="8" name="Rectangle 7"/>
          <xdr:cNvSpPr/>
        </xdr:nvSpPr>
        <xdr:spPr>
          <a:xfrm>
            <a:off x="533400" y="2149834"/>
            <a:ext cx="952499" cy="24711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spAutoFit/>
          </a:bodyPr>
          <a:lstStyle/>
          <a:p>
            <a:pPr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en-GB" sz="10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(L)</a:t>
            </a:r>
          </a:p>
        </xdr:txBody>
      </xdr:sp>
    </xdr:grpSp>
    <xdr:clientData/>
  </xdr:twoCellAnchor>
  <xdr:twoCellAnchor>
    <xdr:from>
      <xdr:col>4</xdr:col>
      <xdr:colOff>28575</xdr:colOff>
      <xdr:row>6</xdr:row>
      <xdr:rowOff>0</xdr:rowOff>
    </xdr:from>
    <xdr:to>
      <xdr:col>6</xdr:col>
      <xdr:colOff>145439</xdr:colOff>
      <xdr:row>14</xdr:row>
      <xdr:rowOff>57150</xdr:rowOff>
    </xdr:to>
    <xdr:grpSp>
      <xdr:nvGrpSpPr>
        <xdr:cNvPr id="138" name="Group 137">
          <a:hlinkClick xmlns:r="http://schemas.openxmlformats.org/officeDocument/2006/relationships" r:id="rId3"/>
        </xdr:cNvPr>
        <xdr:cNvGrpSpPr/>
      </xdr:nvGrpSpPr>
      <xdr:grpSpPr>
        <a:xfrm>
          <a:off x="2527935" y="1417320"/>
          <a:ext cx="1366544" cy="1520190"/>
          <a:chOff x="2790825" y="2130784"/>
          <a:chExt cx="1336064" cy="1622066"/>
        </a:xfrm>
      </xdr:grpSpPr>
      <xdr:pic>
        <xdr:nvPicPr>
          <xdr:cNvPr id="5" name="Picture 4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838450" y="2373406"/>
            <a:ext cx="1288439" cy="1379444"/>
          </a:xfrm>
          <a:prstGeom prst="rect">
            <a:avLst/>
          </a:prstGeom>
        </xdr:spPr>
      </xdr:pic>
      <xdr:sp macro="" textlink="">
        <xdr:nvSpPr>
          <xdr:cNvPr id="9" name="Rectangle 8"/>
          <xdr:cNvSpPr/>
        </xdr:nvSpPr>
        <xdr:spPr>
          <a:xfrm>
            <a:off x="2790825" y="2130784"/>
            <a:ext cx="1162050" cy="24711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spAutoFit/>
          </a:bodyPr>
          <a:lstStyle/>
          <a:p>
            <a:pPr marL="0" indent="0"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 (R)</a:t>
            </a:r>
          </a:p>
        </xdr:txBody>
      </xdr:sp>
    </xdr:grpSp>
    <xdr:clientData/>
  </xdr:twoCellAnchor>
  <xdr:twoCellAnchor>
    <xdr:from>
      <xdr:col>1</xdr:col>
      <xdr:colOff>152401</xdr:colOff>
      <xdr:row>18</xdr:row>
      <xdr:rowOff>22903</xdr:rowOff>
    </xdr:from>
    <xdr:to>
      <xdr:col>4</xdr:col>
      <xdr:colOff>209430</xdr:colOff>
      <xdr:row>26</xdr:row>
      <xdr:rowOff>104775</xdr:rowOff>
    </xdr:to>
    <xdr:grpSp>
      <xdr:nvGrpSpPr>
        <xdr:cNvPr id="135" name="Group 134">
          <a:hlinkClick xmlns:r="http://schemas.openxmlformats.org/officeDocument/2006/relationships" r:id="rId5"/>
        </xdr:cNvPr>
        <xdr:cNvGrpSpPr/>
      </xdr:nvGrpSpPr>
      <xdr:grpSpPr>
        <a:xfrm>
          <a:off x="777241" y="3672883"/>
          <a:ext cx="1931549" cy="1544912"/>
          <a:chOff x="933451" y="5052103"/>
          <a:chExt cx="1885829" cy="1605872"/>
        </a:xfrm>
      </xdr:grpSpPr>
      <xdr:pic>
        <xdr:nvPicPr>
          <xdr:cNvPr id="6" name="Picture 5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19175" y="5289176"/>
            <a:ext cx="1800105" cy="1368799"/>
          </a:xfrm>
          <a:prstGeom prst="rect">
            <a:avLst/>
          </a:prstGeom>
        </xdr:spPr>
      </xdr:pic>
      <xdr:sp macro="" textlink="">
        <xdr:nvSpPr>
          <xdr:cNvPr id="10" name="Rectangle 9"/>
          <xdr:cNvSpPr/>
        </xdr:nvSpPr>
        <xdr:spPr>
          <a:xfrm>
            <a:off x="933451" y="5052103"/>
            <a:ext cx="838199" cy="25507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spAutoFit/>
          </a:bodyPr>
          <a:lstStyle/>
          <a:p>
            <a:pPr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 (L)</a:t>
            </a:r>
            <a:endParaRPr lang="en-GB" sz="10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</xdr:col>
      <xdr:colOff>523876</xdr:colOff>
      <xdr:row>18</xdr:row>
      <xdr:rowOff>26879</xdr:rowOff>
    </xdr:from>
    <xdr:to>
      <xdr:col>7</xdr:col>
      <xdr:colOff>549326</xdr:colOff>
      <xdr:row>26</xdr:row>
      <xdr:rowOff>104775</xdr:rowOff>
    </xdr:to>
    <xdr:grpSp>
      <xdr:nvGrpSpPr>
        <xdr:cNvPr id="136" name="Group 135">
          <a:hlinkClick xmlns:r="http://schemas.openxmlformats.org/officeDocument/2006/relationships" r:id="rId7"/>
        </xdr:cNvPr>
        <xdr:cNvGrpSpPr/>
      </xdr:nvGrpSpPr>
      <xdr:grpSpPr>
        <a:xfrm>
          <a:off x="3023236" y="3676859"/>
          <a:ext cx="1899970" cy="1540936"/>
          <a:chOff x="3133726" y="5056079"/>
          <a:chExt cx="1854250" cy="1601896"/>
        </a:xfrm>
      </xdr:grpSpPr>
      <xdr:pic>
        <xdr:nvPicPr>
          <xdr:cNvPr id="7" name="Picture 6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 flipH="1">
            <a:off x="3200399" y="5298702"/>
            <a:ext cx="1787577" cy="1359273"/>
          </a:xfrm>
          <a:prstGeom prst="rect">
            <a:avLst/>
          </a:prstGeom>
        </xdr:spPr>
      </xdr:pic>
      <xdr:sp macro="" textlink="">
        <xdr:nvSpPr>
          <xdr:cNvPr id="11" name="Rectangle 10"/>
          <xdr:cNvSpPr/>
        </xdr:nvSpPr>
        <xdr:spPr>
          <a:xfrm>
            <a:off x="3133726" y="5056079"/>
            <a:ext cx="885824" cy="24711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spAutoFit/>
          </a:bodyPr>
          <a:lstStyle/>
          <a:p>
            <a:pPr marL="0" indent="0"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 (R)</a:t>
            </a:r>
          </a:p>
        </xdr:txBody>
      </xdr:sp>
    </xdr:grpSp>
    <xdr:clientData/>
  </xdr:twoCellAnchor>
  <xdr:twoCellAnchor>
    <xdr:from>
      <xdr:col>1</xdr:col>
      <xdr:colOff>161925</xdr:colOff>
      <xdr:row>29</xdr:row>
      <xdr:rowOff>173063</xdr:rowOff>
    </xdr:from>
    <xdr:to>
      <xdr:col>5</xdr:col>
      <xdr:colOff>28240</xdr:colOff>
      <xdr:row>38</xdr:row>
      <xdr:rowOff>38101</xdr:rowOff>
    </xdr:to>
    <xdr:grpSp>
      <xdr:nvGrpSpPr>
        <xdr:cNvPr id="134" name="Group 133">
          <a:hlinkClick xmlns:r="http://schemas.openxmlformats.org/officeDocument/2006/relationships" r:id="rId8"/>
        </xdr:cNvPr>
        <xdr:cNvGrpSpPr/>
      </xdr:nvGrpSpPr>
      <xdr:grpSpPr>
        <a:xfrm>
          <a:off x="786765" y="5872823"/>
          <a:ext cx="2365675" cy="1510958"/>
          <a:chOff x="771525" y="7793063"/>
          <a:chExt cx="2304715" cy="1579538"/>
        </a:xfrm>
      </xdr:grpSpPr>
      <xdr:pic>
        <xdr:nvPicPr>
          <xdr:cNvPr id="17" name="Picture 16"/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836721" y="8017509"/>
            <a:ext cx="2239519" cy="1355092"/>
          </a:xfrm>
          <a:prstGeom prst="rect">
            <a:avLst/>
          </a:prstGeom>
        </xdr:spPr>
      </xdr:pic>
      <xdr:sp macro="" textlink="">
        <xdr:nvSpPr>
          <xdr:cNvPr id="18" name="Rectangle 17"/>
          <xdr:cNvSpPr/>
        </xdr:nvSpPr>
        <xdr:spPr>
          <a:xfrm>
            <a:off x="771525" y="7793063"/>
            <a:ext cx="1055831" cy="24711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spAutoFit/>
          </a:bodyPr>
          <a:lstStyle/>
          <a:p>
            <a:pPr marL="0" indent="0"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 (1L3R)</a:t>
            </a:r>
          </a:p>
        </xdr:txBody>
      </xdr:sp>
    </xdr:grpSp>
    <xdr:clientData/>
  </xdr:twoCellAnchor>
  <xdr:twoCellAnchor>
    <xdr:from>
      <xdr:col>5</xdr:col>
      <xdr:colOff>342900</xdr:colOff>
      <xdr:row>29</xdr:row>
      <xdr:rowOff>171996</xdr:rowOff>
    </xdr:from>
    <xdr:to>
      <xdr:col>9</xdr:col>
      <xdr:colOff>308145</xdr:colOff>
      <xdr:row>38</xdr:row>
      <xdr:rowOff>57151</xdr:rowOff>
    </xdr:to>
    <xdr:grpSp>
      <xdr:nvGrpSpPr>
        <xdr:cNvPr id="132" name="Group 131">
          <a:hlinkClick xmlns:r="http://schemas.openxmlformats.org/officeDocument/2006/relationships" r:id="rId10"/>
        </xdr:cNvPr>
        <xdr:cNvGrpSpPr/>
      </xdr:nvGrpSpPr>
      <xdr:grpSpPr>
        <a:xfrm>
          <a:off x="3467100" y="5871756"/>
          <a:ext cx="2464605" cy="1531075"/>
          <a:chOff x="3457575" y="7791996"/>
          <a:chExt cx="2403645" cy="1599655"/>
        </a:xfrm>
      </xdr:grpSpPr>
      <xdr:pic>
        <xdr:nvPicPr>
          <xdr:cNvPr id="20" name="Picture 19"/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3533776" y="8015569"/>
            <a:ext cx="2327444" cy="1376082"/>
          </a:xfrm>
          <a:prstGeom prst="rect">
            <a:avLst/>
          </a:prstGeom>
        </xdr:spPr>
      </xdr:pic>
      <xdr:sp macro="" textlink="">
        <xdr:nvSpPr>
          <xdr:cNvPr id="21" name="Rectangle 20"/>
          <xdr:cNvSpPr/>
        </xdr:nvSpPr>
        <xdr:spPr>
          <a:xfrm>
            <a:off x="3457575" y="7791996"/>
            <a:ext cx="1038225" cy="24711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spAutoFit/>
          </a:bodyPr>
          <a:lstStyle/>
          <a:p>
            <a:pPr marL="0" indent="0"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 (2L2R)</a:t>
            </a:r>
          </a:p>
        </xdr:txBody>
      </xdr:sp>
    </xdr:grpSp>
    <xdr:clientData/>
  </xdr:twoCellAnchor>
  <xdr:twoCellAnchor>
    <xdr:from>
      <xdr:col>10</xdr:col>
      <xdr:colOff>61071</xdr:colOff>
      <xdr:row>29</xdr:row>
      <xdr:rowOff>180998</xdr:rowOff>
    </xdr:from>
    <xdr:to>
      <xdr:col>14</xdr:col>
      <xdr:colOff>45971</xdr:colOff>
      <xdr:row>38</xdr:row>
      <xdr:rowOff>66676</xdr:rowOff>
    </xdr:to>
    <xdr:grpSp>
      <xdr:nvGrpSpPr>
        <xdr:cNvPr id="133" name="Group 132">
          <a:hlinkClick xmlns:r="http://schemas.openxmlformats.org/officeDocument/2006/relationships" r:id="rId12"/>
        </xdr:cNvPr>
        <xdr:cNvGrpSpPr/>
      </xdr:nvGrpSpPr>
      <xdr:grpSpPr>
        <a:xfrm>
          <a:off x="6309471" y="5880758"/>
          <a:ext cx="2484260" cy="1531598"/>
          <a:chOff x="6318996" y="7800998"/>
          <a:chExt cx="2423300" cy="1600178"/>
        </a:xfrm>
      </xdr:grpSpPr>
      <xdr:sp macro="" textlink="">
        <xdr:nvSpPr>
          <xdr:cNvPr id="24" name="Rectangle 23"/>
          <xdr:cNvSpPr/>
        </xdr:nvSpPr>
        <xdr:spPr>
          <a:xfrm>
            <a:off x="6318996" y="7800998"/>
            <a:ext cx="1032121" cy="24711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spAutoFit/>
          </a:bodyPr>
          <a:lstStyle/>
          <a:p>
            <a:pPr marL="0" indent="0"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 (3L1R)</a:t>
            </a:r>
          </a:p>
        </xdr:txBody>
      </xdr:sp>
      <xdr:pic>
        <xdr:nvPicPr>
          <xdr:cNvPr id="27" name="Picture 26"/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6390879" y="8029576"/>
            <a:ext cx="2351417" cy="137160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152399</xdr:colOff>
      <xdr:row>50</xdr:row>
      <xdr:rowOff>133842</xdr:rowOff>
    </xdr:from>
    <xdr:to>
      <xdr:col>5</xdr:col>
      <xdr:colOff>552056</xdr:colOff>
      <xdr:row>58</xdr:row>
      <xdr:rowOff>152401</xdr:rowOff>
    </xdr:to>
    <xdr:grpSp>
      <xdr:nvGrpSpPr>
        <xdr:cNvPr id="126" name="Group 125">
          <a:hlinkClick xmlns:r="http://schemas.openxmlformats.org/officeDocument/2006/relationships" r:id="rId14"/>
        </xdr:cNvPr>
        <xdr:cNvGrpSpPr/>
      </xdr:nvGrpSpPr>
      <xdr:grpSpPr>
        <a:xfrm>
          <a:off x="777239" y="9712182"/>
          <a:ext cx="2899017" cy="1481599"/>
          <a:chOff x="761999" y="11792442"/>
          <a:chExt cx="2838057" cy="1542559"/>
        </a:xfrm>
      </xdr:grpSpPr>
      <xdr:pic>
        <xdr:nvPicPr>
          <xdr:cNvPr id="38" name="Picture 37"/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838581" y="12017189"/>
            <a:ext cx="2761475" cy="1317812"/>
          </a:xfrm>
          <a:prstGeom prst="rect">
            <a:avLst/>
          </a:prstGeom>
        </xdr:spPr>
      </xdr:pic>
      <xdr:sp macro="" textlink="">
        <xdr:nvSpPr>
          <xdr:cNvPr id="41" name="Rectangle 40"/>
          <xdr:cNvSpPr>
            <a:spLocks noChangeAspect="1"/>
          </xdr:cNvSpPr>
        </xdr:nvSpPr>
        <xdr:spPr>
          <a:xfrm>
            <a:off x="761999" y="11792442"/>
            <a:ext cx="1055196" cy="24711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spAutoFit/>
          </a:bodyPr>
          <a:lstStyle/>
          <a:p>
            <a:pPr marL="0" indent="0"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 (1L4R)</a:t>
            </a:r>
          </a:p>
        </xdr:txBody>
      </xdr:sp>
    </xdr:grpSp>
    <xdr:clientData/>
  </xdr:twoCellAnchor>
  <xdr:twoCellAnchor>
    <xdr:from>
      <xdr:col>6</xdr:col>
      <xdr:colOff>216837</xdr:colOff>
      <xdr:row>50</xdr:row>
      <xdr:rowOff>152892</xdr:rowOff>
    </xdr:from>
    <xdr:to>
      <xdr:col>10</xdr:col>
      <xdr:colOff>606405</xdr:colOff>
      <xdr:row>58</xdr:row>
      <xdr:rowOff>171450</xdr:rowOff>
    </xdr:to>
    <xdr:grpSp>
      <xdr:nvGrpSpPr>
        <xdr:cNvPr id="127" name="Group 126">
          <a:hlinkClick xmlns:r="http://schemas.openxmlformats.org/officeDocument/2006/relationships" r:id="rId16"/>
        </xdr:cNvPr>
        <xdr:cNvGrpSpPr/>
      </xdr:nvGrpSpPr>
      <xdr:grpSpPr>
        <a:xfrm>
          <a:off x="3965877" y="9731232"/>
          <a:ext cx="2888928" cy="1481598"/>
          <a:chOff x="3836337" y="11811492"/>
          <a:chExt cx="2827968" cy="1542558"/>
        </a:xfrm>
      </xdr:grpSpPr>
      <xdr:pic>
        <xdr:nvPicPr>
          <xdr:cNvPr id="36" name="Picture 35"/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3891981" y="12036238"/>
            <a:ext cx="2772324" cy="1317812"/>
          </a:xfrm>
          <a:prstGeom prst="rect">
            <a:avLst/>
          </a:prstGeom>
        </xdr:spPr>
      </xdr:pic>
      <xdr:sp macro="" textlink="">
        <xdr:nvSpPr>
          <xdr:cNvPr id="42" name="Rectangle 41"/>
          <xdr:cNvSpPr>
            <a:spLocks noChangeAspect="1"/>
          </xdr:cNvSpPr>
        </xdr:nvSpPr>
        <xdr:spPr>
          <a:xfrm>
            <a:off x="3836337" y="11811492"/>
            <a:ext cx="1054071" cy="24711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spAutoFit/>
          </a:bodyPr>
          <a:lstStyle/>
          <a:p>
            <a:pPr marL="0" indent="0"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 (2L3R)</a:t>
            </a:r>
          </a:p>
        </xdr:txBody>
      </xdr:sp>
    </xdr:grpSp>
    <xdr:clientData/>
  </xdr:twoCellAnchor>
  <xdr:twoCellAnchor>
    <xdr:from>
      <xdr:col>11</xdr:col>
      <xdr:colOff>327774</xdr:colOff>
      <xdr:row>50</xdr:row>
      <xdr:rowOff>168581</xdr:rowOff>
    </xdr:from>
    <xdr:to>
      <xdr:col>16</xdr:col>
      <xdr:colOff>119960</xdr:colOff>
      <xdr:row>59</xdr:row>
      <xdr:rowOff>19051</xdr:rowOff>
    </xdr:to>
    <xdr:grpSp>
      <xdr:nvGrpSpPr>
        <xdr:cNvPr id="128" name="Group 127">
          <a:hlinkClick xmlns:r="http://schemas.openxmlformats.org/officeDocument/2006/relationships" r:id="rId18"/>
        </xdr:cNvPr>
        <xdr:cNvGrpSpPr/>
      </xdr:nvGrpSpPr>
      <xdr:grpSpPr>
        <a:xfrm>
          <a:off x="7201014" y="9746921"/>
          <a:ext cx="2916386" cy="1496390"/>
          <a:chOff x="7014324" y="11827181"/>
          <a:chExt cx="2840186" cy="1564970"/>
        </a:xfrm>
      </xdr:grpSpPr>
      <xdr:pic>
        <xdr:nvPicPr>
          <xdr:cNvPr id="29" name="Picture 28"/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7083156" y="12063135"/>
            <a:ext cx="2771354" cy="1329016"/>
          </a:xfrm>
          <a:prstGeom prst="rect">
            <a:avLst/>
          </a:prstGeom>
        </xdr:spPr>
      </xdr:pic>
      <xdr:sp macro="" textlink="">
        <xdr:nvSpPr>
          <xdr:cNvPr id="43" name="Rectangle 42"/>
          <xdr:cNvSpPr>
            <a:spLocks noChangeAspect="1"/>
          </xdr:cNvSpPr>
        </xdr:nvSpPr>
        <xdr:spPr>
          <a:xfrm>
            <a:off x="7014324" y="11827181"/>
            <a:ext cx="1055268" cy="24711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spAutoFit/>
          </a:bodyPr>
          <a:lstStyle/>
          <a:p>
            <a:pPr marL="0" indent="0"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 (3L2R)</a:t>
            </a:r>
          </a:p>
        </xdr:txBody>
      </xdr:sp>
    </xdr:grpSp>
    <xdr:clientData/>
  </xdr:twoCellAnchor>
  <xdr:twoCellAnchor>
    <xdr:from>
      <xdr:col>6</xdr:col>
      <xdr:colOff>182656</xdr:colOff>
      <xdr:row>60</xdr:row>
      <xdr:rowOff>6655</xdr:rowOff>
    </xdr:from>
    <xdr:to>
      <xdr:col>10</xdr:col>
      <xdr:colOff>606415</xdr:colOff>
      <xdr:row>68</xdr:row>
      <xdr:rowOff>47625</xdr:rowOff>
    </xdr:to>
    <xdr:grpSp>
      <xdr:nvGrpSpPr>
        <xdr:cNvPr id="130" name="Group 129">
          <a:hlinkClick xmlns:r="http://schemas.openxmlformats.org/officeDocument/2006/relationships" r:id="rId20"/>
        </xdr:cNvPr>
        <xdr:cNvGrpSpPr/>
      </xdr:nvGrpSpPr>
      <xdr:grpSpPr>
        <a:xfrm>
          <a:off x="3931696" y="11413795"/>
          <a:ext cx="2923119" cy="1504010"/>
          <a:chOff x="3811681" y="13570255"/>
          <a:chExt cx="2862159" cy="1564970"/>
        </a:xfrm>
      </xdr:grpSpPr>
      <xdr:pic>
        <xdr:nvPicPr>
          <xdr:cNvPr id="39" name="Picture 38"/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3902130" y="13814051"/>
            <a:ext cx="2771710" cy="1321174"/>
          </a:xfrm>
          <a:prstGeom prst="rect">
            <a:avLst/>
          </a:prstGeom>
        </xdr:spPr>
      </xdr:pic>
      <xdr:sp macro="" textlink="">
        <xdr:nvSpPr>
          <xdr:cNvPr id="45" name="Rectangle 44"/>
          <xdr:cNvSpPr/>
        </xdr:nvSpPr>
        <xdr:spPr>
          <a:xfrm>
            <a:off x="3811681" y="13570255"/>
            <a:ext cx="1053890" cy="24711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spAutoFit/>
          </a:bodyPr>
          <a:lstStyle/>
          <a:p>
            <a:pPr marL="0" indent="0"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 (5L)</a:t>
            </a:r>
          </a:p>
        </xdr:txBody>
      </xdr:sp>
    </xdr:grpSp>
    <xdr:clientData/>
  </xdr:twoCellAnchor>
  <xdr:twoCellAnchor>
    <xdr:from>
      <xdr:col>11</xdr:col>
      <xdr:colOff>313208</xdr:colOff>
      <xdr:row>60</xdr:row>
      <xdr:rowOff>12819</xdr:rowOff>
    </xdr:from>
    <xdr:to>
      <xdr:col>16</xdr:col>
      <xdr:colOff>130208</xdr:colOff>
      <xdr:row>68</xdr:row>
      <xdr:rowOff>57150</xdr:rowOff>
    </xdr:to>
    <xdr:grpSp>
      <xdr:nvGrpSpPr>
        <xdr:cNvPr id="131" name="Group 130">
          <a:hlinkClick xmlns:r="http://schemas.openxmlformats.org/officeDocument/2006/relationships" r:id="rId22"/>
        </xdr:cNvPr>
        <xdr:cNvGrpSpPr/>
      </xdr:nvGrpSpPr>
      <xdr:grpSpPr>
        <a:xfrm>
          <a:off x="7186448" y="11419959"/>
          <a:ext cx="2941200" cy="1507371"/>
          <a:chOff x="7028333" y="13576419"/>
          <a:chExt cx="2865000" cy="1568331"/>
        </a:xfrm>
      </xdr:grpSpPr>
      <xdr:pic>
        <xdr:nvPicPr>
          <xdr:cNvPr id="40" name="Picture 39"/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7115492" y="13812370"/>
            <a:ext cx="2777841" cy="1332380"/>
          </a:xfrm>
          <a:prstGeom prst="rect">
            <a:avLst/>
          </a:prstGeom>
        </xdr:spPr>
      </xdr:pic>
      <xdr:sp macro="" textlink="">
        <xdr:nvSpPr>
          <xdr:cNvPr id="46" name="Rectangle 45"/>
          <xdr:cNvSpPr>
            <a:spLocks noChangeAspect="1"/>
          </xdr:cNvSpPr>
        </xdr:nvSpPr>
        <xdr:spPr>
          <a:xfrm>
            <a:off x="7028333" y="13576419"/>
            <a:ext cx="1055067" cy="24711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spAutoFit/>
          </a:bodyPr>
          <a:lstStyle/>
          <a:p>
            <a:pPr marL="0" indent="0"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 (5R)</a:t>
            </a:r>
          </a:p>
        </xdr:txBody>
      </xdr:sp>
    </xdr:grpSp>
    <xdr:clientData/>
  </xdr:twoCellAnchor>
  <xdr:twoCellAnchor>
    <xdr:from>
      <xdr:col>1</xdr:col>
      <xdr:colOff>125506</xdr:colOff>
      <xdr:row>71</xdr:row>
      <xdr:rowOff>175371</xdr:rowOff>
    </xdr:from>
    <xdr:to>
      <xdr:col>6</xdr:col>
      <xdr:colOff>542925</xdr:colOff>
      <xdr:row>80</xdr:row>
      <xdr:rowOff>47602</xdr:rowOff>
    </xdr:to>
    <xdr:grpSp>
      <xdr:nvGrpSpPr>
        <xdr:cNvPr id="118" name="Group 117">
          <a:hlinkClick xmlns:r="http://schemas.openxmlformats.org/officeDocument/2006/relationships" r:id="rId24"/>
        </xdr:cNvPr>
        <xdr:cNvGrpSpPr/>
      </xdr:nvGrpSpPr>
      <xdr:grpSpPr>
        <a:xfrm>
          <a:off x="750346" y="13632291"/>
          <a:ext cx="3541619" cy="1518151"/>
          <a:chOff x="735106" y="15977346"/>
          <a:chExt cx="3465419" cy="1777231"/>
        </a:xfrm>
      </xdr:grpSpPr>
      <xdr:pic>
        <xdr:nvPicPr>
          <xdr:cNvPr id="59" name="Picture 58"/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828944" y="16247968"/>
            <a:ext cx="3371581" cy="1506609"/>
          </a:xfrm>
          <a:prstGeom prst="rect">
            <a:avLst/>
          </a:prstGeom>
        </xdr:spPr>
      </xdr:pic>
      <xdr:sp macro="" textlink="">
        <xdr:nvSpPr>
          <xdr:cNvPr id="53" name="Rectangle 52"/>
          <xdr:cNvSpPr/>
        </xdr:nvSpPr>
        <xdr:spPr>
          <a:xfrm>
            <a:off x="735106" y="15977346"/>
            <a:ext cx="1054940" cy="3164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 (1L5R)</a:t>
            </a:r>
          </a:p>
        </xdr:txBody>
      </xdr:sp>
    </xdr:grpSp>
    <xdr:clientData/>
  </xdr:twoCellAnchor>
  <xdr:twoCellAnchor>
    <xdr:from>
      <xdr:col>13</xdr:col>
      <xdr:colOff>458319</xdr:colOff>
      <xdr:row>71</xdr:row>
      <xdr:rowOff>152958</xdr:rowOff>
    </xdr:from>
    <xdr:to>
      <xdr:col>19</xdr:col>
      <xdr:colOff>304800</xdr:colOff>
      <xdr:row>80</xdr:row>
      <xdr:rowOff>46584</xdr:rowOff>
    </xdr:to>
    <xdr:grpSp>
      <xdr:nvGrpSpPr>
        <xdr:cNvPr id="119" name="Group 118">
          <a:hlinkClick xmlns:r="http://schemas.openxmlformats.org/officeDocument/2006/relationships" r:id="rId26"/>
        </xdr:cNvPr>
        <xdr:cNvGrpSpPr/>
      </xdr:nvGrpSpPr>
      <xdr:grpSpPr>
        <a:xfrm>
          <a:off x="8581239" y="13609878"/>
          <a:ext cx="3595521" cy="1539546"/>
          <a:chOff x="4877919" y="15983508"/>
          <a:chExt cx="3504081" cy="1798626"/>
        </a:xfrm>
      </xdr:grpSpPr>
      <xdr:pic>
        <xdr:nvPicPr>
          <xdr:cNvPr id="58" name="Picture 57"/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4987284" y="16255813"/>
            <a:ext cx="3394716" cy="1526321"/>
          </a:xfrm>
          <a:prstGeom prst="rect">
            <a:avLst/>
          </a:prstGeom>
        </xdr:spPr>
      </xdr:pic>
      <xdr:sp macro="" textlink="">
        <xdr:nvSpPr>
          <xdr:cNvPr id="54" name="Rectangle 53"/>
          <xdr:cNvSpPr/>
        </xdr:nvSpPr>
        <xdr:spPr>
          <a:xfrm>
            <a:off x="4877919" y="15983508"/>
            <a:ext cx="1054991" cy="3164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 (5L1R)</a:t>
            </a:r>
          </a:p>
        </xdr:txBody>
      </xdr:sp>
    </xdr:grpSp>
    <xdr:clientData/>
  </xdr:twoCellAnchor>
  <xdr:twoCellAnchor>
    <xdr:from>
      <xdr:col>7</xdr:col>
      <xdr:colOff>273420</xdr:colOff>
      <xdr:row>71</xdr:row>
      <xdr:rowOff>165845</xdr:rowOff>
    </xdr:from>
    <xdr:to>
      <xdr:col>13</xdr:col>
      <xdr:colOff>133350</xdr:colOff>
      <xdr:row>80</xdr:row>
      <xdr:rowOff>57150</xdr:rowOff>
    </xdr:to>
    <xdr:grpSp>
      <xdr:nvGrpSpPr>
        <xdr:cNvPr id="120" name="Group 119">
          <a:hlinkClick xmlns:r="http://schemas.openxmlformats.org/officeDocument/2006/relationships" r:id="rId28"/>
        </xdr:cNvPr>
        <xdr:cNvGrpSpPr/>
      </xdr:nvGrpSpPr>
      <xdr:grpSpPr>
        <a:xfrm>
          <a:off x="4647300" y="13622765"/>
          <a:ext cx="3608970" cy="1537225"/>
          <a:chOff x="8693520" y="15986870"/>
          <a:chExt cx="3517530" cy="1796305"/>
        </a:xfrm>
      </xdr:grpSpPr>
      <xdr:pic>
        <xdr:nvPicPr>
          <xdr:cNvPr id="56" name="Picture 55"/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8821935" y="16255813"/>
            <a:ext cx="3389115" cy="1527362"/>
          </a:xfrm>
          <a:prstGeom prst="rect">
            <a:avLst/>
          </a:prstGeom>
        </xdr:spPr>
      </xdr:pic>
      <xdr:sp macro="" textlink="">
        <xdr:nvSpPr>
          <xdr:cNvPr id="55" name="Rectangle 54"/>
          <xdr:cNvSpPr/>
        </xdr:nvSpPr>
        <xdr:spPr>
          <a:xfrm>
            <a:off x="8693520" y="15986870"/>
            <a:ext cx="1054991" cy="3164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 (3L3R)</a:t>
            </a:r>
          </a:p>
        </xdr:txBody>
      </xdr:sp>
    </xdr:grpSp>
    <xdr:clientData/>
  </xdr:twoCellAnchor>
  <xdr:twoCellAnchor>
    <xdr:from>
      <xdr:col>1</xdr:col>
      <xdr:colOff>143584</xdr:colOff>
      <xdr:row>81</xdr:row>
      <xdr:rowOff>48190</xdr:rowOff>
    </xdr:from>
    <xdr:to>
      <xdr:col>6</xdr:col>
      <xdr:colOff>542928</xdr:colOff>
      <xdr:row>89</xdr:row>
      <xdr:rowOff>119709</xdr:rowOff>
    </xdr:to>
    <xdr:grpSp>
      <xdr:nvGrpSpPr>
        <xdr:cNvPr id="121" name="Group 120">
          <a:hlinkClick xmlns:r="http://schemas.openxmlformats.org/officeDocument/2006/relationships" r:id="rId30"/>
        </xdr:cNvPr>
        <xdr:cNvGrpSpPr/>
      </xdr:nvGrpSpPr>
      <xdr:grpSpPr>
        <a:xfrm>
          <a:off x="768424" y="15333910"/>
          <a:ext cx="3523544" cy="1534559"/>
          <a:chOff x="1138284" y="18098065"/>
          <a:chExt cx="3327129" cy="1595519"/>
        </a:xfrm>
      </xdr:grpSpPr>
      <xdr:pic>
        <xdr:nvPicPr>
          <xdr:cNvPr id="2" name="Picture 1"/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1211145" y="18337643"/>
            <a:ext cx="3254268" cy="1355941"/>
          </a:xfrm>
          <a:prstGeom prst="rect">
            <a:avLst/>
          </a:prstGeom>
        </xdr:spPr>
      </xdr:pic>
      <xdr:sp macro="" textlink="">
        <xdr:nvSpPr>
          <xdr:cNvPr id="57" name="Rectangle 56"/>
          <xdr:cNvSpPr/>
        </xdr:nvSpPr>
        <xdr:spPr>
          <a:xfrm>
            <a:off x="1138284" y="18098065"/>
            <a:ext cx="904167" cy="25948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 (6L)</a:t>
            </a:r>
          </a:p>
        </xdr:txBody>
      </xdr:sp>
    </xdr:grpSp>
    <xdr:clientData/>
  </xdr:twoCellAnchor>
  <xdr:twoCellAnchor>
    <xdr:from>
      <xdr:col>7</xdr:col>
      <xdr:colOff>320487</xdr:colOff>
      <xdr:row>81</xdr:row>
      <xdr:rowOff>29134</xdr:rowOff>
    </xdr:from>
    <xdr:to>
      <xdr:col>13</xdr:col>
      <xdr:colOff>133351</xdr:colOff>
      <xdr:row>89</xdr:row>
      <xdr:rowOff>136869</xdr:rowOff>
    </xdr:to>
    <xdr:grpSp>
      <xdr:nvGrpSpPr>
        <xdr:cNvPr id="22" name="Group 21">
          <a:hlinkClick xmlns:r="http://schemas.openxmlformats.org/officeDocument/2006/relationships" r:id="rId32"/>
        </xdr:cNvPr>
        <xdr:cNvGrpSpPr/>
      </xdr:nvGrpSpPr>
      <xdr:grpSpPr>
        <a:xfrm>
          <a:off x="4694367" y="15314854"/>
          <a:ext cx="3561904" cy="1570775"/>
          <a:chOff x="5292537" y="14373784"/>
          <a:chExt cx="3470464" cy="1631735"/>
        </a:xfrm>
      </xdr:grpSpPr>
      <xdr:pic>
        <xdr:nvPicPr>
          <xdr:cNvPr id="4" name="Picture 3"/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5373335" y="14642727"/>
            <a:ext cx="3389666" cy="1362792"/>
          </a:xfrm>
          <a:prstGeom prst="rect">
            <a:avLst/>
          </a:prstGeom>
        </xdr:spPr>
      </xdr:pic>
      <xdr:sp macro="" textlink="">
        <xdr:nvSpPr>
          <xdr:cNvPr id="60" name="Rectangle 59"/>
          <xdr:cNvSpPr/>
        </xdr:nvSpPr>
        <xdr:spPr>
          <a:xfrm>
            <a:off x="5292537" y="14373784"/>
            <a:ext cx="851790" cy="3164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 (6R)</a:t>
            </a:r>
          </a:p>
        </xdr:txBody>
      </xdr:sp>
    </xdr:grpSp>
    <xdr:clientData/>
  </xdr:twoCellAnchor>
  <xdr:twoCellAnchor>
    <xdr:from>
      <xdr:col>1</xdr:col>
      <xdr:colOff>170890</xdr:colOff>
      <xdr:row>194</xdr:row>
      <xdr:rowOff>116541</xdr:rowOff>
    </xdr:from>
    <xdr:to>
      <xdr:col>15</xdr:col>
      <xdr:colOff>0</xdr:colOff>
      <xdr:row>203</xdr:row>
      <xdr:rowOff>17868</xdr:rowOff>
    </xdr:to>
    <xdr:grpSp>
      <xdr:nvGrpSpPr>
        <xdr:cNvPr id="80" name="Group 79">
          <a:hlinkClick xmlns:r="http://schemas.openxmlformats.org/officeDocument/2006/relationships" r:id="rId34"/>
        </xdr:cNvPr>
        <xdr:cNvGrpSpPr/>
      </xdr:nvGrpSpPr>
      <xdr:grpSpPr>
        <a:xfrm>
          <a:off x="795730" y="36372501"/>
          <a:ext cx="8576870" cy="1547247"/>
          <a:chOff x="799540" y="48132066"/>
          <a:chExt cx="8363510" cy="1615827"/>
        </a:xfrm>
      </xdr:grpSpPr>
      <xdr:pic>
        <xdr:nvPicPr>
          <xdr:cNvPr id="73" name="Picture 72"/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867896" y="48366269"/>
            <a:ext cx="8295154" cy="1381624"/>
          </a:xfrm>
          <a:prstGeom prst="rect">
            <a:avLst/>
          </a:prstGeom>
        </xdr:spPr>
      </xdr:pic>
      <xdr:sp macro="" textlink="">
        <xdr:nvSpPr>
          <xdr:cNvPr id="79" name="Rectangle 78"/>
          <xdr:cNvSpPr/>
        </xdr:nvSpPr>
        <xdr:spPr>
          <a:xfrm>
            <a:off x="799540" y="48132066"/>
            <a:ext cx="1029259" cy="2572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en-GB" sz="10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(7L8R)</a:t>
            </a:r>
          </a:p>
        </xdr:txBody>
      </xdr:sp>
    </xdr:grpSp>
    <xdr:clientData/>
  </xdr:twoCellAnchor>
  <xdr:twoCellAnchor>
    <xdr:from>
      <xdr:col>1</xdr:col>
      <xdr:colOff>180975</xdr:colOff>
      <xdr:row>183</xdr:row>
      <xdr:rowOff>66675</xdr:rowOff>
    </xdr:from>
    <xdr:to>
      <xdr:col>13</xdr:col>
      <xdr:colOff>561975</xdr:colOff>
      <xdr:row>191</xdr:row>
      <xdr:rowOff>157530</xdr:rowOff>
    </xdr:to>
    <xdr:grpSp>
      <xdr:nvGrpSpPr>
        <xdr:cNvPr id="82" name="Group 81">
          <a:hlinkClick xmlns:r="http://schemas.openxmlformats.org/officeDocument/2006/relationships" r:id="rId36"/>
        </xdr:cNvPr>
        <xdr:cNvGrpSpPr/>
      </xdr:nvGrpSpPr>
      <xdr:grpSpPr>
        <a:xfrm>
          <a:off x="805815" y="34272855"/>
          <a:ext cx="7879080" cy="1553895"/>
          <a:chOff x="809625" y="45329475"/>
          <a:chExt cx="7696200" cy="1614855"/>
        </a:xfrm>
      </xdr:grpSpPr>
      <xdr:pic>
        <xdr:nvPicPr>
          <xdr:cNvPr id="74" name="Picture 73"/>
          <xdr:cNvPicPr>
            <a:picLocks noChangeAspect="1"/>
          </xdr:cNvPicPr>
        </xdr:nvPicPr>
        <xdr:blipFill>
          <a:blip xmlns:r="http://schemas.openxmlformats.org/officeDocument/2006/relationships" r:embed="rId37"/>
          <a:stretch>
            <a:fillRect/>
          </a:stretch>
        </xdr:blipFill>
        <xdr:spPr>
          <a:xfrm>
            <a:off x="866775" y="45570402"/>
            <a:ext cx="7639050" cy="1373928"/>
          </a:xfrm>
          <a:prstGeom prst="rect">
            <a:avLst/>
          </a:prstGeom>
        </xdr:spPr>
      </xdr:pic>
      <xdr:sp macro="" textlink="">
        <xdr:nvSpPr>
          <xdr:cNvPr id="81" name="Rectangle 80"/>
          <xdr:cNvSpPr/>
        </xdr:nvSpPr>
        <xdr:spPr>
          <a:xfrm>
            <a:off x="809625" y="45329475"/>
            <a:ext cx="1029259" cy="2572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en-GB" sz="10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(7L7R)</a:t>
            </a:r>
          </a:p>
        </xdr:txBody>
      </xdr:sp>
    </xdr:grpSp>
    <xdr:clientData/>
  </xdr:twoCellAnchor>
  <xdr:twoCellAnchor>
    <xdr:from>
      <xdr:col>1</xdr:col>
      <xdr:colOff>152400</xdr:colOff>
      <xdr:row>171</xdr:row>
      <xdr:rowOff>133350</xdr:rowOff>
    </xdr:from>
    <xdr:to>
      <xdr:col>12</xdr:col>
      <xdr:colOff>133351</xdr:colOff>
      <xdr:row>180</xdr:row>
      <xdr:rowOff>7723</xdr:rowOff>
    </xdr:to>
    <xdr:grpSp>
      <xdr:nvGrpSpPr>
        <xdr:cNvPr id="87" name="Group 86">
          <a:hlinkClick xmlns:r="http://schemas.openxmlformats.org/officeDocument/2006/relationships" r:id="rId38"/>
        </xdr:cNvPr>
        <xdr:cNvGrpSpPr/>
      </xdr:nvGrpSpPr>
      <xdr:grpSpPr>
        <a:xfrm>
          <a:off x="777240" y="32106870"/>
          <a:ext cx="6854191" cy="1520293"/>
          <a:chOff x="781050" y="42338625"/>
          <a:chExt cx="6686551" cy="1588873"/>
        </a:xfrm>
      </xdr:grpSpPr>
      <xdr:pic>
        <xdr:nvPicPr>
          <xdr:cNvPr id="76" name="Picture 75"/>
          <xdr:cNvPicPr>
            <a:picLocks noChangeAspect="1"/>
          </xdr:cNvPicPr>
        </xdr:nvPicPr>
        <xdr:blipFill>
          <a:blip xmlns:r="http://schemas.openxmlformats.org/officeDocument/2006/relationships" r:embed="rId39"/>
          <a:stretch>
            <a:fillRect/>
          </a:stretch>
        </xdr:blipFill>
        <xdr:spPr>
          <a:xfrm>
            <a:off x="863975" y="42562742"/>
            <a:ext cx="6603626" cy="1364756"/>
          </a:xfrm>
          <a:prstGeom prst="rect">
            <a:avLst/>
          </a:prstGeom>
        </xdr:spPr>
      </xdr:pic>
      <xdr:sp macro="" textlink="">
        <xdr:nvSpPr>
          <xdr:cNvPr id="83" name="Rectangle 82"/>
          <xdr:cNvSpPr/>
        </xdr:nvSpPr>
        <xdr:spPr>
          <a:xfrm>
            <a:off x="781050" y="42338625"/>
            <a:ext cx="1029259" cy="2572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en-GB" sz="10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(5L7R)</a:t>
            </a:r>
          </a:p>
        </xdr:txBody>
      </xdr:sp>
    </xdr:grpSp>
    <xdr:clientData/>
  </xdr:twoCellAnchor>
  <xdr:twoCellAnchor>
    <xdr:from>
      <xdr:col>1</xdr:col>
      <xdr:colOff>142875</xdr:colOff>
      <xdr:row>159</xdr:row>
      <xdr:rowOff>104775</xdr:rowOff>
    </xdr:from>
    <xdr:to>
      <xdr:col>11</xdr:col>
      <xdr:colOff>142875</xdr:colOff>
      <xdr:row>167</xdr:row>
      <xdr:rowOff>160799</xdr:rowOff>
    </xdr:to>
    <xdr:grpSp>
      <xdr:nvGrpSpPr>
        <xdr:cNvPr id="88" name="Group 87">
          <a:hlinkClick xmlns:r="http://schemas.openxmlformats.org/officeDocument/2006/relationships" r:id="rId40"/>
        </xdr:cNvPr>
        <xdr:cNvGrpSpPr/>
      </xdr:nvGrpSpPr>
      <xdr:grpSpPr>
        <a:xfrm>
          <a:off x="767715" y="29845635"/>
          <a:ext cx="6248400" cy="1519064"/>
          <a:chOff x="781050" y="39833550"/>
          <a:chExt cx="6096000" cy="1580024"/>
        </a:xfrm>
      </xdr:grpSpPr>
      <xdr:pic>
        <xdr:nvPicPr>
          <xdr:cNvPr id="70" name="Picture 69"/>
          <xdr:cNvPicPr>
            <a:picLocks noChangeAspect="1"/>
          </xdr:cNvPicPr>
        </xdr:nvPicPr>
        <xdr:blipFill>
          <a:blip xmlns:r="http://schemas.openxmlformats.org/officeDocument/2006/relationships" r:embed="rId41"/>
          <a:stretch>
            <a:fillRect/>
          </a:stretch>
        </xdr:blipFill>
        <xdr:spPr>
          <a:xfrm>
            <a:off x="870136" y="40068314"/>
            <a:ext cx="6006914" cy="1345260"/>
          </a:xfrm>
          <a:prstGeom prst="rect">
            <a:avLst/>
          </a:prstGeom>
        </xdr:spPr>
      </xdr:pic>
      <xdr:sp macro="" textlink="">
        <xdr:nvSpPr>
          <xdr:cNvPr id="84" name="Rectangle 83"/>
          <xdr:cNvSpPr/>
        </xdr:nvSpPr>
        <xdr:spPr>
          <a:xfrm>
            <a:off x="781050" y="39833550"/>
            <a:ext cx="1029259" cy="2572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en-GB" sz="10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(6L5R)</a:t>
            </a:r>
          </a:p>
        </xdr:txBody>
      </xdr:sp>
    </xdr:grpSp>
    <xdr:clientData/>
  </xdr:twoCellAnchor>
  <xdr:twoCellAnchor>
    <xdr:from>
      <xdr:col>11</xdr:col>
      <xdr:colOff>514350</xdr:colOff>
      <xdr:row>159</xdr:row>
      <xdr:rowOff>95250</xdr:rowOff>
    </xdr:from>
    <xdr:to>
      <xdr:col>21</xdr:col>
      <xdr:colOff>533400</xdr:colOff>
      <xdr:row>167</xdr:row>
      <xdr:rowOff>172064</xdr:rowOff>
    </xdr:to>
    <xdr:grpSp>
      <xdr:nvGrpSpPr>
        <xdr:cNvPr id="89" name="Group 88">
          <a:hlinkClick xmlns:r="http://schemas.openxmlformats.org/officeDocument/2006/relationships" r:id="rId42"/>
        </xdr:cNvPr>
        <xdr:cNvGrpSpPr/>
      </xdr:nvGrpSpPr>
      <xdr:grpSpPr>
        <a:xfrm>
          <a:off x="7387590" y="29836110"/>
          <a:ext cx="6267450" cy="1539854"/>
          <a:chOff x="8077200" y="39833550"/>
          <a:chExt cx="6115050" cy="1600814"/>
        </a:xfrm>
      </xdr:grpSpPr>
      <xdr:pic>
        <xdr:nvPicPr>
          <xdr:cNvPr id="71" name="Picture 70"/>
          <xdr:cNvPicPr>
            <a:picLocks noChangeAspect="1"/>
          </xdr:cNvPicPr>
        </xdr:nvPicPr>
        <xdr:blipFill>
          <a:blip xmlns:r="http://schemas.openxmlformats.org/officeDocument/2006/relationships" r:embed="rId43"/>
          <a:stretch>
            <a:fillRect/>
          </a:stretch>
        </xdr:blipFill>
        <xdr:spPr>
          <a:xfrm>
            <a:off x="8162925" y="40079519"/>
            <a:ext cx="6029325" cy="1354845"/>
          </a:xfrm>
          <a:prstGeom prst="rect">
            <a:avLst/>
          </a:prstGeom>
        </xdr:spPr>
      </xdr:pic>
      <xdr:sp macro="" textlink="">
        <xdr:nvSpPr>
          <xdr:cNvPr id="85" name="Rectangle 84"/>
          <xdr:cNvSpPr/>
        </xdr:nvSpPr>
        <xdr:spPr>
          <a:xfrm>
            <a:off x="8077200" y="39833550"/>
            <a:ext cx="1029259" cy="2572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en-GB" sz="10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(5L6R)</a:t>
            </a:r>
          </a:p>
        </xdr:txBody>
      </xdr:sp>
    </xdr:grpSp>
    <xdr:clientData/>
  </xdr:twoCellAnchor>
  <xdr:twoCellAnchor>
    <xdr:from>
      <xdr:col>1</xdr:col>
      <xdr:colOff>152400</xdr:colOff>
      <xdr:row>148</xdr:row>
      <xdr:rowOff>95250</xdr:rowOff>
    </xdr:from>
    <xdr:to>
      <xdr:col>10</xdr:col>
      <xdr:colOff>142875</xdr:colOff>
      <xdr:row>156</xdr:row>
      <xdr:rowOff>158430</xdr:rowOff>
    </xdr:to>
    <xdr:grpSp>
      <xdr:nvGrpSpPr>
        <xdr:cNvPr id="91" name="Group 90">
          <a:hlinkClick xmlns:r="http://schemas.openxmlformats.org/officeDocument/2006/relationships" r:id="rId44"/>
        </xdr:cNvPr>
        <xdr:cNvGrpSpPr/>
      </xdr:nvGrpSpPr>
      <xdr:grpSpPr>
        <a:xfrm>
          <a:off x="777240" y="27786330"/>
          <a:ext cx="5614035" cy="1526220"/>
          <a:chOff x="771525" y="36395025"/>
          <a:chExt cx="5476875" cy="1587180"/>
        </a:xfrm>
      </xdr:grpSpPr>
      <xdr:sp macro="" textlink="">
        <xdr:nvSpPr>
          <xdr:cNvPr id="86" name="Rectangle 85"/>
          <xdr:cNvSpPr/>
        </xdr:nvSpPr>
        <xdr:spPr>
          <a:xfrm>
            <a:off x="771525" y="36395025"/>
            <a:ext cx="1029259" cy="2572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en-GB" sz="10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(5L5R)</a:t>
            </a:r>
          </a:p>
        </xdr:txBody>
      </xdr:sp>
      <xdr:pic>
        <xdr:nvPicPr>
          <xdr:cNvPr id="69" name="Picture 68"/>
          <xdr:cNvPicPr>
            <a:picLocks noChangeAspect="1"/>
          </xdr:cNvPicPr>
        </xdr:nvPicPr>
        <xdr:blipFill>
          <a:blip xmlns:r="http://schemas.openxmlformats.org/officeDocument/2006/relationships" r:embed="rId45"/>
          <a:stretch>
            <a:fillRect/>
          </a:stretch>
        </xdr:blipFill>
        <xdr:spPr>
          <a:xfrm>
            <a:off x="846045" y="36635952"/>
            <a:ext cx="5402355" cy="134625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161925</xdr:colOff>
      <xdr:row>136</xdr:row>
      <xdr:rowOff>28575</xdr:rowOff>
    </xdr:from>
    <xdr:to>
      <xdr:col>9</xdr:col>
      <xdr:colOff>238125</xdr:colOff>
      <xdr:row>144</xdr:row>
      <xdr:rowOff>75780</xdr:rowOff>
    </xdr:to>
    <xdr:grpSp>
      <xdr:nvGrpSpPr>
        <xdr:cNvPr id="93" name="Group 92">
          <a:hlinkClick xmlns:r="http://schemas.openxmlformats.org/officeDocument/2006/relationships" r:id="rId46"/>
        </xdr:cNvPr>
        <xdr:cNvGrpSpPr/>
      </xdr:nvGrpSpPr>
      <xdr:grpSpPr>
        <a:xfrm>
          <a:off x="786765" y="25486995"/>
          <a:ext cx="5074920" cy="1510245"/>
          <a:chOff x="771525" y="33813750"/>
          <a:chExt cx="4953000" cy="1571205"/>
        </a:xfrm>
      </xdr:grpSpPr>
      <xdr:pic>
        <xdr:nvPicPr>
          <xdr:cNvPr id="66" name="Picture 65"/>
          <xdr:cNvPicPr>
            <a:picLocks noChangeAspect="1"/>
          </xdr:cNvPicPr>
        </xdr:nvPicPr>
        <xdr:blipFill>
          <a:blip xmlns:r="http://schemas.openxmlformats.org/officeDocument/2006/relationships" r:embed="rId47"/>
          <a:stretch>
            <a:fillRect/>
          </a:stretch>
        </xdr:blipFill>
        <xdr:spPr>
          <a:xfrm>
            <a:off x="850527" y="34039549"/>
            <a:ext cx="4873998" cy="1345406"/>
          </a:xfrm>
          <a:prstGeom prst="rect">
            <a:avLst/>
          </a:prstGeom>
        </xdr:spPr>
      </xdr:pic>
      <xdr:sp macro="" textlink="">
        <xdr:nvSpPr>
          <xdr:cNvPr id="90" name="Rectangle 89"/>
          <xdr:cNvSpPr/>
        </xdr:nvSpPr>
        <xdr:spPr>
          <a:xfrm>
            <a:off x="771525" y="33813750"/>
            <a:ext cx="1029259" cy="2572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en-GB" sz="10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(4L5R)</a:t>
            </a:r>
          </a:p>
        </xdr:txBody>
      </xdr:sp>
    </xdr:grpSp>
    <xdr:clientData/>
  </xdr:twoCellAnchor>
  <xdr:twoCellAnchor>
    <xdr:from>
      <xdr:col>9</xdr:col>
      <xdr:colOff>571500</xdr:colOff>
      <xdr:row>136</xdr:row>
      <xdr:rowOff>19050</xdr:rowOff>
    </xdr:from>
    <xdr:to>
      <xdr:col>18</xdr:col>
      <xdr:colOff>76200</xdr:colOff>
      <xdr:row>144</xdr:row>
      <xdr:rowOff>80065</xdr:rowOff>
    </xdr:to>
    <xdr:grpSp>
      <xdr:nvGrpSpPr>
        <xdr:cNvPr id="94" name="Group 93">
          <a:hlinkClick xmlns:r="http://schemas.openxmlformats.org/officeDocument/2006/relationships" r:id="rId48"/>
        </xdr:cNvPr>
        <xdr:cNvGrpSpPr/>
      </xdr:nvGrpSpPr>
      <xdr:grpSpPr>
        <a:xfrm>
          <a:off x="6195060" y="25477470"/>
          <a:ext cx="5128260" cy="1524055"/>
          <a:chOff x="6648450" y="33813750"/>
          <a:chExt cx="4991100" cy="1585015"/>
        </a:xfrm>
      </xdr:grpSpPr>
      <xdr:pic>
        <xdr:nvPicPr>
          <xdr:cNvPr id="65" name="Picture 64"/>
          <xdr:cNvPicPr>
            <a:picLocks noChangeAspect="1"/>
          </xdr:cNvPicPr>
        </xdr:nvPicPr>
        <xdr:blipFill>
          <a:blip xmlns:r="http://schemas.openxmlformats.org/officeDocument/2006/relationships" r:embed="rId49"/>
          <a:stretch>
            <a:fillRect/>
          </a:stretch>
        </xdr:blipFill>
        <xdr:spPr>
          <a:xfrm>
            <a:off x="6724649" y="34048515"/>
            <a:ext cx="4914901" cy="1350250"/>
          </a:xfrm>
          <a:prstGeom prst="rect">
            <a:avLst/>
          </a:prstGeom>
        </xdr:spPr>
      </xdr:pic>
      <xdr:sp macro="" textlink="">
        <xdr:nvSpPr>
          <xdr:cNvPr id="92" name="Rectangle 91"/>
          <xdr:cNvSpPr/>
        </xdr:nvSpPr>
        <xdr:spPr>
          <a:xfrm>
            <a:off x="6648450" y="33813750"/>
            <a:ext cx="1029259" cy="2572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en-GB" sz="10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(5L4R)</a:t>
            </a:r>
          </a:p>
        </xdr:txBody>
      </xdr:sp>
    </xdr:grpSp>
    <xdr:clientData/>
  </xdr:twoCellAnchor>
  <xdr:twoCellAnchor>
    <xdr:from>
      <xdr:col>1</xdr:col>
      <xdr:colOff>123825</xdr:colOff>
      <xdr:row>126</xdr:row>
      <xdr:rowOff>28575</xdr:rowOff>
    </xdr:from>
    <xdr:to>
      <xdr:col>9</xdr:col>
      <xdr:colOff>194507</xdr:colOff>
      <xdr:row>134</xdr:row>
      <xdr:rowOff>85726</xdr:rowOff>
    </xdr:to>
    <xdr:grpSp>
      <xdr:nvGrpSpPr>
        <xdr:cNvPr id="97" name="Group 96">
          <a:hlinkClick xmlns:r="http://schemas.openxmlformats.org/officeDocument/2006/relationships" r:id="rId50"/>
        </xdr:cNvPr>
        <xdr:cNvGrpSpPr/>
      </xdr:nvGrpSpPr>
      <xdr:grpSpPr>
        <a:xfrm>
          <a:off x="748665" y="23658195"/>
          <a:ext cx="5069402" cy="1520191"/>
          <a:chOff x="733425" y="32032575"/>
          <a:chExt cx="4947482" cy="1581151"/>
        </a:xfrm>
      </xdr:grpSpPr>
      <xdr:pic>
        <xdr:nvPicPr>
          <xdr:cNvPr id="68" name="Picture 67"/>
          <xdr:cNvPicPr>
            <a:picLocks noChangeAspect="1"/>
          </xdr:cNvPicPr>
        </xdr:nvPicPr>
        <xdr:blipFill>
          <a:blip xmlns:r="http://schemas.openxmlformats.org/officeDocument/2006/relationships" r:embed="rId51"/>
          <a:stretch>
            <a:fillRect/>
          </a:stretch>
        </xdr:blipFill>
        <xdr:spPr>
          <a:xfrm>
            <a:off x="816350" y="32272942"/>
            <a:ext cx="4864557" cy="1340784"/>
          </a:xfrm>
          <a:prstGeom prst="rect">
            <a:avLst/>
          </a:prstGeom>
        </xdr:spPr>
      </xdr:pic>
      <xdr:sp macro="" textlink="">
        <xdr:nvSpPr>
          <xdr:cNvPr id="95" name="Rectangle 94"/>
          <xdr:cNvSpPr/>
        </xdr:nvSpPr>
        <xdr:spPr>
          <a:xfrm>
            <a:off x="733425" y="32032575"/>
            <a:ext cx="1029259" cy="2572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en-GB" sz="10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(3L6R)</a:t>
            </a:r>
          </a:p>
        </xdr:txBody>
      </xdr:sp>
    </xdr:grpSp>
    <xdr:clientData/>
  </xdr:twoCellAnchor>
  <xdr:twoCellAnchor>
    <xdr:from>
      <xdr:col>9</xdr:col>
      <xdr:colOff>561975</xdr:colOff>
      <xdr:row>126</xdr:row>
      <xdr:rowOff>19050</xdr:rowOff>
    </xdr:from>
    <xdr:to>
      <xdr:col>18</xdr:col>
      <xdr:colOff>76200</xdr:colOff>
      <xdr:row>134</xdr:row>
      <xdr:rowOff>90703</xdr:rowOff>
    </xdr:to>
    <xdr:grpSp>
      <xdr:nvGrpSpPr>
        <xdr:cNvPr id="98" name="Group 97">
          <a:hlinkClick xmlns:r="http://schemas.openxmlformats.org/officeDocument/2006/relationships" r:id="rId52"/>
        </xdr:cNvPr>
        <xdr:cNvGrpSpPr/>
      </xdr:nvGrpSpPr>
      <xdr:grpSpPr>
        <a:xfrm>
          <a:off x="6185535" y="23648670"/>
          <a:ext cx="5137785" cy="1534693"/>
          <a:chOff x="6677025" y="32032575"/>
          <a:chExt cx="5000625" cy="1595653"/>
        </a:xfrm>
      </xdr:grpSpPr>
      <xdr:pic>
        <xdr:nvPicPr>
          <xdr:cNvPr id="67" name="Picture 66"/>
          <xdr:cNvPicPr>
            <a:picLocks noChangeAspect="1"/>
          </xdr:cNvPicPr>
        </xdr:nvPicPr>
        <xdr:blipFill>
          <a:blip xmlns:r="http://schemas.openxmlformats.org/officeDocument/2006/relationships" r:embed="rId53"/>
          <a:stretch>
            <a:fillRect/>
          </a:stretch>
        </xdr:blipFill>
        <xdr:spPr>
          <a:xfrm>
            <a:off x="6743139" y="32277423"/>
            <a:ext cx="4934511" cy="1350805"/>
          </a:xfrm>
          <a:prstGeom prst="rect">
            <a:avLst/>
          </a:prstGeom>
        </xdr:spPr>
      </xdr:pic>
      <xdr:sp macro="" textlink="">
        <xdr:nvSpPr>
          <xdr:cNvPr id="96" name="Rectangle 95"/>
          <xdr:cNvSpPr/>
        </xdr:nvSpPr>
        <xdr:spPr>
          <a:xfrm>
            <a:off x="6677025" y="32032575"/>
            <a:ext cx="1029259" cy="2572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en-GB" sz="10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(6L3R)</a:t>
            </a:r>
          </a:p>
        </xdr:txBody>
      </xdr:sp>
    </xdr:grpSp>
    <xdr:clientData/>
  </xdr:twoCellAnchor>
  <xdr:twoCellAnchor>
    <xdr:from>
      <xdr:col>9</xdr:col>
      <xdr:colOff>95250</xdr:colOff>
      <xdr:row>114</xdr:row>
      <xdr:rowOff>76200</xdr:rowOff>
    </xdr:from>
    <xdr:to>
      <xdr:col>16</xdr:col>
      <xdr:colOff>333375</xdr:colOff>
      <xdr:row>122</xdr:row>
      <xdr:rowOff>156988</xdr:rowOff>
    </xdr:to>
    <xdr:grpSp>
      <xdr:nvGrpSpPr>
        <xdr:cNvPr id="101" name="Group 100">
          <a:hlinkClick xmlns:r="http://schemas.openxmlformats.org/officeDocument/2006/relationships" r:id="rId54"/>
        </xdr:cNvPr>
        <xdr:cNvGrpSpPr/>
      </xdr:nvGrpSpPr>
      <xdr:grpSpPr>
        <a:xfrm>
          <a:off x="5718810" y="21473160"/>
          <a:ext cx="4612005" cy="1543828"/>
          <a:chOff x="742950" y="26822400"/>
          <a:chExt cx="4505325" cy="1604788"/>
        </a:xfrm>
      </xdr:grpSpPr>
      <xdr:pic>
        <xdr:nvPicPr>
          <xdr:cNvPr id="63" name="Picture 62"/>
          <xdr:cNvPicPr>
            <a:picLocks noChangeAspect="1"/>
          </xdr:cNvPicPr>
        </xdr:nvPicPr>
        <xdr:blipFill>
          <a:blip xmlns:r="http://schemas.openxmlformats.org/officeDocument/2006/relationships" r:embed="rId55"/>
          <a:stretch>
            <a:fillRect/>
          </a:stretch>
        </xdr:blipFill>
        <xdr:spPr>
          <a:xfrm>
            <a:off x="822513" y="27066130"/>
            <a:ext cx="4425762" cy="1361058"/>
          </a:xfrm>
          <a:prstGeom prst="rect">
            <a:avLst/>
          </a:prstGeom>
        </xdr:spPr>
      </xdr:pic>
      <xdr:sp macro="" textlink="">
        <xdr:nvSpPr>
          <xdr:cNvPr id="99" name="Rectangle 98"/>
          <xdr:cNvSpPr/>
        </xdr:nvSpPr>
        <xdr:spPr>
          <a:xfrm>
            <a:off x="742950" y="26822400"/>
            <a:ext cx="1029259" cy="2572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en-GB" sz="10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(5L3R)</a:t>
            </a:r>
          </a:p>
        </xdr:txBody>
      </xdr:sp>
    </xdr:grpSp>
    <xdr:clientData/>
  </xdr:twoCellAnchor>
  <xdr:twoCellAnchor>
    <xdr:from>
      <xdr:col>1</xdr:col>
      <xdr:colOff>152400</xdr:colOff>
      <xdr:row>114</xdr:row>
      <xdr:rowOff>95250</xdr:rowOff>
    </xdr:from>
    <xdr:to>
      <xdr:col>8</xdr:col>
      <xdr:colOff>322820</xdr:colOff>
      <xdr:row>122</xdr:row>
      <xdr:rowOff>145377</xdr:rowOff>
    </xdr:to>
    <xdr:grpSp>
      <xdr:nvGrpSpPr>
        <xdr:cNvPr id="102" name="Group 101">
          <a:hlinkClick xmlns:r="http://schemas.openxmlformats.org/officeDocument/2006/relationships" r:id="rId56"/>
        </xdr:cNvPr>
        <xdr:cNvGrpSpPr/>
      </xdr:nvGrpSpPr>
      <xdr:grpSpPr>
        <a:xfrm>
          <a:off x="777240" y="21492210"/>
          <a:ext cx="4544300" cy="1513167"/>
          <a:chOff x="6886575" y="26841450"/>
          <a:chExt cx="4437620" cy="1574127"/>
        </a:xfrm>
      </xdr:grpSpPr>
      <xdr:pic>
        <xdr:nvPicPr>
          <xdr:cNvPr id="64" name="Picture 63"/>
          <xdr:cNvPicPr>
            <a:picLocks noChangeAspect="1"/>
          </xdr:cNvPicPr>
        </xdr:nvPicPr>
        <xdr:blipFill>
          <a:blip xmlns:r="http://schemas.openxmlformats.org/officeDocument/2006/relationships" r:embed="rId57"/>
          <a:stretch>
            <a:fillRect/>
          </a:stretch>
        </xdr:blipFill>
        <xdr:spPr>
          <a:xfrm>
            <a:off x="6962775" y="27069490"/>
            <a:ext cx="4361420" cy="1346087"/>
          </a:xfrm>
          <a:prstGeom prst="rect">
            <a:avLst/>
          </a:prstGeom>
        </xdr:spPr>
      </xdr:pic>
      <xdr:sp macro="" textlink="">
        <xdr:nvSpPr>
          <xdr:cNvPr id="100" name="Rectangle 99"/>
          <xdr:cNvSpPr/>
        </xdr:nvSpPr>
        <xdr:spPr>
          <a:xfrm>
            <a:off x="6886575" y="26841450"/>
            <a:ext cx="1029259" cy="2572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en-GB" sz="10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(3L5R)</a:t>
            </a:r>
          </a:p>
        </xdr:txBody>
      </xdr:sp>
    </xdr:grpSp>
    <xdr:clientData/>
  </xdr:twoCellAnchor>
  <xdr:twoCellAnchor>
    <xdr:from>
      <xdr:col>1</xdr:col>
      <xdr:colOff>142875</xdr:colOff>
      <xdr:row>103</xdr:row>
      <xdr:rowOff>0</xdr:rowOff>
    </xdr:from>
    <xdr:to>
      <xdr:col>7</xdr:col>
      <xdr:colOff>409576</xdr:colOff>
      <xdr:row>111</xdr:row>
      <xdr:rowOff>53722</xdr:rowOff>
    </xdr:to>
    <xdr:grpSp>
      <xdr:nvGrpSpPr>
        <xdr:cNvPr id="109" name="Group 108">
          <a:hlinkClick xmlns:r="http://schemas.openxmlformats.org/officeDocument/2006/relationships" r:id="rId58"/>
        </xdr:cNvPr>
        <xdr:cNvGrpSpPr/>
      </xdr:nvGrpSpPr>
      <xdr:grpSpPr>
        <a:xfrm>
          <a:off x="767715" y="19347180"/>
          <a:ext cx="4015741" cy="1516762"/>
          <a:chOff x="742950" y="21516975"/>
          <a:chExt cx="3924301" cy="1577722"/>
        </a:xfrm>
      </xdr:grpSpPr>
      <xdr:pic>
        <xdr:nvPicPr>
          <xdr:cNvPr id="31" name="Picture 30"/>
          <xdr:cNvPicPr>
            <a:picLocks noChangeAspect="1"/>
          </xdr:cNvPicPr>
        </xdr:nvPicPr>
        <xdr:blipFill>
          <a:blip xmlns:r="http://schemas.openxmlformats.org/officeDocument/2006/relationships" r:embed="rId59"/>
          <a:stretch>
            <a:fillRect/>
          </a:stretch>
        </xdr:blipFill>
        <xdr:spPr>
          <a:xfrm>
            <a:off x="824193" y="21759583"/>
            <a:ext cx="3843058" cy="1335114"/>
          </a:xfrm>
          <a:prstGeom prst="rect">
            <a:avLst/>
          </a:prstGeom>
        </xdr:spPr>
      </xdr:pic>
      <xdr:sp macro="" textlink="">
        <xdr:nvSpPr>
          <xdr:cNvPr id="103" name="Rectangle 102"/>
          <xdr:cNvSpPr/>
        </xdr:nvSpPr>
        <xdr:spPr>
          <a:xfrm>
            <a:off x="742950" y="21516975"/>
            <a:ext cx="1029259" cy="2572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en-GB" sz="10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(4L3R)</a:t>
            </a:r>
          </a:p>
        </xdr:txBody>
      </xdr:sp>
    </xdr:grpSp>
    <xdr:clientData/>
  </xdr:twoCellAnchor>
  <xdr:twoCellAnchor>
    <xdr:from>
      <xdr:col>15</xdr:col>
      <xdr:colOff>266699</xdr:colOff>
      <xdr:row>93</xdr:row>
      <xdr:rowOff>114300</xdr:rowOff>
    </xdr:from>
    <xdr:to>
      <xdr:col>21</xdr:col>
      <xdr:colOff>514350</xdr:colOff>
      <xdr:row>101</xdr:row>
      <xdr:rowOff>171450</xdr:rowOff>
    </xdr:to>
    <xdr:grpSp>
      <xdr:nvGrpSpPr>
        <xdr:cNvPr id="110" name="Group 109">
          <a:hlinkClick xmlns:r="http://schemas.openxmlformats.org/officeDocument/2006/relationships" r:id="rId60"/>
        </xdr:cNvPr>
        <xdr:cNvGrpSpPr/>
      </xdr:nvGrpSpPr>
      <xdr:grpSpPr>
        <a:xfrm>
          <a:off x="9639299" y="17632680"/>
          <a:ext cx="3996691" cy="1520190"/>
          <a:chOff x="5534024" y="21516975"/>
          <a:chExt cx="4411288" cy="1752600"/>
        </a:xfrm>
      </xdr:grpSpPr>
      <xdr:pic>
        <xdr:nvPicPr>
          <xdr:cNvPr id="32" name="Picture 31"/>
          <xdr:cNvPicPr>
            <a:picLocks noChangeAspect="1"/>
          </xdr:cNvPicPr>
        </xdr:nvPicPr>
        <xdr:blipFill>
          <a:blip xmlns:r="http://schemas.openxmlformats.org/officeDocument/2006/relationships" r:embed="rId61"/>
          <a:stretch>
            <a:fillRect/>
          </a:stretch>
        </xdr:blipFill>
        <xdr:spPr>
          <a:xfrm>
            <a:off x="5604623" y="21780921"/>
            <a:ext cx="4340689" cy="1488654"/>
          </a:xfrm>
          <a:prstGeom prst="rect">
            <a:avLst/>
          </a:prstGeom>
        </xdr:spPr>
      </xdr:pic>
      <xdr:sp macro="" textlink="">
        <xdr:nvSpPr>
          <xdr:cNvPr id="104" name="Rectangle 103"/>
          <xdr:cNvSpPr/>
        </xdr:nvSpPr>
        <xdr:spPr>
          <a:xfrm>
            <a:off x="5534024" y="21516975"/>
            <a:ext cx="1237312" cy="2572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en-GB" sz="10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(3L4R)</a:t>
            </a:r>
          </a:p>
        </xdr:txBody>
      </xdr:sp>
    </xdr:grpSp>
    <xdr:clientData/>
  </xdr:twoCellAnchor>
  <xdr:twoCellAnchor>
    <xdr:from>
      <xdr:col>15</xdr:col>
      <xdr:colOff>276225</xdr:colOff>
      <xdr:row>103</xdr:row>
      <xdr:rowOff>0</xdr:rowOff>
    </xdr:from>
    <xdr:to>
      <xdr:col>21</xdr:col>
      <xdr:colOff>590551</xdr:colOff>
      <xdr:row>111</xdr:row>
      <xdr:rowOff>59897</xdr:rowOff>
    </xdr:to>
    <xdr:grpSp>
      <xdr:nvGrpSpPr>
        <xdr:cNvPr id="111" name="Group 110">
          <a:hlinkClick xmlns:r="http://schemas.openxmlformats.org/officeDocument/2006/relationships" r:id="rId62"/>
        </xdr:cNvPr>
        <xdr:cNvGrpSpPr/>
      </xdr:nvGrpSpPr>
      <xdr:grpSpPr>
        <a:xfrm>
          <a:off x="9648825" y="19347180"/>
          <a:ext cx="4063366" cy="1522937"/>
          <a:chOff x="10220325" y="21516975"/>
          <a:chExt cx="3971926" cy="1583897"/>
        </a:xfrm>
      </xdr:grpSpPr>
      <xdr:pic>
        <xdr:nvPicPr>
          <xdr:cNvPr id="61" name="Picture 60"/>
          <xdr:cNvPicPr>
            <a:picLocks noChangeAspect="1"/>
          </xdr:cNvPicPr>
        </xdr:nvPicPr>
        <xdr:blipFill>
          <a:blip xmlns:r="http://schemas.openxmlformats.org/officeDocument/2006/relationships" r:embed="rId63"/>
          <a:stretch>
            <a:fillRect/>
          </a:stretch>
        </xdr:blipFill>
        <xdr:spPr>
          <a:xfrm>
            <a:off x="10277475" y="21738853"/>
            <a:ext cx="3914776" cy="1362019"/>
          </a:xfrm>
          <a:prstGeom prst="rect">
            <a:avLst/>
          </a:prstGeom>
        </xdr:spPr>
      </xdr:pic>
      <xdr:sp macro="" textlink="">
        <xdr:nvSpPr>
          <xdr:cNvPr id="105" name="Rectangle 104"/>
          <xdr:cNvSpPr/>
        </xdr:nvSpPr>
        <xdr:spPr>
          <a:xfrm>
            <a:off x="10220325" y="21516975"/>
            <a:ext cx="1029259" cy="2572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en-GB" sz="10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(6L1R)</a:t>
            </a:r>
          </a:p>
        </xdr:txBody>
      </xdr:sp>
    </xdr:grpSp>
    <xdr:clientData/>
  </xdr:twoCellAnchor>
  <xdr:twoCellAnchor>
    <xdr:from>
      <xdr:col>1</xdr:col>
      <xdr:colOff>152401</xdr:colOff>
      <xdr:row>93</xdr:row>
      <xdr:rowOff>161925</xdr:rowOff>
    </xdr:from>
    <xdr:to>
      <xdr:col>7</xdr:col>
      <xdr:colOff>419102</xdr:colOff>
      <xdr:row>101</xdr:row>
      <xdr:rowOff>171450</xdr:rowOff>
    </xdr:to>
    <xdr:grpSp>
      <xdr:nvGrpSpPr>
        <xdr:cNvPr id="114" name="Group 113">
          <a:hlinkClick xmlns:r="http://schemas.openxmlformats.org/officeDocument/2006/relationships" r:id="rId64"/>
        </xdr:cNvPr>
        <xdr:cNvGrpSpPr/>
      </xdr:nvGrpSpPr>
      <xdr:grpSpPr>
        <a:xfrm>
          <a:off x="777241" y="17680305"/>
          <a:ext cx="4015741" cy="1472565"/>
          <a:chOff x="10086975" y="23774400"/>
          <a:chExt cx="4209057" cy="1745678"/>
        </a:xfrm>
      </xdr:grpSpPr>
      <xdr:pic>
        <xdr:nvPicPr>
          <xdr:cNvPr id="62" name="Picture 61"/>
          <xdr:cNvPicPr>
            <a:picLocks noChangeAspect="1"/>
          </xdr:cNvPicPr>
        </xdr:nvPicPr>
        <xdr:blipFill>
          <a:blip xmlns:r="http://schemas.openxmlformats.org/officeDocument/2006/relationships" r:embed="rId65"/>
          <a:stretch>
            <a:fillRect/>
          </a:stretch>
        </xdr:blipFill>
        <xdr:spPr>
          <a:xfrm>
            <a:off x="10172700" y="23990114"/>
            <a:ext cx="4123332" cy="1529964"/>
          </a:xfrm>
          <a:prstGeom prst="rect">
            <a:avLst/>
          </a:prstGeom>
        </xdr:spPr>
      </xdr:pic>
      <xdr:sp macro="" textlink="">
        <xdr:nvSpPr>
          <xdr:cNvPr id="106" name="Rectangle 105"/>
          <xdr:cNvSpPr/>
        </xdr:nvSpPr>
        <xdr:spPr>
          <a:xfrm>
            <a:off x="10086975" y="23774400"/>
            <a:ext cx="1123777" cy="2572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en-GB" sz="10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(1L6R)</a:t>
            </a:r>
          </a:p>
        </xdr:txBody>
      </xdr:sp>
    </xdr:grpSp>
    <xdr:clientData/>
  </xdr:twoCellAnchor>
  <xdr:twoCellAnchor>
    <xdr:from>
      <xdr:col>8</xdr:col>
      <xdr:colOff>200025</xdr:colOff>
      <xdr:row>93</xdr:row>
      <xdr:rowOff>171455</xdr:rowOff>
    </xdr:from>
    <xdr:to>
      <xdr:col>14</xdr:col>
      <xdr:colOff>428624</xdr:colOff>
      <xdr:row>101</xdr:row>
      <xdr:rowOff>180981</xdr:rowOff>
    </xdr:to>
    <xdr:grpSp>
      <xdr:nvGrpSpPr>
        <xdr:cNvPr id="113" name="Group 112">
          <a:hlinkClick xmlns:r="http://schemas.openxmlformats.org/officeDocument/2006/relationships" r:id="rId66"/>
        </xdr:cNvPr>
        <xdr:cNvGrpSpPr/>
      </xdr:nvGrpSpPr>
      <xdr:grpSpPr>
        <a:xfrm>
          <a:off x="5198745" y="17689835"/>
          <a:ext cx="3977639" cy="1472566"/>
          <a:chOff x="5410200" y="23785159"/>
          <a:chExt cx="4596160" cy="1732316"/>
        </a:xfrm>
      </xdr:grpSpPr>
      <xdr:pic>
        <xdr:nvPicPr>
          <xdr:cNvPr id="34" name="Picture 33"/>
          <xdr:cNvPicPr>
            <a:picLocks noChangeAspect="1"/>
          </xdr:cNvPicPr>
        </xdr:nvPicPr>
        <xdr:blipFill>
          <a:blip xmlns:r="http://schemas.openxmlformats.org/officeDocument/2006/relationships" r:embed="rId67"/>
          <a:stretch>
            <a:fillRect/>
          </a:stretch>
        </xdr:blipFill>
        <xdr:spPr>
          <a:xfrm>
            <a:off x="5465667" y="23994595"/>
            <a:ext cx="4540693" cy="1522880"/>
          </a:xfrm>
          <a:prstGeom prst="rect">
            <a:avLst/>
          </a:prstGeom>
        </xdr:spPr>
      </xdr:pic>
      <xdr:sp macro="" textlink="">
        <xdr:nvSpPr>
          <xdr:cNvPr id="107" name="Rectangle 106"/>
          <xdr:cNvSpPr/>
        </xdr:nvSpPr>
        <xdr:spPr>
          <a:xfrm>
            <a:off x="5410200" y="23785159"/>
            <a:ext cx="1261690" cy="246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en-GB" sz="10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(2L5R)</a:t>
            </a:r>
          </a:p>
        </xdr:txBody>
      </xdr:sp>
    </xdr:grpSp>
    <xdr:clientData/>
  </xdr:twoCellAnchor>
  <xdr:twoCellAnchor>
    <xdr:from>
      <xdr:col>8</xdr:col>
      <xdr:colOff>190500</xdr:colOff>
      <xdr:row>103</xdr:row>
      <xdr:rowOff>9525</xdr:rowOff>
    </xdr:from>
    <xdr:to>
      <xdr:col>14</xdr:col>
      <xdr:colOff>438151</xdr:colOff>
      <xdr:row>111</xdr:row>
      <xdr:rowOff>55339</xdr:rowOff>
    </xdr:to>
    <xdr:grpSp>
      <xdr:nvGrpSpPr>
        <xdr:cNvPr id="112" name="Group 111">
          <a:hlinkClick xmlns:r="http://schemas.openxmlformats.org/officeDocument/2006/relationships" r:id="rId68"/>
        </xdr:cNvPr>
        <xdr:cNvGrpSpPr/>
      </xdr:nvGrpSpPr>
      <xdr:grpSpPr>
        <a:xfrm>
          <a:off x="5189220" y="19356705"/>
          <a:ext cx="3996691" cy="1508854"/>
          <a:chOff x="771525" y="23774400"/>
          <a:chExt cx="3905251" cy="1569814"/>
        </a:xfrm>
      </xdr:grpSpPr>
      <xdr:pic>
        <xdr:nvPicPr>
          <xdr:cNvPr id="33" name="Picture 32"/>
          <xdr:cNvPicPr>
            <a:picLocks noChangeAspect="1"/>
          </xdr:cNvPicPr>
        </xdr:nvPicPr>
        <xdr:blipFill>
          <a:blip xmlns:r="http://schemas.openxmlformats.org/officeDocument/2006/relationships" r:embed="rId69"/>
          <a:stretch>
            <a:fillRect/>
          </a:stretch>
        </xdr:blipFill>
        <xdr:spPr>
          <a:xfrm>
            <a:off x="831348" y="23988993"/>
            <a:ext cx="3845428" cy="1355221"/>
          </a:xfrm>
          <a:prstGeom prst="rect">
            <a:avLst/>
          </a:prstGeom>
        </xdr:spPr>
      </xdr:pic>
      <xdr:sp macro="" textlink="">
        <xdr:nvSpPr>
          <xdr:cNvPr id="108" name="Rectangle 107"/>
          <xdr:cNvSpPr/>
        </xdr:nvSpPr>
        <xdr:spPr>
          <a:xfrm>
            <a:off x="771525" y="23774400"/>
            <a:ext cx="1029259" cy="2572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en-GB" sz="10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(5L2R)</a:t>
            </a:r>
          </a:p>
        </xdr:txBody>
      </xdr:sp>
    </xdr:grpSp>
    <xdr:clientData/>
  </xdr:twoCellAnchor>
  <xdr:twoCellAnchor>
    <xdr:from>
      <xdr:col>14</xdr:col>
      <xdr:colOff>390525</xdr:colOff>
      <xdr:row>30</xdr:row>
      <xdr:rowOff>0</xdr:rowOff>
    </xdr:from>
    <xdr:to>
      <xdr:col>18</xdr:col>
      <xdr:colOff>323851</xdr:colOff>
      <xdr:row>38</xdr:row>
      <xdr:rowOff>56538</xdr:rowOff>
    </xdr:to>
    <xdr:grpSp>
      <xdr:nvGrpSpPr>
        <xdr:cNvPr id="16" name="Group 15">
          <a:hlinkClick xmlns:r="http://schemas.openxmlformats.org/officeDocument/2006/relationships" r:id="rId70"/>
        </xdr:cNvPr>
        <xdr:cNvGrpSpPr/>
      </xdr:nvGrpSpPr>
      <xdr:grpSpPr>
        <a:xfrm>
          <a:off x="9138285" y="5882640"/>
          <a:ext cx="2432686" cy="1519578"/>
          <a:chOff x="8924925" y="6096000"/>
          <a:chExt cx="2371726" cy="1580538"/>
        </a:xfrm>
      </xdr:grpSpPr>
      <xdr:pic>
        <xdr:nvPicPr>
          <xdr:cNvPr id="12" name="Picture 11"/>
          <xdr:cNvPicPr>
            <a:picLocks noChangeAspect="1"/>
          </xdr:cNvPicPr>
        </xdr:nvPicPr>
        <xdr:blipFill>
          <a:blip xmlns:r="http://schemas.openxmlformats.org/officeDocument/2006/relationships" r:embed="rId71"/>
          <a:stretch>
            <a:fillRect/>
          </a:stretch>
        </xdr:blipFill>
        <xdr:spPr>
          <a:xfrm>
            <a:off x="8991601" y="6315075"/>
            <a:ext cx="2305050" cy="1361463"/>
          </a:xfrm>
          <a:prstGeom prst="rect">
            <a:avLst/>
          </a:prstGeom>
        </xdr:spPr>
      </xdr:pic>
      <xdr:sp macro="" textlink="">
        <xdr:nvSpPr>
          <xdr:cNvPr id="116" name="Rectangle 115"/>
          <xdr:cNvSpPr>
            <a:spLocks noChangeAspect="1"/>
          </xdr:cNvSpPr>
        </xdr:nvSpPr>
        <xdr:spPr>
          <a:xfrm>
            <a:off x="8924925" y="6096000"/>
            <a:ext cx="1055268" cy="24711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marL="0" indent="0"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 (4L)</a:t>
            </a:r>
          </a:p>
        </xdr:txBody>
      </xdr:sp>
    </xdr:grpSp>
    <xdr:clientData/>
  </xdr:twoCellAnchor>
  <xdr:twoCellAnchor>
    <xdr:from>
      <xdr:col>19</xdr:col>
      <xdr:colOff>66675</xdr:colOff>
      <xdr:row>30</xdr:row>
      <xdr:rowOff>0</xdr:rowOff>
    </xdr:from>
    <xdr:to>
      <xdr:col>23</xdr:col>
      <xdr:colOff>5725</xdr:colOff>
      <xdr:row>38</xdr:row>
      <xdr:rowOff>57151</xdr:rowOff>
    </xdr:to>
    <xdr:grpSp>
      <xdr:nvGrpSpPr>
        <xdr:cNvPr id="19" name="Group 18">
          <a:hlinkClick xmlns:r="http://schemas.openxmlformats.org/officeDocument/2006/relationships" r:id="rId72"/>
        </xdr:cNvPr>
        <xdr:cNvGrpSpPr/>
      </xdr:nvGrpSpPr>
      <xdr:grpSpPr>
        <a:xfrm>
          <a:off x="11938635" y="5882640"/>
          <a:ext cx="2438410" cy="1520191"/>
          <a:chOff x="11649075" y="6096000"/>
          <a:chExt cx="2377450" cy="1581151"/>
        </a:xfrm>
      </xdr:grpSpPr>
      <xdr:pic>
        <xdr:nvPicPr>
          <xdr:cNvPr id="13" name="Picture 12"/>
          <xdr:cNvPicPr>
            <a:picLocks noChangeAspect="1"/>
          </xdr:cNvPicPr>
        </xdr:nvPicPr>
        <xdr:blipFill>
          <a:blip xmlns:r="http://schemas.openxmlformats.org/officeDocument/2006/relationships" r:embed="rId73"/>
          <a:stretch>
            <a:fillRect/>
          </a:stretch>
        </xdr:blipFill>
        <xdr:spPr>
          <a:xfrm>
            <a:off x="11715750" y="6305551"/>
            <a:ext cx="2310775" cy="1371600"/>
          </a:xfrm>
          <a:prstGeom prst="rect">
            <a:avLst/>
          </a:prstGeom>
        </xdr:spPr>
      </xdr:pic>
      <xdr:sp macro="" textlink="">
        <xdr:nvSpPr>
          <xdr:cNvPr id="122" name="Rectangle 121"/>
          <xdr:cNvSpPr>
            <a:spLocks noChangeAspect="1"/>
          </xdr:cNvSpPr>
        </xdr:nvSpPr>
        <xdr:spPr>
          <a:xfrm>
            <a:off x="11649075" y="6096000"/>
            <a:ext cx="1055268" cy="24711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marL="0" indent="0"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 (4R)</a:t>
            </a:r>
          </a:p>
        </xdr:txBody>
      </xdr:sp>
    </xdr:grpSp>
    <xdr:clientData/>
  </xdr:twoCellAnchor>
  <xdr:twoCellAnchor>
    <xdr:from>
      <xdr:col>1</xdr:col>
      <xdr:colOff>152400</xdr:colOff>
      <xdr:row>39</xdr:row>
      <xdr:rowOff>9525</xdr:rowOff>
    </xdr:from>
    <xdr:to>
      <xdr:col>5</xdr:col>
      <xdr:colOff>49754</xdr:colOff>
      <xdr:row>47</xdr:row>
      <xdr:rowOff>38101</xdr:rowOff>
    </xdr:to>
    <xdr:grpSp>
      <xdr:nvGrpSpPr>
        <xdr:cNvPr id="14" name="Group 13">
          <a:hlinkClick xmlns:r="http://schemas.openxmlformats.org/officeDocument/2006/relationships" r:id="rId74"/>
        </xdr:cNvPr>
        <xdr:cNvGrpSpPr/>
      </xdr:nvGrpSpPr>
      <xdr:grpSpPr>
        <a:xfrm>
          <a:off x="777240" y="7538085"/>
          <a:ext cx="2396714" cy="1491616"/>
          <a:chOff x="762000" y="7820025"/>
          <a:chExt cx="2335754" cy="1552576"/>
        </a:xfrm>
      </xdr:grpSpPr>
      <xdr:pic>
        <xdr:nvPicPr>
          <xdr:cNvPr id="117" name="Picture 116"/>
          <xdr:cNvPicPr>
            <a:picLocks noChangeAspect="1"/>
          </xdr:cNvPicPr>
        </xdr:nvPicPr>
        <xdr:blipFill>
          <a:blip xmlns:r="http://schemas.openxmlformats.org/officeDocument/2006/relationships" r:embed="rId75"/>
          <a:stretch>
            <a:fillRect/>
          </a:stretch>
        </xdr:blipFill>
        <xdr:spPr>
          <a:xfrm>
            <a:off x="847725" y="8058151"/>
            <a:ext cx="2250029" cy="1314450"/>
          </a:xfrm>
          <a:prstGeom prst="rect">
            <a:avLst/>
          </a:prstGeom>
        </xdr:spPr>
      </xdr:pic>
      <xdr:sp macro="" textlink="">
        <xdr:nvSpPr>
          <xdr:cNvPr id="123" name="Rectangle 122"/>
          <xdr:cNvSpPr/>
        </xdr:nvSpPr>
        <xdr:spPr>
          <a:xfrm>
            <a:off x="762000" y="7820025"/>
            <a:ext cx="1809750" cy="24711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marL="0" indent="0" algn="l"/>
            <a:r>
              <a:rPr lang="en-GB" sz="1000" b="1">
                <a:solidFill>
                  <a:srgbClr val="FF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 (2L2R)</a:t>
            </a:r>
            <a:r>
              <a:rPr lang="th-TH" sz="1000" b="1">
                <a:solidFill>
                  <a:srgbClr val="FF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แบบแบ่งบาน</a:t>
            </a:r>
            <a:endParaRPr lang="en-GB" sz="1000" b="1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</xdr:grpSp>
    <xdr:clientData/>
  </xdr:twoCellAnchor>
  <xdr:twoCellAnchor>
    <xdr:from>
      <xdr:col>13</xdr:col>
      <xdr:colOff>466725</xdr:colOff>
      <xdr:row>81</xdr:row>
      <xdr:rowOff>9525</xdr:rowOff>
    </xdr:from>
    <xdr:to>
      <xdr:col>19</xdr:col>
      <xdr:colOff>342901</xdr:colOff>
      <xdr:row>89</xdr:row>
      <xdr:rowOff>146538</xdr:rowOff>
    </xdr:to>
    <xdr:grpSp>
      <xdr:nvGrpSpPr>
        <xdr:cNvPr id="15" name="Group 14">
          <a:hlinkClick xmlns:r="http://schemas.openxmlformats.org/officeDocument/2006/relationships" r:id="rId76"/>
        </xdr:cNvPr>
        <xdr:cNvGrpSpPr/>
      </xdr:nvGrpSpPr>
      <xdr:grpSpPr>
        <a:xfrm>
          <a:off x="8589645" y="15295245"/>
          <a:ext cx="3625216" cy="1600053"/>
          <a:chOff x="8391525" y="15897225"/>
          <a:chExt cx="3533776" cy="1661013"/>
        </a:xfrm>
      </xdr:grpSpPr>
      <xdr:pic>
        <xdr:nvPicPr>
          <xdr:cNvPr id="125" name="Picture 124"/>
          <xdr:cNvPicPr>
            <a:picLocks noChangeAspect="1"/>
          </xdr:cNvPicPr>
        </xdr:nvPicPr>
        <xdr:blipFill>
          <a:blip xmlns:r="http://schemas.openxmlformats.org/officeDocument/2006/relationships" r:embed="rId77"/>
          <a:stretch>
            <a:fillRect/>
          </a:stretch>
        </xdr:blipFill>
        <xdr:spPr>
          <a:xfrm>
            <a:off x="8496301" y="16173450"/>
            <a:ext cx="3429000" cy="1384788"/>
          </a:xfrm>
          <a:prstGeom prst="rect">
            <a:avLst/>
          </a:prstGeom>
        </xdr:spPr>
      </xdr:pic>
      <xdr:sp macro="" textlink="">
        <xdr:nvSpPr>
          <xdr:cNvPr id="139" name="Rectangle 138"/>
          <xdr:cNvSpPr/>
        </xdr:nvSpPr>
        <xdr:spPr>
          <a:xfrm>
            <a:off x="8391525" y="15897225"/>
            <a:ext cx="1933575" cy="2828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l"/>
            <a:r>
              <a:rPr lang="en-GB" sz="1000" b="1">
                <a:solidFill>
                  <a:srgbClr val="FF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 (3L3R)</a:t>
            </a:r>
            <a:r>
              <a:rPr lang="th-TH" sz="1000" b="1">
                <a:solidFill>
                  <a:srgbClr val="FF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แบ่งบาน</a:t>
            </a:r>
            <a:endParaRPr lang="en-GB" sz="1000" b="1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</xdr:grpSp>
    <xdr:clientData/>
  </xdr:twoCellAnchor>
  <xdr:twoCellAnchor>
    <xdr:from>
      <xdr:col>17</xdr:col>
      <xdr:colOff>9525</xdr:colOff>
      <xdr:row>114</xdr:row>
      <xdr:rowOff>85725</xdr:rowOff>
    </xdr:from>
    <xdr:to>
      <xdr:col>23</xdr:col>
      <xdr:colOff>447675</xdr:colOff>
      <xdr:row>122</xdr:row>
      <xdr:rowOff>151906</xdr:rowOff>
    </xdr:to>
    <xdr:grpSp>
      <xdr:nvGrpSpPr>
        <xdr:cNvPr id="23" name="Group 22">
          <a:hlinkClick xmlns:r="http://schemas.openxmlformats.org/officeDocument/2006/relationships" r:id="rId78"/>
        </xdr:cNvPr>
        <xdr:cNvGrpSpPr/>
      </xdr:nvGrpSpPr>
      <xdr:grpSpPr>
        <a:xfrm>
          <a:off x="10631805" y="21482685"/>
          <a:ext cx="4187190" cy="1529221"/>
          <a:chOff x="10372725" y="22336125"/>
          <a:chExt cx="4095750" cy="1590181"/>
        </a:xfrm>
      </xdr:grpSpPr>
      <xdr:pic>
        <xdr:nvPicPr>
          <xdr:cNvPr id="140" name="Picture 139"/>
          <xdr:cNvPicPr>
            <a:picLocks noChangeAspect="1"/>
          </xdr:cNvPicPr>
        </xdr:nvPicPr>
        <xdr:blipFill>
          <a:blip xmlns:r="http://schemas.openxmlformats.org/officeDocument/2006/relationships" r:embed="rId79"/>
          <a:stretch>
            <a:fillRect/>
          </a:stretch>
        </xdr:blipFill>
        <xdr:spPr>
          <a:xfrm>
            <a:off x="10458450" y="22574250"/>
            <a:ext cx="4010025" cy="1352056"/>
          </a:xfrm>
          <a:prstGeom prst="rect">
            <a:avLst/>
          </a:prstGeom>
        </xdr:spPr>
      </xdr:pic>
      <xdr:sp macro="" textlink="">
        <xdr:nvSpPr>
          <xdr:cNvPr id="141" name="Rectangle 140"/>
          <xdr:cNvSpPr/>
        </xdr:nvSpPr>
        <xdr:spPr>
          <a:xfrm>
            <a:off x="10372725" y="22336125"/>
            <a:ext cx="1029259" cy="2572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000" b="1">
                <a:solidFill>
                  <a:srgbClr val="FF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en-GB" sz="1000" b="1" baseline="0">
                <a:solidFill>
                  <a:srgbClr val="FF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000" b="1">
                <a:solidFill>
                  <a:srgbClr val="FF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th-TH" sz="1000" b="1">
                <a:solidFill>
                  <a:srgbClr val="FF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4</a:t>
            </a:r>
            <a:r>
              <a:rPr lang="en-GB" sz="1000" b="1">
                <a:solidFill>
                  <a:srgbClr val="FF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L</a:t>
            </a:r>
            <a:r>
              <a:rPr lang="th-TH" sz="1000" b="1">
                <a:solidFill>
                  <a:srgbClr val="FF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4</a:t>
            </a:r>
            <a:r>
              <a:rPr lang="en-GB" sz="1000" b="1">
                <a:solidFill>
                  <a:srgbClr val="FF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R)</a:t>
            </a:r>
          </a:p>
        </xdr:txBody>
      </xdr:sp>
    </xdr:grpSp>
    <xdr:clientData/>
  </xdr:twoCellAnchor>
  <xdr:twoCellAnchor>
    <xdr:from>
      <xdr:col>12</xdr:col>
      <xdr:colOff>552451</xdr:colOff>
      <xdr:row>171</xdr:row>
      <xdr:rowOff>123825</xdr:rowOff>
    </xdr:from>
    <xdr:to>
      <xdr:col>23</xdr:col>
      <xdr:colOff>495301</xdr:colOff>
      <xdr:row>180</xdr:row>
      <xdr:rowOff>21915</xdr:rowOff>
    </xdr:to>
    <xdr:grpSp>
      <xdr:nvGrpSpPr>
        <xdr:cNvPr id="26" name="Group 25">
          <a:hlinkClick xmlns:r="http://schemas.openxmlformats.org/officeDocument/2006/relationships" r:id="rId80"/>
        </xdr:cNvPr>
        <xdr:cNvGrpSpPr/>
      </xdr:nvGrpSpPr>
      <xdr:grpSpPr>
        <a:xfrm>
          <a:off x="8050531" y="32097345"/>
          <a:ext cx="6816090" cy="1544010"/>
          <a:chOff x="7867651" y="33385125"/>
          <a:chExt cx="6648450" cy="1612590"/>
        </a:xfrm>
      </xdr:grpSpPr>
      <xdr:pic>
        <xdr:nvPicPr>
          <xdr:cNvPr id="25" name="Picture 24"/>
          <xdr:cNvPicPr>
            <a:picLocks noChangeAspect="1"/>
          </xdr:cNvPicPr>
        </xdr:nvPicPr>
        <xdr:blipFill>
          <a:blip xmlns:r="http://schemas.openxmlformats.org/officeDocument/2006/relationships" r:embed="rId81"/>
          <a:stretch>
            <a:fillRect/>
          </a:stretch>
        </xdr:blipFill>
        <xdr:spPr>
          <a:xfrm>
            <a:off x="7867651" y="33613725"/>
            <a:ext cx="6648450" cy="1383990"/>
          </a:xfrm>
          <a:prstGeom prst="rect">
            <a:avLst/>
          </a:prstGeom>
        </xdr:spPr>
      </xdr:pic>
      <xdr:sp macro="" textlink="">
        <xdr:nvSpPr>
          <xdr:cNvPr id="142" name="Rectangle 141"/>
          <xdr:cNvSpPr/>
        </xdr:nvSpPr>
        <xdr:spPr>
          <a:xfrm>
            <a:off x="7877175" y="33385125"/>
            <a:ext cx="1029259" cy="2572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en-GB" sz="10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(6L6R)</a:t>
            </a:r>
          </a:p>
        </xdr:txBody>
      </xdr:sp>
    </xdr:grpSp>
    <xdr:clientData/>
  </xdr:twoCellAnchor>
  <xdr:twoCellAnchor>
    <xdr:from>
      <xdr:col>24</xdr:col>
      <xdr:colOff>9525</xdr:colOff>
      <xdr:row>114</xdr:row>
      <xdr:rowOff>85725</xdr:rowOff>
    </xdr:from>
    <xdr:to>
      <xdr:col>30</xdr:col>
      <xdr:colOff>476250</xdr:colOff>
      <xdr:row>122</xdr:row>
      <xdr:rowOff>167645</xdr:rowOff>
    </xdr:to>
    <xdr:grpSp>
      <xdr:nvGrpSpPr>
        <xdr:cNvPr id="28" name="Group 27">
          <a:hlinkClick xmlns:r="http://schemas.openxmlformats.org/officeDocument/2006/relationships" r:id="rId82"/>
        </xdr:cNvPr>
        <xdr:cNvGrpSpPr/>
      </xdr:nvGrpSpPr>
      <xdr:grpSpPr>
        <a:xfrm>
          <a:off x="15005685" y="21482685"/>
          <a:ext cx="4215765" cy="1544960"/>
          <a:chOff x="14639925" y="22336125"/>
          <a:chExt cx="4124325" cy="1605920"/>
        </a:xfrm>
      </xdr:grpSpPr>
      <xdr:pic>
        <xdr:nvPicPr>
          <xdr:cNvPr id="143" name="Picture 142"/>
          <xdr:cNvPicPr>
            <a:picLocks noChangeAspect="1"/>
          </xdr:cNvPicPr>
        </xdr:nvPicPr>
        <xdr:blipFill>
          <a:blip xmlns:r="http://schemas.openxmlformats.org/officeDocument/2006/relationships" r:embed="rId83"/>
          <a:stretch>
            <a:fillRect/>
          </a:stretch>
        </xdr:blipFill>
        <xdr:spPr>
          <a:xfrm>
            <a:off x="14706600" y="22574250"/>
            <a:ext cx="4057650" cy="1367795"/>
          </a:xfrm>
          <a:prstGeom prst="rect">
            <a:avLst/>
          </a:prstGeom>
        </xdr:spPr>
      </xdr:pic>
      <xdr:sp macro="" textlink="">
        <xdr:nvSpPr>
          <xdr:cNvPr id="144" name="Rectangle 143"/>
          <xdr:cNvSpPr/>
        </xdr:nvSpPr>
        <xdr:spPr>
          <a:xfrm>
            <a:off x="14639925" y="22336125"/>
            <a:ext cx="1029259" cy="2572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en-GB" sz="10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th-TH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8</a:t>
            </a:r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R)</a:t>
            </a:r>
          </a:p>
        </xdr:txBody>
      </xdr:sp>
    </xdr:grpSp>
    <xdr:clientData/>
  </xdr:twoCellAnchor>
  <xdr:twoCellAnchor>
    <xdr:from>
      <xdr:col>8</xdr:col>
      <xdr:colOff>257174</xdr:colOff>
      <xdr:row>18</xdr:row>
      <xdr:rowOff>0</xdr:rowOff>
    </xdr:from>
    <xdr:to>
      <xdr:col>11</xdr:col>
      <xdr:colOff>321412</xdr:colOff>
      <xdr:row>26</xdr:row>
      <xdr:rowOff>114300</xdr:rowOff>
    </xdr:to>
    <xdr:grpSp>
      <xdr:nvGrpSpPr>
        <xdr:cNvPr id="30" name="Group 29">
          <a:hlinkClick xmlns:r="http://schemas.openxmlformats.org/officeDocument/2006/relationships" r:id="rId84"/>
        </xdr:cNvPr>
        <xdr:cNvGrpSpPr/>
      </xdr:nvGrpSpPr>
      <xdr:grpSpPr>
        <a:xfrm>
          <a:off x="5255894" y="3649980"/>
          <a:ext cx="1938758" cy="1577340"/>
          <a:chOff x="5133974" y="3771900"/>
          <a:chExt cx="1893038" cy="1638300"/>
        </a:xfrm>
      </xdr:grpSpPr>
      <xdr:pic>
        <xdr:nvPicPr>
          <xdr:cNvPr id="145" name="Picture 144"/>
          <xdr:cNvPicPr>
            <a:picLocks noChangeAspect="1"/>
          </xdr:cNvPicPr>
        </xdr:nvPicPr>
        <xdr:blipFill>
          <a:blip xmlns:r="http://schemas.openxmlformats.org/officeDocument/2006/relationships" r:embed="rId85"/>
          <a:stretch>
            <a:fillRect/>
          </a:stretch>
        </xdr:blipFill>
        <xdr:spPr>
          <a:xfrm>
            <a:off x="5210175" y="4029075"/>
            <a:ext cx="1816837" cy="1381125"/>
          </a:xfrm>
          <a:prstGeom prst="rect">
            <a:avLst/>
          </a:prstGeom>
        </xdr:spPr>
      </xdr:pic>
      <xdr:sp macro="" textlink="">
        <xdr:nvSpPr>
          <xdr:cNvPr id="147" name="Rectangle 146"/>
          <xdr:cNvSpPr/>
        </xdr:nvSpPr>
        <xdr:spPr>
          <a:xfrm>
            <a:off x="5133974" y="3771900"/>
            <a:ext cx="1057275" cy="24711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marL="0" indent="0"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 (2L1R)</a:t>
            </a:r>
          </a:p>
        </xdr:txBody>
      </xdr:sp>
    </xdr:grpSp>
    <xdr:clientData/>
  </xdr:twoCellAnchor>
  <xdr:twoCellAnchor>
    <xdr:from>
      <xdr:col>12</xdr:col>
      <xdr:colOff>19049</xdr:colOff>
      <xdr:row>18</xdr:row>
      <xdr:rowOff>0</xdr:rowOff>
    </xdr:from>
    <xdr:to>
      <xdr:col>15</xdr:col>
      <xdr:colOff>61061</xdr:colOff>
      <xdr:row>26</xdr:row>
      <xdr:rowOff>114300</xdr:rowOff>
    </xdr:to>
    <xdr:grpSp>
      <xdr:nvGrpSpPr>
        <xdr:cNvPr id="35" name="Group 34">
          <a:hlinkClick xmlns:r="http://schemas.openxmlformats.org/officeDocument/2006/relationships" r:id="rId86"/>
        </xdr:cNvPr>
        <xdr:cNvGrpSpPr/>
      </xdr:nvGrpSpPr>
      <xdr:grpSpPr>
        <a:xfrm>
          <a:off x="7517129" y="3649980"/>
          <a:ext cx="1916532" cy="1577340"/>
          <a:chOff x="7334249" y="3771900"/>
          <a:chExt cx="1870812" cy="1638300"/>
        </a:xfrm>
      </xdr:grpSpPr>
      <xdr:pic>
        <xdr:nvPicPr>
          <xdr:cNvPr id="146" name="Picture 145"/>
          <xdr:cNvPicPr>
            <a:picLocks noChangeAspect="1"/>
          </xdr:cNvPicPr>
        </xdr:nvPicPr>
        <xdr:blipFill>
          <a:blip xmlns:r="http://schemas.openxmlformats.org/officeDocument/2006/relationships" r:embed="rId87"/>
          <a:stretch>
            <a:fillRect/>
          </a:stretch>
        </xdr:blipFill>
        <xdr:spPr>
          <a:xfrm>
            <a:off x="7429500" y="4048125"/>
            <a:ext cx="1775561" cy="1362075"/>
          </a:xfrm>
          <a:prstGeom prst="rect">
            <a:avLst/>
          </a:prstGeom>
        </xdr:spPr>
      </xdr:pic>
      <xdr:sp macro="" textlink="">
        <xdr:nvSpPr>
          <xdr:cNvPr id="148" name="Rectangle 147"/>
          <xdr:cNvSpPr/>
        </xdr:nvSpPr>
        <xdr:spPr>
          <a:xfrm>
            <a:off x="7334249" y="3771900"/>
            <a:ext cx="1057275" cy="24711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marL="0" indent="0"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 (1L2R)</a:t>
            </a:r>
          </a:p>
        </xdr:txBody>
      </xdr:sp>
    </xdr:grpSp>
    <xdr:clientData/>
  </xdr:twoCellAnchor>
  <xdr:twoCellAnchor>
    <xdr:from>
      <xdr:col>1</xdr:col>
      <xdr:colOff>155555</xdr:colOff>
      <xdr:row>60</xdr:row>
      <xdr:rowOff>23238</xdr:rowOff>
    </xdr:from>
    <xdr:to>
      <xdr:col>5</xdr:col>
      <xdr:colOff>561975</xdr:colOff>
      <xdr:row>68</xdr:row>
      <xdr:rowOff>35348</xdr:rowOff>
    </xdr:to>
    <xdr:grpSp>
      <xdr:nvGrpSpPr>
        <xdr:cNvPr id="47" name="Group 46">
          <a:hlinkClick xmlns:r="http://schemas.openxmlformats.org/officeDocument/2006/relationships" r:id="rId88"/>
        </xdr:cNvPr>
        <xdr:cNvGrpSpPr/>
      </xdr:nvGrpSpPr>
      <xdr:grpSpPr>
        <a:xfrm>
          <a:off x="780395" y="11430378"/>
          <a:ext cx="2905780" cy="1475150"/>
          <a:chOff x="765155" y="11872338"/>
          <a:chExt cx="2844820" cy="1536110"/>
        </a:xfrm>
      </xdr:grpSpPr>
      <xdr:sp macro="" textlink="">
        <xdr:nvSpPr>
          <xdr:cNvPr id="44" name="Rectangle 43"/>
          <xdr:cNvSpPr/>
        </xdr:nvSpPr>
        <xdr:spPr>
          <a:xfrm>
            <a:off x="765155" y="11872338"/>
            <a:ext cx="1042490" cy="24711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none" rtlCol="0" anchor="ctr">
            <a:noAutofit/>
          </a:bodyPr>
          <a:lstStyle/>
          <a:p>
            <a:pPr marL="0" indent="0"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 (4L1R)</a:t>
            </a:r>
          </a:p>
        </xdr:txBody>
      </xdr:sp>
      <xdr:pic>
        <xdr:nvPicPr>
          <xdr:cNvPr id="149" name="Picture 148"/>
          <xdr:cNvPicPr>
            <a:picLocks noChangeAspect="1"/>
          </xdr:cNvPicPr>
        </xdr:nvPicPr>
        <xdr:blipFill>
          <a:blip xmlns:r="http://schemas.openxmlformats.org/officeDocument/2006/relationships" r:embed="rId89"/>
          <a:stretch>
            <a:fillRect/>
          </a:stretch>
        </xdr:blipFill>
        <xdr:spPr>
          <a:xfrm>
            <a:off x="828675" y="12115800"/>
            <a:ext cx="2781300" cy="1292648"/>
          </a:xfrm>
          <a:prstGeom prst="rect">
            <a:avLst/>
          </a:prstGeom>
        </xdr:spPr>
      </xdr:pic>
    </xdr:grpSp>
    <xdr:clientData/>
  </xdr:twoCellAnchor>
  <xdr:twoCellAnchor>
    <xdr:from>
      <xdr:col>22</xdr:col>
      <xdr:colOff>285750</xdr:colOff>
      <xdr:row>93</xdr:row>
      <xdr:rowOff>123825</xdr:rowOff>
    </xdr:from>
    <xdr:to>
      <xdr:col>28</xdr:col>
      <xdr:colOff>476250</xdr:colOff>
      <xdr:row>101</xdr:row>
      <xdr:rowOff>158309</xdr:rowOff>
    </xdr:to>
    <xdr:grpSp>
      <xdr:nvGrpSpPr>
        <xdr:cNvPr id="48" name="Group 47">
          <a:hlinkClick xmlns:r="http://schemas.openxmlformats.org/officeDocument/2006/relationships" r:id="rId90"/>
        </xdr:cNvPr>
        <xdr:cNvGrpSpPr/>
      </xdr:nvGrpSpPr>
      <xdr:grpSpPr>
        <a:xfrm>
          <a:off x="14032230" y="17642205"/>
          <a:ext cx="3939540" cy="1497524"/>
          <a:chOff x="13696950" y="18335625"/>
          <a:chExt cx="3848100" cy="1558484"/>
        </a:xfrm>
      </xdr:grpSpPr>
      <xdr:pic>
        <xdr:nvPicPr>
          <xdr:cNvPr id="150" name="Picture 149"/>
          <xdr:cNvPicPr>
            <a:picLocks noChangeAspect="1"/>
          </xdr:cNvPicPr>
        </xdr:nvPicPr>
        <xdr:blipFill>
          <a:blip xmlns:r="http://schemas.openxmlformats.org/officeDocument/2006/relationships" r:embed="rId91"/>
          <a:stretch>
            <a:fillRect/>
          </a:stretch>
        </xdr:blipFill>
        <xdr:spPr>
          <a:xfrm>
            <a:off x="13763625" y="18554700"/>
            <a:ext cx="3781425" cy="1339409"/>
          </a:xfrm>
          <a:prstGeom prst="rect">
            <a:avLst/>
          </a:prstGeom>
        </xdr:spPr>
      </xdr:pic>
      <xdr:sp macro="" textlink="">
        <xdr:nvSpPr>
          <xdr:cNvPr id="154" name="Rectangle 153"/>
          <xdr:cNvSpPr/>
        </xdr:nvSpPr>
        <xdr:spPr>
          <a:xfrm>
            <a:off x="13696950" y="18335625"/>
            <a:ext cx="1095375" cy="23209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en-GB" sz="10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(7R)</a:t>
            </a:r>
          </a:p>
        </xdr:txBody>
      </xdr:sp>
    </xdr:grpSp>
    <xdr:clientData/>
  </xdr:twoCellAnchor>
  <xdr:twoCellAnchor>
    <xdr:from>
      <xdr:col>22</xdr:col>
      <xdr:colOff>285750</xdr:colOff>
      <xdr:row>103</xdr:row>
      <xdr:rowOff>28575</xdr:rowOff>
    </xdr:from>
    <xdr:to>
      <xdr:col>28</xdr:col>
      <xdr:colOff>476250</xdr:colOff>
      <xdr:row>111</xdr:row>
      <xdr:rowOff>53534</xdr:rowOff>
    </xdr:to>
    <xdr:grpSp>
      <xdr:nvGrpSpPr>
        <xdr:cNvPr id="37" name="Group 36">
          <a:hlinkClick xmlns:r="http://schemas.openxmlformats.org/officeDocument/2006/relationships" r:id="rId92"/>
        </xdr:cNvPr>
        <xdr:cNvGrpSpPr/>
      </xdr:nvGrpSpPr>
      <xdr:grpSpPr>
        <a:xfrm>
          <a:off x="14032230" y="19375755"/>
          <a:ext cx="3939540" cy="1487999"/>
          <a:chOff x="13696950" y="20145375"/>
          <a:chExt cx="3848100" cy="1548959"/>
        </a:xfrm>
      </xdr:grpSpPr>
      <xdr:pic>
        <xdr:nvPicPr>
          <xdr:cNvPr id="155" name="Picture 154"/>
          <xdr:cNvPicPr>
            <a:picLocks noChangeAspect="1"/>
          </xdr:cNvPicPr>
        </xdr:nvPicPr>
        <xdr:blipFill>
          <a:blip xmlns:r="http://schemas.openxmlformats.org/officeDocument/2006/relationships" r:embed="rId91"/>
          <a:stretch>
            <a:fillRect/>
          </a:stretch>
        </xdr:blipFill>
        <xdr:spPr>
          <a:xfrm flipH="1">
            <a:off x="13763625" y="20354925"/>
            <a:ext cx="3781425" cy="1339409"/>
          </a:xfrm>
          <a:prstGeom prst="rect">
            <a:avLst/>
          </a:prstGeom>
        </xdr:spPr>
      </xdr:pic>
      <xdr:sp macro="" textlink="">
        <xdr:nvSpPr>
          <xdr:cNvPr id="156" name="Rectangle 155"/>
          <xdr:cNvSpPr/>
        </xdr:nvSpPr>
        <xdr:spPr>
          <a:xfrm>
            <a:off x="13696950" y="20145375"/>
            <a:ext cx="1095375" cy="23209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en-GB" sz="10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0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(7L)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46055</xdr:colOff>
      <xdr:row>81</xdr:row>
      <xdr:rowOff>52911</xdr:rowOff>
    </xdr:from>
    <xdr:ext cx="1110703" cy="661459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2830" y="21446061"/>
          <a:ext cx="1110703" cy="661459"/>
        </a:xfrm>
        <a:prstGeom prst="rect">
          <a:avLst/>
        </a:prstGeom>
      </xdr:spPr>
    </xdr:pic>
    <xdr:clientData/>
  </xdr:oneCellAnchor>
  <xdr:oneCellAnchor>
    <xdr:from>
      <xdr:col>1</xdr:col>
      <xdr:colOff>500064</xdr:colOff>
      <xdr:row>84</xdr:row>
      <xdr:rowOff>23812</xdr:rowOff>
    </xdr:from>
    <xdr:ext cx="1273968" cy="707372"/>
    <xdr:pic>
      <xdr:nvPicPr>
        <xdr:cNvPr id="3" name="图片 90" descr="SM14-1.png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5060" t="20478" r="14558" b="23108"/>
        <a:stretch/>
      </xdr:blipFill>
      <xdr:spPr bwMode="auto">
        <a:xfrm>
          <a:off x="1366839" y="22426612"/>
          <a:ext cx="1273968" cy="7073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875722</xdr:colOff>
      <xdr:row>91</xdr:row>
      <xdr:rowOff>76615</xdr:rowOff>
    </xdr:from>
    <xdr:ext cx="556200" cy="473520"/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074" t="52083" r="46359" b="40460"/>
        <a:stretch/>
      </xdr:blipFill>
      <xdr:spPr>
        <a:xfrm rot="11267021">
          <a:off x="1742497" y="25241665"/>
          <a:ext cx="556200" cy="473520"/>
        </a:xfrm>
        <a:prstGeom prst="rect">
          <a:avLst/>
        </a:prstGeom>
      </xdr:spPr>
    </xdr:pic>
    <xdr:clientData/>
  </xdr:oneCellAnchor>
  <xdr:oneCellAnchor>
    <xdr:from>
      <xdr:col>1</xdr:col>
      <xdr:colOff>880872</xdr:colOff>
      <xdr:row>94</xdr:row>
      <xdr:rowOff>92281</xdr:rowOff>
    </xdr:from>
    <xdr:ext cx="569891" cy="483323"/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602" t="52202" r="45307" b="40459"/>
        <a:stretch/>
      </xdr:blipFill>
      <xdr:spPr>
        <a:xfrm rot="9910997">
          <a:off x="1747647" y="27143281"/>
          <a:ext cx="569891" cy="483323"/>
        </a:xfrm>
        <a:prstGeom prst="rect">
          <a:avLst/>
        </a:prstGeom>
      </xdr:spPr>
    </xdr:pic>
    <xdr:clientData/>
  </xdr:oneCellAnchor>
  <xdr:oneCellAnchor>
    <xdr:from>
      <xdr:col>1</xdr:col>
      <xdr:colOff>883426</xdr:colOff>
      <xdr:row>95</xdr:row>
      <xdr:rowOff>91852</xdr:rowOff>
    </xdr:from>
    <xdr:ext cx="651285" cy="446178"/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461" t="48295" r="48019" b="40236"/>
        <a:stretch/>
      </xdr:blipFill>
      <xdr:spPr>
        <a:xfrm rot="17050475">
          <a:off x="1852755" y="27668948"/>
          <a:ext cx="446178" cy="651285"/>
        </a:xfrm>
        <a:prstGeom prst="rect">
          <a:avLst/>
        </a:prstGeom>
      </xdr:spPr>
    </xdr:pic>
    <xdr:clientData/>
  </xdr:oneCellAnchor>
  <xdr:oneCellAnchor>
    <xdr:from>
      <xdr:col>1</xdr:col>
      <xdr:colOff>895115</xdr:colOff>
      <xdr:row>96</xdr:row>
      <xdr:rowOff>166687</xdr:rowOff>
    </xdr:from>
    <xdr:ext cx="568491" cy="354280"/>
    <xdr:pic>
      <xdr:nvPicPr>
        <xdr:cNvPr id="7" name="Picture 6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079" t="49663" r="45401" b="36658"/>
        <a:stretch/>
      </xdr:blipFill>
      <xdr:spPr>
        <a:xfrm rot="16200000">
          <a:off x="1868996" y="28367881"/>
          <a:ext cx="354280" cy="568491"/>
        </a:xfrm>
        <a:prstGeom prst="rect">
          <a:avLst/>
        </a:prstGeom>
      </xdr:spPr>
    </xdr:pic>
    <xdr:clientData/>
  </xdr:oneCellAnchor>
  <xdr:oneCellAnchor>
    <xdr:from>
      <xdr:col>1</xdr:col>
      <xdr:colOff>24346</xdr:colOff>
      <xdr:row>71</xdr:row>
      <xdr:rowOff>42335</xdr:rowOff>
    </xdr:from>
    <xdr:ext cx="1118361" cy="666748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891121" y="17625485"/>
          <a:ext cx="1118361" cy="666748"/>
        </a:xfrm>
        <a:prstGeom prst="rect">
          <a:avLst/>
        </a:prstGeom>
      </xdr:spPr>
    </xdr:pic>
    <xdr:clientData/>
  </xdr:oneCellAnchor>
  <xdr:oneCellAnchor>
    <xdr:from>
      <xdr:col>1</xdr:col>
      <xdr:colOff>1020502</xdr:colOff>
      <xdr:row>71</xdr:row>
      <xdr:rowOff>358775</xdr:rowOff>
    </xdr:from>
    <xdr:ext cx="1029559" cy="38100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7277" y="17941925"/>
          <a:ext cx="1029559" cy="381000"/>
        </a:xfrm>
        <a:prstGeom prst="rect">
          <a:avLst/>
        </a:prstGeom>
      </xdr:spPr>
    </xdr:pic>
    <xdr:clientData/>
  </xdr:oneCellAnchor>
  <xdr:oneCellAnchor>
    <xdr:from>
      <xdr:col>1</xdr:col>
      <xdr:colOff>13759</xdr:colOff>
      <xdr:row>73</xdr:row>
      <xdr:rowOff>42332</xdr:rowOff>
    </xdr:from>
    <xdr:ext cx="1111250" cy="677334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880534" y="18387482"/>
          <a:ext cx="1111250" cy="677334"/>
        </a:xfrm>
        <a:prstGeom prst="rect">
          <a:avLst/>
        </a:prstGeom>
      </xdr:spPr>
    </xdr:pic>
    <xdr:clientData/>
  </xdr:oneCellAnchor>
  <xdr:oneCellAnchor>
    <xdr:from>
      <xdr:col>1</xdr:col>
      <xdr:colOff>24342</xdr:colOff>
      <xdr:row>75</xdr:row>
      <xdr:rowOff>44450</xdr:rowOff>
    </xdr:from>
    <xdr:ext cx="1090083" cy="656167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891117" y="19151600"/>
          <a:ext cx="1090083" cy="656167"/>
        </a:xfrm>
        <a:prstGeom prst="rect">
          <a:avLst/>
        </a:prstGeom>
      </xdr:spPr>
    </xdr:pic>
    <xdr:clientData/>
  </xdr:oneCellAnchor>
  <xdr:oneCellAnchor>
    <xdr:from>
      <xdr:col>1</xdr:col>
      <xdr:colOff>1014152</xdr:colOff>
      <xdr:row>73</xdr:row>
      <xdr:rowOff>373583</xdr:rowOff>
    </xdr:from>
    <xdr:ext cx="1029559" cy="381000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0927" y="18718733"/>
          <a:ext cx="1029559" cy="381000"/>
        </a:xfrm>
        <a:prstGeom prst="rect">
          <a:avLst/>
        </a:prstGeom>
      </xdr:spPr>
    </xdr:pic>
    <xdr:clientData/>
  </xdr:oneCellAnchor>
  <xdr:oneCellAnchor>
    <xdr:from>
      <xdr:col>1</xdr:col>
      <xdr:colOff>1007801</xdr:colOff>
      <xdr:row>75</xdr:row>
      <xdr:rowOff>365119</xdr:rowOff>
    </xdr:from>
    <xdr:ext cx="1029559" cy="381000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74576" y="19472269"/>
          <a:ext cx="1029559" cy="381000"/>
        </a:xfrm>
        <a:prstGeom prst="rect">
          <a:avLst/>
        </a:prstGeom>
      </xdr:spPr>
    </xdr:pic>
    <xdr:clientData/>
  </xdr:oneCellAnchor>
  <xdr:oneCellAnchor>
    <xdr:from>
      <xdr:col>1</xdr:col>
      <xdr:colOff>45508</xdr:colOff>
      <xdr:row>79</xdr:row>
      <xdr:rowOff>43391</xdr:rowOff>
    </xdr:from>
    <xdr:ext cx="1111251" cy="686859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912283" y="20674541"/>
          <a:ext cx="1111251" cy="686859"/>
        </a:xfrm>
        <a:prstGeom prst="rect">
          <a:avLst/>
        </a:prstGeom>
      </xdr:spPr>
    </xdr:pic>
    <xdr:clientData/>
  </xdr:oneCellAnchor>
  <xdr:oneCellAnchor>
    <xdr:from>
      <xdr:col>1</xdr:col>
      <xdr:colOff>71967</xdr:colOff>
      <xdr:row>77</xdr:row>
      <xdr:rowOff>33867</xdr:rowOff>
    </xdr:from>
    <xdr:ext cx="1084792" cy="666749"/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938742" y="19903017"/>
          <a:ext cx="1084792" cy="666749"/>
        </a:xfrm>
        <a:prstGeom prst="rect">
          <a:avLst/>
        </a:prstGeom>
      </xdr:spPr>
    </xdr:pic>
    <xdr:clientData/>
  </xdr:oneCellAnchor>
  <xdr:oneCellAnchor>
    <xdr:from>
      <xdr:col>1</xdr:col>
      <xdr:colOff>1001456</xdr:colOff>
      <xdr:row>77</xdr:row>
      <xdr:rowOff>360887</xdr:rowOff>
    </xdr:from>
    <xdr:ext cx="1029559" cy="381000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68231" y="20230037"/>
          <a:ext cx="1029559" cy="381000"/>
        </a:xfrm>
        <a:prstGeom prst="rect">
          <a:avLst/>
        </a:prstGeom>
      </xdr:spPr>
    </xdr:pic>
    <xdr:clientData/>
  </xdr:oneCellAnchor>
  <xdr:oneCellAnchor>
    <xdr:from>
      <xdr:col>1</xdr:col>
      <xdr:colOff>984523</xdr:colOff>
      <xdr:row>79</xdr:row>
      <xdr:rowOff>365114</xdr:rowOff>
    </xdr:from>
    <xdr:ext cx="1029559" cy="381000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51298" y="20996264"/>
          <a:ext cx="1029559" cy="381000"/>
        </a:xfrm>
        <a:prstGeom prst="rect">
          <a:avLst/>
        </a:prstGeom>
      </xdr:spPr>
    </xdr:pic>
    <xdr:clientData/>
  </xdr:oneCellAnchor>
  <xdr:oneCellAnchor>
    <xdr:from>
      <xdr:col>1</xdr:col>
      <xdr:colOff>978173</xdr:colOff>
      <xdr:row>81</xdr:row>
      <xdr:rowOff>358760</xdr:rowOff>
    </xdr:from>
    <xdr:ext cx="1029559" cy="381000"/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44948" y="21751910"/>
          <a:ext cx="1029559" cy="381000"/>
        </a:xfrm>
        <a:prstGeom prst="rect">
          <a:avLst/>
        </a:prstGeom>
      </xdr:spPr>
    </xdr:pic>
    <xdr:clientData/>
  </xdr:oneCellAnchor>
  <xdr:twoCellAnchor>
    <xdr:from>
      <xdr:col>1</xdr:col>
      <xdr:colOff>251883</xdr:colOff>
      <xdr:row>99</xdr:row>
      <xdr:rowOff>49742</xdr:rowOff>
    </xdr:from>
    <xdr:to>
      <xdr:col>1</xdr:col>
      <xdr:colOff>1981200</xdr:colOff>
      <xdr:row>104</xdr:row>
      <xdr:rowOff>148395</xdr:rowOff>
    </xdr:to>
    <xdr:pic>
      <xdr:nvPicPr>
        <xdr:cNvPr id="19" name="Picture 3" descr="image01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45" t="7082" r="7341" b="8810"/>
        <a:stretch/>
      </xdr:blipFill>
      <xdr:spPr bwMode="auto">
        <a:xfrm>
          <a:off x="1118658" y="29862992"/>
          <a:ext cx="1729317" cy="10511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281526</xdr:colOff>
      <xdr:row>105</xdr:row>
      <xdr:rowOff>61382</xdr:rowOff>
    </xdr:from>
    <xdr:to>
      <xdr:col>1</xdr:col>
      <xdr:colOff>2009776</xdr:colOff>
      <xdr:row>110</xdr:row>
      <xdr:rowOff>156048</xdr:rowOff>
    </xdr:to>
    <xdr:pic>
      <xdr:nvPicPr>
        <xdr:cNvPr id="20" name="Picture 4" descr="image01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119" t="8897" r="13918" b="7474"/>
        <a:stretch/>
      </xdr:blipFill>
      <xdr:spPr bwMode="auto">
        <a:xfrm>
          <a:off x="1148301" y="31017632"/>
          <a:ext cx="1728250" cy="10471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39574</xdr:colOff>
      <xdr:row>108</xdr:row>
      <xdr:rowOff>0</xdr:rowOff>
    </xdr:from>
    <xdr:to>
      <xdr:col>5</xdr:col>
      <xdr:colOff>1235254</xdr:colOff>
      <xdr:row>108</xdr:row>
      <xdr:rowOff>0</xdr:rowOff>
    </xdr:to>
    <xdr:pic>
      <xdr:nvPicPr>
        <xdr:cNvPr id="21" name="Picture 20" descr="C:\Users\thitichaya.p\Desktop\Tuesday 3 October\สินค้าลงprice list\บานพับ\Alloy Hinge.jpg"/>
        <xdr:cNvPicPr/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9481377" y="30934672"/>
          <a:ext cx="0" cy="118615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490533</xdr:colOff>
      <xdr:row>44</xdr:row>
      <xdr:rowOff>35893</xdr:rowOff>
    </xdr:from>
    <xdr:ext cx="1166815" cy="929911"/>
    <xdr:pic>
      <xdr:nvPicPr>
        <xdr:cNvPr id="22" name="Picture 21"/>
        <xdr:cNvPicPr>
          <a:picLocks noChangeAspect="1"/>
        </xdr:cNvPicPr>
      </xdr:nvPicPr>
      <xdr:blipFill rotWithShape="1">
        <a:blip xmlns:r="http://schemas.openxmlformats.org/officeDocument/2006/relationships" r:embed="rId16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618" t="50510" r="31194" b="36706"/>
        <a:stretch/>
      </xdr:blipFill>
      <xdr:spPr>
        <a:xfrm rot="10800000">
          <a:off x="1357308" y="10932493"/>
          <a:ext cx="1166815" cy="929911"/>
        </a:xfrm>
        <a:prstGeom prst="rect">
          <a:avLst/>
        </a:prstGeom>
      </xdr:spPr>
    </xdr:pic>
    <xdr:clientData/>
  </xdr:oneCellAnchor>
  <xdr:oneCellAnchor>
    <xdr:from>
      <xdr:col>1</xdr:col>
      <xdr:colOff>409626</xdr:colOff>
      <xdr:row>54</xdr:row>
      <xdr:rowOff>55344</xdr:rowOff>
    </xdr:from>
    <xdr:ext cx="1230791" cy="885629"/>
    <xdr:pic>
      <xdr:nvPicPr>
        <xdr:cNvPr id="23" name="Picture 22"/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037" t="49022" r="34113" b="34573"/>
        <a:stretch/>
      </xdr:blipFill>
      <xdr:spPr>
        <a:xfrm>
          <a:off x="1276401" y="13428444"/>
          <a:ext cx="1230791" cy="885629"/>
        </a:xfrm>
        <a:prstGeom prst="rect">
          <a:avLst/>
        </a:prstGeom>
      </xdr:spPr>
    </xdr:pic>
    <xdr:clientData/>
  </xdr:oneCellAnchor>
  <xdr:oneCellAnchor>
    <xdr:from>
      <xdr:col>1</xdr:col>
      <xdr:colOff>904846</xdr:colOff>
      <xdr:row>93</xdr:row>
      <xdr:rowOff>40816</xdr:rowOff>
    </xdr:from>
    <xdr:ext cx="472937" cy="557391"/>
    <xdr:pic>
      <xdr:nvPicPr>
        <xdr:cNvPr id="24" name="Picture 23"/>
        <xdr:cNvPicPr>
          <a:picLocks noChangeAspect="1"/>
        </xdr:cNvPicPr>
      </xdr:nvPicPr>
      <xdr:blipFill rotWithShape="1"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363" t="45875" r="40166" b="47180"/>
        <a:stretch/>
      </xdr:blipFill>
      <xdr:spPr>
        <a:xfrm rot="21313561">
          <a:off x="1771621" y="26463166"/>
          <a:ext cx="472937" cy="557391"/>
        </a:xfrm>
        <a:prstGeom prst="rect">
          <a:avLst/>
        </a:prstGeom>
      </xdr:spPr>
    </xdr:pic>
    <xdr:clientData/>
  </xdr:oneCellAnchor>
  <xdr:oneCellAnchor>
    <xdr:from>
      <xdr:col>1</xdr:col>
      <xdr:colOff>468841</xdr:colOff>
      <xdr:row>49</xdr:row>
      <xdr:rowOff>30789</xdr:rowOff>
    </xdr:from>
    <xdr:ext cx="1206499" cy="941633"/>
    <xdr:pic>
      <xdr:nvPicPr>
        <xdr:cNvPr id="25" name="Picture 24"/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grayscl/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8891" t="35354" r="29882" b="42656"/>
        <a:stretch/>
      </xdr:blipFill>
      <xdr:spPr>
        <a:xfrm rot="5400000" flipV="1">
          <a:off x="1468049" y="12033206"/>
          <a:ext cx="941633" cy="1206499"/>
        </a:xfrm>
        <a:prstGeom prst="rect">
          <a:avLst/>
        </a:prstGeom>
      </xdr:spPr>
    </xdr:pic>
    <xdr:clientData/>
  </xdr:oneCellAnchor>
  <xdr:oneCellAnchor>
    <xdr:from>
      <xdr:col>1</xdr:col>
      <xdr:colOff>480487</xdr:colOff>
      <xdr:row>39</xdr:row>
      <xdr:rowOff>31750</xdr:rowOff>
    </xdr:from>
    <xdr:ext cx="1174750" cy="929800"/>
    <xdr:pic>
      <xdr:nvPicPr>
        <xdr:cNvPr id="26" name="Picture 25"/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582" t="32828" r="34499" b="29083"/>
        <a:stretch/>
      </xdr:blipFill>
      <xdr:spPr>
        <a:xfrm rot="5400000" flipV="1">
          <a:off x="1469737" y="9567625"/>
          <a:ext cx="929800" cy="1174750"/>
        </a:xfrm>
        <a:prstGeom prst="rect">
          <a:avLst/>
        </a:prstGeom>
      </xdr:spPr>
    </xdr:pic>
    <xdr:clientData/>
  </xdr:oneCellAnchor>
  <xdr:twoCellAnchor>
    <xdr:from>
      <xdr:col>1</xdr:col>
      <xdr:colOff>936193</xdr:colOff>
      <xdr:row>97</xdr:row>
      <xdr:rowOff>123730</xdr:rowOff>
    </xdr:from>
    <xdr:to>
      <xdr:col>1</xdr:col>
      <xdr:colOff>1471083</xdr:colOff>
      <xdr:row>97</xdr:row>
      <xdr:rowOff>518583</xdr:rowOff>
    </xdr:to>
    <xdr:pic>
      <xdr:nvPicPr>
        <xdr:cNvPr id="27" name="Picture 2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71" t="29217" r="46849" b="22709"/>
        <a:stretch/>
      </xdr:blipFill>
      <xdr:spPr bwMode="auto">
        <a:xfrm>
          <a:off x="1802968" y="29060680"/>
          <a:ext cx="534890" cy="394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566459</xdr:colOff>
      <xdr:row>59</xdr:row>
      <xdr:rowOff>89648</xdr:rowOff>
    </xdr:from>
    <xdr:to>
      <xdr:col>1</xdr:col>
      <xdr:colOff>1496547</xdr:colOff>
      <xdr:row>62</xdr:row>
      <xdr:rowOff>188563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33234" y="14700998"/>
          <a:ext cx="930088" cy="841865"/>
        </a:xfrm>
        <a:prstGeom prst="rect">
          <a:avLst/>
        </a:prstGeom>
      </xdr:spPr>
    </xdr:pic>
    <xdr:clientData/>
  </xdr:twoCellAnchor>
  <xdr:twoCellAnchor editAs="oneCell">
    <xdr:from>
      <xdr:col>1</xdr:col>
      <xdr:colOff>493059</xdr:colOff>
      <xdr:row>88</xdr:row>
      <xdr:rowOff>156883</xdr:rowOff>
    </xdr:from>
    <xdr:to>
      <xdr:col>1</xdr:col>
      <xdr:colOff>1801285</xdr:colOff>
      <xdr:row>88</xdr:row>
      <xdr:rowOff>661840</xdr:rowOff>
    </xdr:to>
    <xdr:pic>
      <xdr:nvPicPr>
        <xdr:cNvPr id="29" name="Picture 28"/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grayscl/>
          <a:extLst>
            <a:ext uri="{BEBA8EAE-BF5A-486C-A8C5-ECC9F3942E4B}">
              <a14:imgProps xmlns:a14="http://schemas.microsoft.com/office/drawing/2010/main">
                <a14:imgLayer r:embed="rId25">
                  <a14:imgEffect>
                    <a14:sharpenSoften amount="50000"/>
                  </a14:imgEffect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154" t="29449" r="18403" b="11371"/>
        <a:stretch/>
      </xdr:blipFill>
      <xdr:spPr>
        <a:xfrm>
          <a:off x="1359834" y="23550283"/>
          <a:ext cx="1308226" cy="504957"/>
        </a:xfrm>
        <a:prstGeom prst="rect">
          <a:avLst/>
        </a:prstGeom>
      </xdr:spPr>
    </xdr:pic>
    <xdr:clientData/>
  </xdr:twoCellAnchor>
  <xdr:twoCellAnchor editAs="oneCell">
    <xdr:from>
      <xdr:col>1</xdr:col>
      <xdr:colOff>481962</xdr:colOff>
      <xdr:row>89</xdr:row>
      <xdr:rowOff>146066</xdr:rowOff>
    </xdr:from>
    <xdr:to>
      <xdr:col>1</xdr:col>
      <xdr:colOff>1814284</xdr:colOff>
      <xdr:row>89</xdr:row>
      <xdr:rowOff>639195</xdr:rowOff>
    </xdr:to>
    <xdr:pic>
      <xdr:nvPicPr>
        <xdr:cNvPr id="30" name="Picture 29"/>
        <xdr:cNvPicPr>
          <a:picLocks noChangeAspect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25" t="44859" r="29829" b="33698"/>
        <a:stretch/>
      </xdr:blipFill>
      <xdr:spPr>
        <a:xfrm rot="-60000">
          <a:off x="1348737" y="24301466"/>
          <a:ext cx="1332322" cy="493129"/>
        </a:xfrm>
        <a:prstGeom prst="rect">
          <a:avLst/>
        </a:prstGeom>
      </xdr:spPr>
    </xdr:pic>
    <xdr:clientData/>
  </xdr:twoCellAnchor>
  <xdr:twoCellAnchor editAs="oneCell">
    <xdr:from>
      <xdr:col>1</xdr:col>
      <xdr:colOff>22411</xdr:colOff>
      <xdr:row>4</xdr:row>
      <xdr:rowOff>33619</xdr:rowOff>
    </xdr:from>
    <xdr:to>
      <xdr:col>2</xdr:col>
      <xdr:colOff>3360</xdr:colOff>
      <xdr:row>7</xdr:row>
      <xdr:rowOff>235323</xdr:rowOff>
    </xdr:to>
    <xdr:pic>
      <xdr:nvPicPr>
        <xdr:cNvPr id="31" name="Picture 30"/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11" t="29300" r="3187" b="47750"/>
        <a:stretch/>
      </xdr:blipFill>
      <xdr:spPr>
        <a:xfrm>
          <a:off x="889186" y="1024219"/>
          <a:ext cx="2019299" cy="944654"/>
        </a:xfrm>
        <a:prstGeom prst="rect">
          <a:avLst/>
        </a:prstGeom>
      </xdr:spPr>
    </xdr:pic>
    <xdr:clientData/>
  </xdr:twoCellAnchor>
  <xdr:twoCellAnchor editAs="oneCell">
    <xdr:from>
      <xdr:col>1</xdr:col>
      <xdr:colOff>179294</xdr:colOff>
      <xdr:row>34</xdr:row>
      <xdr:rowOff>33618</xdr:rowOff>
    </xdr:from>
    <xdr:to>
      <xdr:col>2</xdr:col>
      <xdr:colOff>1119</xdr:colOff>
      <xdr:row>37</xdr:row>
      <xdr:rowOff>233748</xdr:rowOff>
    </xdr:to>
    <xdr:pic>
      <xdr:nvPicPr>
        <xdr:cNvPr id="32" name="Picture 31"/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071" t="42920" r="11631" b="42263"/>
        <a:stretch/>
      </xdr:blipFill>
      <xdr:spPr>
        <a:xfrm rot="10800000">
          <a:off x="1046069" y="8453718"/>
          <a:ext cx="1860175" cy="943080"/>
        </a:xfrm>
        <a:prstGeom prst="rect">
          <a:avLst/>
        </a:prstGeom>
      </xdr:spPr>
    </xdr:pic>
    <xdr:clientData/>
  </xdr:twoCellAnchor>
  <xdr:twoCellAnchor editAs="oneCell">
    <xdr:from>
      <xdr:col>1</xdr:col>
      <xdr:colOff>437033</xdr:colOff>
      <xdr:row>9</xdr:row>
      <xdr:rowOff>22412</xdr:rowOff>
    </xdr:from>
    <xdr:to>
      <xdr:col>1</xdr:col>
      <xdr:colOff>1848973</xdr:colOff>
      <xdr:row>12</xdr:row>
      <xdr:rowOff>221166</xdr:rowOff>
    </xdr:to>
    <xdr:pic>
      <xdr:nvPicPr>
        <xdr:cNvPr id="33" name="Picture 32"/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82" t="25846" r="15461" b="50535"/>
        <a:stretch/>
      </xdr:blipFill>
      <xdr:spPr>
        <a:xfrm>
          <a:off x="1303808" y="2251262"/>
          <a:ext cx="1411940" cy="941704"/>
        </a:xfrm>
        <a:prstGeom prst="rect">
          <a:avLst/>
        </a:prstGeom>
      </xdr:spPr>
    </xdr:pic>
    <xdr:clientData/>
  </xdr:twoCellAnchor>
  <xdr:twoCellAnchor editAs="oneCell">
    <xdr:from>
      <xdr:col>1</xdr:col>
      <xdr:colOff>403410</xdr:colOff>
      <xdr:row>19</xdr:row>
      <xdr:rowOff>33615</xdr:rowOff>
    </xdr:from>
    <xdr:to>
      <xdr:col>1</xdr:col>
      <xdr:colOff>1874677</xdr:colOff>
      <xdr:row>22</xdr:row>
      <xdr:rowOff>201704</xdr:rowOff>
    </xdr:to>
    <xdr:pic>
      <xdr:nvPicPr>
        <xdr:cNvPr id="34" name="Picture 33"/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20" t="36543" r="23381" b="46411"/>
        <a:stretch/>
      </xdr:blipFill>
      <xdr:spPr>
        <a:xfrm>
          <a:off x="1270185" y="4738965"/>
          <a:ext cx="1471267" cy="911039"/>
        </a:xfrm>
        <a:prstGeom prst="rect">
          <a:avLst/>
        </a:prstGeom>
      </xdr:spPr>
    </xdr:pic>
    <xdr:clientData/>
  </xdr:twoCellAnchor>
  <xdr:twoCellAnchor editAs="oneCell">
    <xdr:from>
      <xdr:col>1</xdr:col>
      <xdr:colOff>369794</xdr:colOff>
      <xdr:row>29</xdr:row>
      <xdr:rowOff>134470</xdr:rowOff>
    </xdr:from>
    <xdr:to>
      <xdr:col>1</xdr:col>
      <xdr:colOff>1815352</xdr:colOff>
      <xdr:row>32</xdr:row>
      <xdr:rowOff>104519</xdr:rowOff>
    </xdr:to>
    <xdr:pic>
      <xdr:nvPicPr>
        <xdr:cNvPr id="35" name="Picture 34"/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54" t="28854" r="21401" b="56106"/>
        <a:stretch/>
      </xdr:blipFill>
      <xdr:spPr>
        <a:xfrm>
          <a:off x="1236569" y="7316320"/>
          <a:ext cx="1445558" cy="712999"/>
        </a:xfrm>
        <a:prstGeom prst="rect">
          <a:avLst/>
        </a:prstGeom>
      </xdr:spPr>
    </xdr:pic>
    <xdr:clientData/>
  </xdr:twoCellAnchor>
  <xdr:twoCellAnchor editAs="oneCell">
    <xdr:from>
      <xdr:col>1</xdr:col>
      <xdr:colOff>44824</xdr:colOff>
      <xdr:row>24</xdr:row>
      <xdr:rowOff>22412</xdr:rowOff>
    </xdr:from>
    <xdr:to>
      <xdr:col>1</xdr:col>
      <xdr:colOff>2037299</xdr:colOff>
      <xdr:row>27</xdr:row>
      <xdr:rowOff>224118</xdr:rowOff>
    </xdr:to>
    <xdr:pic>
      <xdr:nvPicPr>
        <xdr:cNvPr id="36" name="Picture 35"/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56" t="31640" r="3187" b="51760"/>
        <a:stretch/>
      </xdr:blipFill>
      <xdr:spPr>
        <a:xfrm>
          <a:off x="911599" y="5966012"/>
          <a:ext cx="1992475" cy="944656"/>
        </a:xfrm>
        <a:prstGeom prst="rect">
          <a:avLst/>
        </a:prstGeom>
      </xdr:spPr>
    </xdr:pic>
    <xdr:clientData/>
  </xdr:twoCellAnchor>
  <xdr:twoCellAnchor editAs="oneCell">
    <xdr:from>
      <xdr:col>1</xdr:col>
      <xdr:colOff>44821</xdr:colOff>
      <xdr:row>14</xdr:row>
      <xdr:rowOff>33617</xdr:rowOff>
    </xdr:from>
    <xdr:to>
      <xdr:col>2</xdr:col>
      <xdr:colOff>1680</xdr:colOff>
      <xdr:row>17</xdr:row>
      <xdr:rowOff>235324</xdr:rowOff>
    </xdr:to>
    <xdr:pic>
      <xdr:nvPicPr>
        <xdr:cNvPr id="37" name="Picture 36"/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46" t="33088" r="5364" b="48864"/>
        <a:stretch/>
      </xdr:blipFill>
      <xdr:spPr>
        <a:xfrm>
          <a:off x="911596" y="3500717"/>
          <a:ext cx="1995209" cy="944657"/>
        </a:xfrm>
        <a:prstGeom prst="rect">
          <a:avLst/>
        </a:prstGeom>
      </xdr:spPr>
    </xdr:pic>
    <xdr:clientData/>
  </xdr:twoCellAnchor>
  <xdr:twoCellAnchor editAs="oneCell">
    <xdr:from>
      <xdr:col>1</xdr:col>
      <xdr:colOff>106456</xdr:colOff>
      <xdr:row>64</xdr:row>
      <xdr:rowOff>33618</xdr:rowOff>
    </xdr:from>
    <xdr:to>
      <xdr:col>1</xdr:col>
      <xdr:colOff>1946489</xdr:colOff>
      <xdr:row>67</xdr:row>
      <xdr:rowOff>224117</xdr:rowOff>
    </xdr:to>
    <xdr:pic>
      <xdr:nvPicPr>
        <xdr:cNvPr id="38" name="Picture 37"/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52" t="37544" r="21599" b="45076"/>
        <a:stretch/>
      </xdr:blipFill>
      <xdr:spPr>
        <a:xfrm>
          <a:off x="973231" y="15883218"/>
          <a:ext cx="1840033" cy="933449"/>
        </a:xfrm>
        <a:prstGeom prst="rect">
          <a:avLst/>
        </a:prstGeom>
      </xdr:spPr>
    </xdr:pic>
    <xdr:clientData/>
  </xdr:twoCellAnchor>
  <xdr:twoCellAnchor editAs="oneCell">
    <xdr:from>
      <xdr:col>1</xdr:col>
      <xdr:colOff>922619</xdr:colOff>
      <xdr:row>92</xdr:row>
      <xdr:rowOff>90607</xdr:rowOff>
    </xdr:from>
    <xdr:to>
      <xdr:col>1</xdr:col>
      <xdr:colOff>1354624</xdr:colOff>
      <xdr:row>92</xdr:row>
      <xdr:rowOff>572476</xdr:rowOff>
    </xdr:to>
    <xdr:pic>
      <xdr:nvPicPr>
        <xdr:cNvPr id="39" name="Picture 38"/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237" t="42732" r="43510" b="39394"/>
        <a:stretch/>
      </xdr:blipFill>
      <xdr:spPr>
        <a:xfrm rot="1140000" flipH="1">
          <a:off x="1789394" y="25884307"/>
          <a:ext cx="432005" cy="481869"/>
        </a:xfrm>
        <a:prstGeom prst="rect">
          <a:avLst/>
        </a:prstGeom>
      </xdr:spPr>
    </xdr:pic>
    <xdr:clientData/>
  </xdr:twoCellAnchor>
  <xdr:twoCellAnchor editAs="oneCell">
    <xdr:from>
      <xdr:col>1</xdr:col>
      <xdr:colOff>156882</xdr:colOff>
      <xdr:row>112</xdr:row>
      <xdr:rowOff>56028</xdr:rowOff>
    </xdr:from>
    <xdr:to>
      <xdr:col>1</xdr:col>
      <xdr:colOff>795618</xdr:colOff>
      <xdr:row>112</xdr:row>
      <xdr:rowOff>735105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23657" y="32402928"/>
          <a:ext cx="638736" cy="679077"/>
        </a:xfrm>
        <a:prstGeom prst="rect">
          <a:avLst/>
        </a:prstGeom>
      </xdr:spPr>
    </xdr:pic>
    <xdr:clientData/>
  </xdr:twoCellAnchor>
  <xdr:twoCellAnchor editAs="oneCell">
    <xdr:from>
      <xdr:col>1</xdr:col>
      <xdr:colOff>44824</xdr:colOff>
      <xdr:row>113</xdr:row>
      <xdr:rowOff>56030</xdr:rowOff>
    </xdr:from>
    <xdr:to>
      <xdr:col>1</xdr:col>
      <xdr:colOff>831588</xdr:colOff>
      <xdr:row>113</xdr:row>
      <xdr:rowOff>717177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911599" y="33164930"/>
          <a:ext cx="786764" cy="661147"/>
        </a:xfrm>
        <a:prstGeom prst="rect">
          <a:avLst/>
        </a:prstGeom>
      </xdr:spPr>
    </xdr:pic>
    <xdr:clientData/>
  </xdr:twoCellAnchor>
  <xdr:twoCellAnchor>
    <xdr:from>
      <xdr:col>1</xdr:col>
      <xdr:colOff>100449</xdr:colOff>
      <xdr:row>114</xdr:row>
      <xdr:rowOff>48491</xdr:rowOff>
    </xdr:from>
    <xdr:to>
      <xdr:col>1</xdr:col>
      <xdr:colOff>2015535</xdr:colOff>
      <xdr:row>114</xdr:row>
      <xdr:rowOff>741422</xdr:rowOff>
    </xdr:to>
    <xdr:grpSp>
      <xdr:nvGrpSpPr>
        <xdr:cNvPr id="42" name="Group 41"/>
        <xdr:cNvGrpSpPr/>
      </xdr:nvGrpSpPr>
      <xdr:grpSpPr>
        <a:xfrm>
          <a:off x="967224" y="33919391"/>
          <a:ext cx="1915086" cy="692931"/>
          <a:chOff x="1381991" y="34935968"/>
          <a:chExt cx="1915086" cy="692931"/>
        </a:xfrm>
      </xdr:grpSpPr>
      <xdr:pic>
        <xdr:nvPicPr>
          <xdr:cNvPr id="43" name="Picture 42"/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2658341" y="34939431"/>
            <a:ext cx="638736" cy="679077"/>
          </a:xfrm>
          <a:prstGeom prst="rect">
            <a:avLst/>
          </a:prstGeom>
        </xdr:spPr>
      </xdr:pic>
      <xdr:pic>
        <xdr:nvPicPr>
          <xdr:cNvPr id="44" name="Picture 43"/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381991" y="34935968"/>
            <a:ext cx="638736" cy="679077"/>
          </a:xfrm>
          <a:prstGeom prst="rect">
            <a:avLst/>
          </a:prstGeom>
        </xdr:spPr>
      </xdr:pic>
      <xdr:pic>
        <xdr:nvPicPr>
          <xdr:cNvPr id="45" name="Picture 44"/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2027959" y="34949822"/>
            <a:ext cx="638736" cy="679077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112567</xdr:colOff>
      <xdr:row>115</xdr:row>
      <xdr:rowOff>34636</xdr:rowOff>
    </xdr:from>
    <xdr:to>
      <xdr:col>1</xdr:col>
      <xdr:colOff>2034021</xdr:colOff>
      <xdr:row>115</xdr:row>
      <xdr:rowOff>746262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979342" y="34667536"/>
          <a:ext cx="1921454" cy="711626"/>
        </a:xfrm>
        <a:prstGeom prst="rect">
          <a:avLst/>
        </a:prstGeom>
      </xdr:spPr>
    </xdr:pic>
    <xdr:clientData/>
  </xdr:twoCellAnchor>
  <xdr:twoCellAnchor editAs="oneCell">
    <xdr:from>
      <xdr:col>1</xdr:col>
      <xdr:colOff>121227</xdr:colOff>
      <xdr:row>116</xdr:row>
      <xdr:rowOff>25977</xdr:rowOff>
    </xdr:from>
    <xdr:to>
      <xdr:col>1</xdr:col>
      <xdr:colOff>2034887</xdr:colOff>
      <xdr:row>116</xdr:row>
      <xdr:rowOff>736023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988002" y="35420877"/>
          <a:ext cx="1913660" cy="710046"/>
        </a:xfrm>
        <a:prstGeom prst="rect">
          <a:avLst/>
        </a:prstGeom>
      </xdr:spPr>
    </xdr:pic>
    <xdr:clientData/>
  </xdr:twoCellAnchor>
  <xdr:twoCellAnchor editAs="oneCell">
    <xdr:from>
      <xdr:col>1</xdr:col>
      <xdr:colOff>76199</xdr:colOff>
      <xdr:row>117</xdr:row>
      <xdr:rowOff>47625</xdr:rowOff>
    </xdr:from>
    <xdr:to>
      <xdr:col>1</xdr:col>
      <xdr:colOff>1762125</xdr:colOff>
      <xdr:row>117</xdr:row>
      <xdr:rowOff>730967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942974" y="36204525"/>
          <a:ext cx="1685926" cy="68334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133349</xdr:colOff>
      <xdr:row>118</xdr:row>
      <xdr:rowOff>38100</xdr:rowOff>
    </xdr:from>
    <xdr:to>
      <xdr:col>1</xdr:col>
      <xdr:colOff>1762124</xdr:colOff>
      <xdr:row>118</xdr:row>
      <xdr:rowOff>734503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00124" y="36957000"/>
          <a:ext cx="1628775" cy="696403"/>
        </a:xfrm>
        <a:prstGeom prst="rect">
          <a:avLst/>
        </a:prstGeom>
      </xdr:spPr>
    </xdr:pic>
    <xdr:clientData/>
  </xdr:twoCellAnchor>
  <xdr:twoCellAnchor editAs="oneCell">
    <xdr:from>
      <xdr:col>1</xdr:col>
      <xdr:colOff>47624</xdr:colOff>
      <xdr:row>119</xdr:row>
      <xdr:rowOff>28574</xdr:rowOff>
    </xdr:from>
    <xdr:to>
      <xdr:col>1</xdr:col>
      <xdr:colOff>1619249</xdr:colOff>
      <xdr:row>119</xdr:row>
      <xdr:rowOff>742949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914399" y="37709474"/>
          <a:ext cx="1571625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120</xdr:row>
      <xdr:rowOff>38100</xdr:rowOff>
    </xdr:from>
    <xdr:to>
      <xdr:col>1</xdr:col>
      <xdr:colOff>1676400</xdr:colOff>
      <xdr:row>120</xdr:row>
      <xdr:rowOff>730235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885825" y="38481000"/>
          <a:ext cx="1657350" cy="692135"/>
        </a:xfrm>
        <a:prstGeom prst="rect">
          <a:avLst/>
        </a:prstGeom>
      </xdr:spPr>
    </xdr:pic>
    <xdr:clientData/>
  </xdr:twoCellAnchor>
  <xdr:twoCellAnchor editAs="oneCell">
    <xdr:from>
      <xdr:col>1</xdr:col>
      <xdr:colOff>57149</xdr:colOff>
      <xdr:row>121</xdr:row>
      <xdr:rowOff>28575</xdr:rowOff>
    </xdr:from>
    <xdr:to>
      <xdr:col>1</xdr:col>
      <xdr:colOff>1838324</xdr:colOff>
      <xdr:row>121</xdr:row>
      <xdr:rowOff>752475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923924" y="39233475"/>
          <a:ext cx="1781175" cy="7239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122</xdr:row>
      <xdr:rowOff>38100</xdr:rowOff>
    </xdr:from>
    <xdr:to>
      <xdr:col>1</xdr:col>
      <xdr:colOff>1876425</xdr:colOff>
      <xdr:row>122</xdr:row>
      <xdr:rowOff>733338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914400" y="40005000"/>
          <a:ext cx="1828800" cy="6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123</xdr:row>
      <xdr:rowOff>47625</xdr:rowOff>
    </xdr:from>
    <xdr:to>
      <xdr:col>1</xdr:col>
      <xdr:colOff>1038225</xdr:colOff>
      <xdr:row>123</xdr:row>
      <xdr:rowOff>741000</xdr:rowOff>
    </xdr:to>
    <xdr:pic>
      <xdr:nvPicPr>
        <xdr:cNvPr id="54" name="Picture 53"/>
        <xdr:cNvPicPr>
          <a:picLocks noChangeAspect="1"/>
        </xdr:cNvPicPr>
      </xdr:nvPicPr>
      <xdr:blipFill rotWithShape="1">
        <a:blip xmlns:r="http://schemas.openxmlformats.org/officeDocument/2006/relationships" r:embed="rId46"/>
        <a:srcRect r="45847"/>
        <a:stretch/>
      </xdr:blipFill>
      <xdr:spPr>
        <a:xfrm>
          <a:off x="1066800" y="40776525"/>
          <a:ext cx="838200" cy="69337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171449</xdr:colOff>
      <xdr:row>124</xdr:row>
      <xdr:rowOff>28575</xdr:rowOff>
    </xdr:from>
    <xdr:to>
      <xdr:col>1</xdr:col>
      <xdr:colOff>962024</xdr:colOff>
      <xdr:row>124</xdr:row>
      <xdr:rowOff>735217</xdr:rowOff>
    </xdr:to>
    <xdr:pic>
      <xdr:nvPicPr>
        <xdr:cNvPr id="55" name="Picture 54"/>
        <xdr:cNvPicPr>
          <a:picLocks noChangeAspect="1"/>
        </xdr:cNvPicPr>
      </xdr:nvPicPr>
      <xdr:blipFill rotWithShape="1">
        <a:blip xmlns:r="http://schemas.openxmlformats.org/officeDocument/2006/relationships" r:embed="rId47"/>
        <a:srcRect r="48404"/>
        <a:stretch/>
      </xdr:blipFill>
      <xdr:spPr>
        <a:xfrm>
          <a:off x="1038224" y="41519475"/>
          <a:ext cx="790575" cy="70664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125</xdr:row>
      <xdr:rowOff>209550</xdr:rowOff>
    </xdr:from>
    <xdr:to>
      <xdr:col>2</xdr:col>
      <xdr:colOff>0</xdr:colOff>
      <xdr:row>125</xdr:row>
      <xdr:rowOff>619603</xdr:rowOff>
    </xdr:to>
    <xdr:pic>
      <xdr:nvPicPr>
        <xdr:cNvPr id="56" name="Picture 55"/>
        <xdr:cNvPicPr>
          <a:picLocks noChangeAspect="1"/>
        </xdr:cNvPicPr>
      </xdr:nvPicPr>
      <xdr:blipFill rotWithShape="1">
        <a:blip xmlns:r="http://schemas.openxmlformats.org/officeDocument/2006/relationships" r:embed="rId48"/>
        <a:srcRect l="-18290" t="29048" r="-2419" b="15819"/>
        <a:stretch/>
      </xdr:blipFill>
      <xdr:spPr>
        <a:xfrm>
          <a:off x="923925" y="42462450"/>
          <a:ext cx="1981200" cy="410053"/>
        </a:xfrm>
        <a:prstGeom prst="rect">
          <a:avLst/>
        </a:prstGeom>
      </xdr:spPr>
    </xdr:pic>
    <xdr:clientData/>
  </xdr:twoCellAnchor>
  <xdr:twoCellAnchor>
    <xdr:from>
      <xdr:col>1</xdr:col>
      <xdr:colOff>752475</xdr:colOff>
      <xdr:row>127</xdr:row>
      <xdr:rowOff>57150</xdr:rowOff>
    </xdr:from>
    <xdr:to>
      <xdr:col>1</xdr:col>
      <xdr:colOff>1449539</xdr:colOff>
      <xdr:row>127</xdr:row>
      <xdr:rowOff>644152</xdr:rowOff>
    </xdr:to>
    <xdr:pic>
      <xdr:nvPicPr>
        <xdr:cNvPr id="57" name="Picture 56"/>
        <xdr:cNvPicPr>
          <a:picLocks noChangeAspect="1"/>
        </xdr:cNvPicPr>
      </xdr:nvPicPr>
      <xdr:blipFill rotWithShape="1">
        <a:blip xmlns:r="http://schemas.openxmlformats.org/officeDocument/2006/relationships" r:embed="rId49" cstate="print">
          <a:extLst>
            <a:ext uri="{BEBA8EAE-BF5A-486C-A8C5-ECC9F3942E4B}">
              <a14:imgProps xmlns:a14="http://schemas.microsoft.com/office/drawing/2010/main">
                <a14:imgLayer r:embed="rId50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6719" t="10571" r="3920" b="15050"/>
        <a:stretch/>
      </xdr:blipFill>
      <xdr:spPr>
        <a:xfrm>
          <a:off x="1619250" y="43319700"/>
          <a:ext cx="697064" cy="587002"/>
        </a:xfrm>
        <a:prstGeom prst="rect">
          <a:avLst/>
        </a:prstGeom>
      </xdr:spPr>
    </xdr:pic>
    <xdr:clientData/>
  </xdr:twoCellAnchor>
  <xdr:twoCellAnchor>
    <xdr:from>
      <xdr:col>1</xdr:col>
      <xdr:colOff>704850</xdr:colOff>
      <xdr:row>128</xdr:row>
      <xdr:rowOff>76201</xdr:rowOff>
    </xdr:from>
    <xdr:to>
      <xdr:col>1</xdr:col>
      <xdr:colOff>1495425</xdr:colOff>
      <xdr:row>128</xdr:row>
      <xdr:rowOff>723901</xdr:rowOff>
    </xdr:to>
    <xdr:pic>
      <xdr:nvPicPr>
        <xdr:cNvPr id="58" name="Picture 57" descr="C:\Users\thitichaya.p\Desktop\Tue 31 Oct\3.Price list\ภาพสินค้า part 04\04-003 Flush bolt guide - bifold door.jpg"/>
        <xdr:cNvPicPr/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1625" y="44100751"/>
          <a:ext cx="790575" cy="6477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662622</xdr:colOff>
      <xdr:row>129</xdr:row>
      <xdr:rowOff>33844</xdr:rowOff>
    </xdr:from>
    <xdr:to>
      <xdr:col>1</xdr:col>
      <xdr:colOff>1457325</xdr:colOff>
      <xdr:row>129</xdr:row>
      <xdr:rowOff>723900</xdr:rowOff>
    </xdr:to>
    <xdr:pic>
      <xdr:nvPicPr>
        <xdr:cNvPr id="59" name="Picture 58" descr="C:\Users\thitichaya.p\Desktop\Tue 31 Oct\3.Price list\ภาพสินค้า part 04\04-004 Track insert bifold door.jpg"/>
        <xdr:cNvPicPr/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9397" y="44820394"/>
          <a:ext cx="794703" cy="69005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695326</xdr:colOff>
      <xdr:row>130</xdr:row>
      <xdr:rowOff>66675</xdr:rowOff>
    </xdr:from>
    <xdr:to>
      <xdr:col>1</xdr:col>
      <xdr:colOff>1533526</xdr:colOff>
      <xdr:row>130</xdr:row>
      <xdr:rowOff>723900</xdr:rowOff>
    </xdr:to>
    <xdr:pic>
      <xdr:nvPicPr>
        <xdr:cNvPr id="60" name="Picture 59" descr="C:\Users\thitichaya.p\Desktop\Tue 31 Oct\3.Price list\ภาพสินค้า part 04\04-009 Twin bolt guide flat - bi fold door.jpg"/>
        <xdr:cNvPicPr/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1" y="45615225"/>
          <a:ext cx="838200" cy="657225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640080</xdr:colOff>
          <xdr:row>131</xdr:row>
          <xdr:rowOff>22860</xdr:rowOff>
        </xdr:from>
        <xdr:to>
          <xdr:col>1</xdr:col>
          <xdr:colOff>1546860</xdr:colOff>
          <xdr:row>131</xdr:row>
          <xdr:rowOff>754380</xdr:rowOff>
        </xdr:to>
        <xdr:sp macro="" textlink="">
          <xdr:nvSpPr>
            <xdr:cNvPr id="116737" name="Object 1" hidden="1">
              <a:extLst>
                <a:ext uri="{63B3BB69-23CF-44E3-9099-C40C66FF867C}">
                  <a14:compatExt spid="_x0000_s1167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22408</xdr:colOff>
      <xdr:row>332</xdr:row>
      <xdr:rowOff>111701</xdr:rowOff>
    </xdr:from>
    <xdr:to>
      <xdr:col>9</xdr:col>
      <xdr:colOff>685963</xdr:colOff>
      <xdr:row>394</xdr:row>
      <xdr:rowOff>111702</xdr:rowOff>
    </xdr:to>
    <xdr:grpSp>
      <xdr:nvGrpSpPr>
        <xdr:cNvPr id="20" name="Group 19"/>
        <xdr:cNvGrpSpPr/>
      </xdr:nvGrpSpPr>
      <xdr:grpSpPr>
        <a:xfrm>
          <a:off x="22408" y="69783901"/>
          <a:ext cx="13300055" cy="12585701"/>
          <a:chOff x="22408" y="69215576"/>
          <a:chExt cx="13284180" cy="11811001"/>
        </a:xfrm>
      </xdr:grpSpPr>
      <xdr:pic>
        <xdr:nvPicPr>
          <xdr:cNvPr id="30" name="Picture 29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8" name="Line Callout 2 (No Border) 77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0" name="Line Callout 2 (No Border) 79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1" name="Line Callout 2 (No Border) 80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2" name="Line Callout 2 (No Border) 81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3" name="Line Callout 2 (No Border) 82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4" name="Line Callout 2 (No Border) 83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6" name="Line Callout 2 (No Border) 85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8" name="Line Callout 2 (No Border) 87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90" name="Line Callout 2 (No Border) 89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91" name="Line Callout 2 (No Border) 90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oneCellAnchor>
    <xdr:from>
      <xdr:col>0</xdr:col>
      <xdr:colOff>0</xdr:colOff>
      <xdr:row>0</xdr:row>
      <xdr:rowOff>142856</xdr:rowOff>
    </xdr:from>
    <xdr:ext cx="3110302" cy="1060854"/>
    <xdr:pic>
      <xdr:nvPicPr>
        <xdr:cNvPr id="26" name="Picture 25" descr="logo.jpg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6186"/>
        <a:stretch/>
      </xdr:blipFill>
      <xdr:spPr>
        <a:xfrm>
          <a:off x="0" y="142856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111</xdr:row>
      <xdr:rowOff>163286</xdr:rowOff>
    </xdr:from>
    <xdr:ext cx="3110302" cy="1060854"/>
    <xdr:pic>
      <xdr:nvPicPr>
        <xdr:cNvPr id="68" name="Picture 67" descr="logo.jpg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6186"/>
        <a:stretch/>
      </xdr:blipFill>
      <xdr:spPr>
        <a:xfrm>
          <a:off x="0" y="2224767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</xdr:colOff>
      <xdr:row>207</xdr:row>
      <xdr:rowOff>0</xdr:rowOff>
    </xdr:from>
    <xdr:ext cx="3110302" cy="1060854"/>
    <xdr:pic>
      <xdr:nvPicPr>
        <xdr:cNvPr id="85" name="Picture 84" descr="logo.jpg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6186"/>
        <a:stretch/>
      </xdr:blipFill>
      <xdr:spPr>
        <a:xfrm>
          <a:off x="1" y="43923857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314</xdr:row>
      <xdr:rowOff>0</xdr:rowOff>
    </xdr:from>
    <xdr:ext cx="3110302" cy="1060854"/>
    <xdr:pic>
      <xdr:nvPicPr>
        <xdr:cNvPr id="87" name="Picture 86" descr="logo.jpg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6186"/>
        <a:stretch/>
      </xdr:blipFill>
      <xdr:spPr>
        <a:xfrm>
          <a:off x="0" y="66008250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421</xdr:row>
      <xdr:rowOff>0</xdr:rowOff>
    </xdr:from>
    <xdr:ext cx="3110302" cy="1060854"/>
    <xdr:pic>
      <xdr:nvPicPr>
        <xdr:cNvPr id="92" name="Picture 91" descr="logo.jpg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6186"/>
        <a:stretch/>
      </xdr:blipFill>
      <xdr:spPr>
        <a:xfrm>
          <a:off x="0" y="88555286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0</xdr:colOff>
      <xdr:row>6</xdr:row>
      <xdr:rowOff>108858</xdr:rowOff>
    </xdr:from>
    <xdr:to>
      <xdr:col>1</xdr:col>
      <xdr:colOff>1340748</xdr:colOff>
      <xdr:row>16</xdr:row>
      <xdr:rowOff>122466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55322"/>
          <a:ext cx="1803391" cy="1918608"/>
        </a:xfrm>
        <a:prstGeom prst="rect">
          <a:avLst/>
        </a:prstGeom>
      </xdr:spPr>
    </xdr:pic>
    <xdr:clientData/>
  </xdr:twoCellAnchor>
  <xdr:twoCellAnchor>
    <xdr:from>
      <xdr:col>11</xdr:col>
      <xdr:colOff>68040</xdr:colOff>
      <xdr:row>1</xdr:row>
      <xdr:rowOff>176893</xdr:rowOff>
    </xdr:from>
    <xdr:to>
      <xdr:col>12</xdr:col>
      <xdr:colOff>476253</xdr:colOff>
      <xdr:row>4</xdr:row>
      <xdr:rowOff>13607</xdr:rowOff>
    </xdr:to>
    <xdr:sp macro="" textlink="">
      <xdr:nvSpPr>
        <xdr:cNvPr id="3" name="Left Arrow 2">
          <a:hlinkClick xmlns:r="http://schemas.openxmlformats.org/officeDocument/2006/relationships" r:id="rId4"/>
        </xdr:cNvPr>
        <xdr:cNvSpPr/>
      </xdr:nvSpPr>
      <xdr:spPr>
        <a:xfrm>
          <a:off x="14083397" y="340179"/>
          <a:ext cx="1020535" cy="843642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78441</xdr:colOff>
      <xdr:row>217</xdr:row>
      <xdr:rowOff>159982</xdr:rowOff>
    </xdr:from>
    <xdr:to>
      <xdr:col>1</xdr:col>
      <xdr:colOff>2409264</xdr:colOff>
      <xdr:row>226</xdr:row>
      <xdr:rowOff>126763</xdr:rowOff>
    </xdr:to>
    <xdr:pic>
      <xdr:nvPicPr>
        <xdr:cNvPr id="46" name="Picture 4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5086</xdr:rowOff>
    </xdr:to>
    <xdr:pic>
      <xdr:nvPicPr>
        <xdr:cNvPr id="47" name="Picture 4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243</xdr:row>
      <xdr:rowOff>20401</xdr:rowOff>
    </xdr:from>
    <xdr:to>
      <xdr:col>1</xdr:col>
      <xdr:colOff>2462267</xdr:colOff>
      <xdr:row>250</xdr:row>
      <xdr:rowOff>47614</xdr:rowOff>
    </xdr:to>
    <xdr:pic>
      <xdr:nvPicPr>
        <xdr:cNvPr id="48" name="Picture 4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</xdr:row>
      <xdr:rowOff>8496</xdr:rowOff>
    </xdr:from>
    <xdr:to>
      <xdr:col>1</xdr:col>
      <xdr:colOff>777156</xdr:colOff>
      <xdr:row>260</xdr:row>
      <xdr:rowOff>179187</xdr:rowOff>
    </xdr:to>
    <xdr:pic>
      <xdr:nvPicPr>
        <xdr:cNvPr id="49" name="Picture 4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266</xdr:row>
      <xdr:rowOff>178903</xdr:rowOff>
    </xdr:from>
    <xdr:to>
      <xdr:col>1</xdr:col>
      <xdr:colOff>2429615</xdr:colOff>
      <xdr:row>273</xdr:row>
      <xdr:rowOff>78705</xdr:rowOff>
    </xdr:to>
    <xdr:pic>
      <xdr:nvPicPr>
        <xdr:cNvPr id="50" name="Picture 4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279</xdr:row>
      <xdr:rowOff>5566</xdr:rowOff>
    </xdr:from>
    <xdr:to>
      <xdr:col>1</xdr:col>
      <xdr:colOff>571500</xdr:colOff>
      <xdr:row>283</xdr:row>
      <xdr:rowOff>87829</xdr:rowOff>
    </xdr:to>
    <xdr:pic>
      <xdr:nvPicPr>
        <xdr:cNvPr id="51" name="Picture 5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8603366"/>
          <a:ext cx="1041400" cy="895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1547</xdr:colOff>
      <xdr:row>289</xdr:row>
      <xdr:rowOff>196965</xdr:rowOff>
    </xdr:from>
    <xdr:to>
      <xdr:col>1</xdr:col>
      <xdr:colOff>1945822</xdr:colOff>
      <xdr:row>297</xdr:row>
      <xdr:rowOff>21077</xdr:rowOff>
    </xdr:to>
    <xdr:pic>
      <xdr:nvPicPr>
        <xdr:cNvPr id="52" name="Picture 5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1547" y="60980072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426</xdr:row>
      <xdr:rowOff>149678</xdr:rowOff>
    </xdr:from>
    <xdr:to>
      <xdr:col>1</xdr:col>
      <xdr:colOff>1434353</xdr:colOff>
      <xdr:row>435</xdr:row>
      <xdr:rowOff>95250</xdr:rowOff>
    </xdr:to>
    <xdr:pic>
      <xdr:nvPicPr>
        <xdr:cNvPr id="93" name="Picture 92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9545" t="13068" r="9320" b="10781"/>
        <a:stretch/>
      </xdr:blipFill>
      <xdr:spPr>
        <a:xfrm>
          <a:off x="0" y="90052071"/>
          <a:ext cx="1896996" cy="1660072"/>
        </a:xfrm>
        <a:prstGeom prst="rect">
          <a:avLst/>
        </a:prstGeom>
      </xdr:spPr>
    </xdr:pic>
    <xdr:clientData/>
  </xdr:twoCellAnchor>
  <xdr:twoCellAnchor>
    <xdr:from>
      <xdr:col>0</xdr:col>
      <xdr:colOff>122463</xdr:colOff>
      <xdr:row>435</xdr:row>
      <xdr:rowOff>14558</xdr:rowOff>
    </xdr:from>
    <xdr:to>
      <xdr:col>9</xdr:col>
      <xdr:colOff>653142</xdr:colOff>
      <xdr:row>496</xdr:row>
      <xdr:rowOff>68023</xdr:rowOff>
    </xdr:to>
    <xdr:grpSp>
      <xdr:nvGrpSpPr>
        <xdr:cNvPr id="21" name="Group 20"/>
        <xdr:cNvGrpSpPr/>
      </xdr:nvGrpSpPr>
      <xdr:grpSpPr>
        <a:xfrm>
          <a:off x="122463" y="90997358"/>
          <a:ext cx="13167179" cy="12588365"/>
          <a:chOff x="122463" y="89311433"/>
          <a:chExt cx="13151304" cy="11912090"/>
        </a:xfrm>
      </xdr:grpSpPr>
      <xdr:pic>
        <xdr:nvPicPr>
          <xdr:cNvPr id="95" name="Picture 94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4197" t="6281" r="43722" b="10852"/>
          <a:stretch/>
        </xdr:blipFill>
        <xdr:spPr bwMode="auto">
          <a:xfrm>
            <a:off x="122463" y="89311433"/>
            <a:ext cx="13151304" cy="1191209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6" name="Line Callout 2 (No Border) 95"/>
          <xdr:cNvSpPr/>
        </xdr:nvSpPr>
        <xdr:spPr>
          <a:xfrm flipH="1">
            <a:off x="1360715" y="93902892"/>
            <a:ext cx="1918395" cy="66984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97" name="Line Callout 2 (No Border) 96"/>
          <xdr:cNvSpPr/>
        </xdr:nvSpPr>
        <xdr:spPr>
          <a:xfrm flipH="1">
            <a:off x="3763545" y="99777989"/>
            <a:ext cx="1912583" cy="657854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98" name="Line Callout 2 (No Border) 97"/>
          <xdr:cNvSpPr/>
        </xdr:nvSpPr>
        <xdr:spPr>
          <a:xfrm flipH="1">
            <a:off x="6351303" y="98394862"/>
            <a:ext cx="1181850" cy="67146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20228"/>
              <a:gd name="adj6" fmla="val 1173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99" name="Line Callout 2 (No Border) 98"/>
          <xdr:cNvSpPr/>
        </xdr:nvSpPr>
        <xdr:spPr>
          <a:xfrm flipH="1">
            <a:off x="5645331" y="98938348"/>
            <a:ext cx="1518829" cy="67146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113835"/>
              <a:gd name="adj6" fmla="val 1428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100" name="Line Callout 2 (No Border) 99"/>
          <xdr:cNvSpPr/>
        </xdr:nvSpPr>
        <xdr:spPr>
          <a:xfrm flipH="1">
            <a:off x="6554242" y="92069129"/>
            <a:ext cx="1991044" cy="683455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101" name="Rectangle 100"/>
          <xdr:cNvSpPr>
            <a:spLocks/>
          </xdr:cNvSpPr>
        </xdr:nvSpPr>
        <xdr:spPr>
          <a:xfrm>
            <a:off x="9429749" y="93481072"/>
            <a:ext cx="790547" cy="61517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2" name="Rectangle 101"/>
          <xdr:cNvSpPr>
            <a:spLocks/>
          </xdr:cNvSpPr>
        </xdr:nvSpPr>
        <xdr:spPr>
          <a:xfrm>
            <a:off x="3544661" y="96352179"/>
            <a:ext cx="797350" cy="6015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3" name="Line Callout 2 (No Border) 102"/>
          <xdr:cNvSpPr/>
        </xdr:nvSpPr>
        <xdr:spPr>
          <a:xfrm flipH="1">
            <a:off x="5955524" y="92722270"/>
            <a:ext cx="1984241" cy="66984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104" name="Line Callout 2 (No Border) 103"/>
          <xdr:cNvSpPr/>
        </xdr:nvSpPr>
        <xdr:spPr>
          <a:xfrm flipH="1">
            <a:off x="3844018" y="93280164"/>
            <a:ext cx="2544533" cy="683455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105" name="Line Callout 2 (No Border) 104"/>
          <xdr:cNvSpPr/>
        </xdr:nvSpPr>
        <xdr:spPr>
          <a:xfrm flipH="1">
            <a:off x="749562" y="94389561"/>
            <a:ext cx="1912583" cy="671462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106" name="Line Callout 2 (No Border) 105"/>
          <xdr:cNvSpPr/>
        </xdr:nvSpPr>
        <xdr:spPr>
          <a:xfrm flipH="1">
            <a:off x="6538233" y="97876176"/>
            <a:ext cx="1945608" cy="669847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17</xdr:row>
      <xdr:rowOff>116843</xdr:rowOff>
    </xdr:from>
    <xdr:to>
      <xdr:col>9</xdr:col>
      <xdr:colOff>764074</xdr:colOff>
      <xdr:row>98</xdr:row>
      <xdr:rowOff>136530</xdr:rowOff>
    </xdr:to>
    <xdr:grpSp>
      <xdr:nvGrpSpPr>
        <xdr:cNvPr id="22" name="Group 21"/>
        <xdr:cNvGrpSpPr/>
      </xdr:nvGrpSpPr>
      <xdr:grpSpPr>
        <a:xfrm>
          <a:off x="0" y="3876043"/>
          <a:ext cx="13400574" cy="15500987"/>
          <a:chOff x="0" y="3812543"/>
          <a:chExt cx="13375174" cy="15488287"/>
        </a:xfrm>
      </xdr:grpSpPr>
      <xdr:pic>
        <xdr:nvPicPr>
          <xdr:cNvPr id="107" name="Picture 10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7236" t="17393" r="50590" b="29673"/>
          <a:stretch/>
        </xdr:blipFill>
        <xdr:spPr bwMode="auto">
          <a:xfrm>
            <a:off x="0" y="3951340"/>
            <a:ext cx="13325475" cy="1504627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10" name="Line Callout 2 (No Border) 109"/>
          <xdr:cNvSpPr/>
        </xdr:nvSpPr>
        <xdr:spPr>
          <a:xfrm flipH="1">
            <a:off x="3921059" y="6153363"/>
            <a:ext cx="1919592" cy="724275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111" name="Line Callout 2 (No Border) 110"/>
          <xdr:cNvSpPr/>
        </xdr:nvSpPr>
        <xdr:spPr>
          <a:xfrm flipH="1">
            <a:off x="8027453" y="3812543"/>
            <a:ext cx="1925198" cy="695953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112" name="Line Callout 2 (No Border) 111"/>
          <xdr:cNvSpPr/>
        </xdr:nvSpPr>
        <xdr:spPr>
          <a:xfrm flipH="1">
            <a:off x="4538280" y="14237449"/>
            <a:ext cx="1925198" cy="724275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113" name="Line Callout 2 (No Border) 112"/>
          <xdr:cNvSpPr/>
        </xdr:nvSpPr>
        <xdr:spPr>
          <a:xfrm flipH="1">
            <a:off x="11414466" y="9962342"/>
            <a:ext cx="1949853" cy="712283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93560"/>
              <a:gd name="adj6" fmla="val 9978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114" name="Line Callout 2 (No Border) 113"/>
          <xdr:cNvSpPr/>
        </xdr:nvSpPr>
        <xdr:spPr>
          <a:xfrm flipH="1">
            <a:off x="5262721" y="8917860"/>
            <a:ext cx="1925198" cy="724275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115" name="Line Callout 2 (No Border) 114"/>
          <xdr:cNvSpPr/>
        </xdr:nvSpPr>
        <xdr:spPr>
          <a:xfrm flipH="1">
            <a:off x="2401283" y="14757349"/>
            <a:ext cx="1906066" cy="71228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116" name="Line Callout 2 (No Border) 115"/>
          <xdr:cNvSpPr/>
        </xdr:nvSpPr>
        <xdr:spPr>
          <a:xfrm flipH="1">
            <a:off x="2990959" y="18588547"/>
            <a:ext cx="1896255" cy="71228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117" name="Line Callout 2 (No Border) 116"/>
          <xdr:cNvSpPr/>
        </xdr:nvSpPr>
        <xdr:spPr>
          <a:xfrm flipH="1">
            <a:off x="11944621" y="5090567"/>
            <a:ext cx="1430553" cy="724275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8490"/>
              <a:gd name="adj6" fmla="val 101673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118" name="Line Callout 2 (No Border) 117"/>
          <xdr:cNvSpPr/>
        </xdr:nvSpPr>
        <xdr:spPr>
          <a:xfrm flipH="1">
            <a:off x="272140" y="16132692"/>
            <a:ext cx="1493711" cy="712283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119" name="Line Callout 2 (No Border) 118"/>
          <xdr:cNvSpPr/>
        </xdr:nvSpPr>
        <xdr:spPr>
          <a:xfrm flipH="1">
            <a:off x="7320722" y="15964099"/>
            <a:ext cx="1938886" cy="724275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122" name="Line Callout 2 (No Border) 121"/>
          <xdr:cNvSpPr/>
        </xdr:nvSpPr>
        <xdr:spPr>
          <a:xfrm flipH="1">
            <a:off x="6129300" y="7920254"/>
            <a:ext cx="1913945" cy="7100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4198"/>
              <a:gd name="adj6" fmla="val -1253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123" name="Line Callout 2 (No Border) 122"/>
          <xdr:cNvSpPr/>
        </xdr:nvSpPr>
        <xdr:spPr>
          <a:xfrm flipH="1">
            <a:off x="4315160" y="14719184"/>
            <a:ext cx="1913572" cy="697306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124" name="Line Callout 2 (No Border) 123"/>
          <xdr:cNvSpPr/>
        </xdr:nvSpPr>
        <xdr:spPr>
          <a:xfrm flipH="1">
            <a:off x="6142256" y="11742717"/>
            <a:ext cx="1182461" cy="71173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125" name="Line Callout 2 (No Border) 124"/>
          <xdr:cNvSpPr/>
        </xdr:nvSpPr>
        <xdr:spPr>
          <a:xfrm flipH="1">
            <a:off x="6415636" y="12985546"/>
            <a:ext cx="1514172" cy="71173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9570"/>
              <a:gd name="adj6" fmla="val -245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126" name="Line Callout 2 (No Border) 125"/>
          <xdr:cNvSpPr/>
        </xdr:nvSpPr>
        <xdr:spPr>
          <a:xfrm flipH="1">
            <a:off x="5488050" y="13582913"/>
            <a:ext cx="1986631" cy="724442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97829"/>
              <a:gd name="adj6" fmla="val -4212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127" name="Rectangle 126"/>
          <xdr:cNvSpPr>
            <a:spLocks/>
          </xdr:cNvSpPr>
        </xdr:nvSpPr>
        <xdr:spPr>
          <a:xfrm>
            <a:off x="8620824" y="9310175"/>
            <a:ext cx="790956" cy="6520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8" name="Rectangle 127"/>
          <xdr:cNvSpPr>
            <a:spLocks/>
          </xdr:cNvSpPr>
        </xdr:nvSpPr>
        <xdr:spPr>
          <a:xfrm>
            <a:off x="3715162" y="11945177"/>
            <a:ext cx="797763" cy="63764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9" name="Line Callout 2 (No Border) 128"/>
          <xdr:cNvSpPr/>
        </xdr:nvSpPr>
        <xdr:spPr>
          <a:xfrm flipH="1">
            <a:off x="5732665" y="8424151"/>
            <a:ext cx="1979825" cy="71002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71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130" name="Line Callout 2 (No Border) 129"/>
          <xdr:cNvSpPr/>
        </xdr:nvSpPr>
        <xdr:spPr>
          <a:xfrm flipH="1">
            <a:off x="3960245" y="9423717"/>
            <a:ext cx="2545849" cy="724442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0098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132" name="Line Callout 2 (No Border) 131"/>
          <xdr:cNvSpPr/>
        </xdr:nvSpPr>
        <xdr:spPr>
          <a:xfrm flipH="1">
            <a:off x="9605881" y="10485355"/>
            <a:ext cx="1922122" cy="710018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212827"/>
              <a:gd name="adj6" fmla="val 1109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133" name="Line Callout 2 (No Border) 132"/>
          <xdr:cNvSpPr/>
        </xdr:nvSpPr>
        <xdr:spPr>
          <a:xfrm flipH="1">
            <a:off x="3166515" y="9905682"/>
            <a:ext cx="1897244" cy="71173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72743"/>
              <a:gd name="adj6" fmla="val 15846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134" name="Line Callout 2 (No Border) 133"/>
          <xdr:cNvSpPr/>
        </xdr:nvSpPr>
        <xdr:spPr>
          <a:xfrm flipH="1">
            <a:off x="6736102" y="4457110"/>
            <a:ext cx="2556734" cy="724442"/>
          </a:xfrm>
          <a:prstGeom prst="callout2">
            <a:avLst>
              <a:gd name="adj1" fmla="val 49131"/>
              <a:gd name="adj2" fmla="val 89351"/>
              <a:gd name="adj3" fmla="val 49425"/>
              <a:gd name="adj4" fmla="val 4969"/>
              <a:gd name="adj5" fmla="val 296605"/>
              <a:gd name="adj6" fmla="val -6342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Right Hand End Carrier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ชุดล้อแขวนบานสุดท้าย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320</xdr:row>
      <xdr:rowOff>13605</xdr:rowOff>
    </xdr:from>
    <xdr:to>
      <xdr:col>1</xdr:col>
      <xdr:colOff>1730993</xdr:colOff>
      <xdr:row>329</xdr:row>
      <xdr:rowOff>41418</xdr:rowOff>
    </xdr:to>
    <xdr:pic>
      <xdr:nvPicPr>
        <xdr:cNvPr id="89" name="Picture 8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8811319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</xdr:colOff>
      <xdr:row>301</xdr:row>
      <xdr:rowOff>175786</xdr:rowOff>
    </xdr:from>
    <xdr:to>
      <xdr:col>1</xdr:col>
      <xdr:colOff>2711363</xdr:colOff>
      <xdr:row>308</xdr:row>
      <xdr:rowOff>76014</xdr:rowOff>
    </xdr:to>
    <xdr:grpSp>
      <xdr:nvGrpSpPr>
        <xdr:cNvPr id="4" name="Group 3"/>
        <xdr:cNvGrpSpPr/>
      </xdr:nvGrpSpPr>
      <xdr:grpSpPr>
        <a:xfrm>
          <a:off x="5" y="63243986"/>
          <a:ext cx="3181258" cy="1322628"/>
          <a:chOff x="5" y="63408179"/>
          <a:chExt cx="3174001" cy="1328978"/>
        </a:xfrm>
      </xdr:grpSpPr>
      <xdr:pic>
        <xdr:nvPicPr>
          <xdr:cNvPr id="54" name="Picture 5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7" name="Rectangle 56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58" name="Rectangle 57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59" name="Rectangle 58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77" name="Picture 7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5" name="Picture 74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117</xdr:row>
      <xdr:rowOff>95251</xdr:rowOff>
    </xdr:from>
    <xdr:to>
      <xdr:col>1</xdr:col>
      <xdr:colOff>1340748</xdr:colOff>
      <xdr:row>127</xdr:row>
      <xdr:rowOff>95251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3472322"/>
          <a:ext cx="1803391" cy="19186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129249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2924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429</xdr:row>
      <xdr:rowOff>201705</xdr:rowOff>
    </xdr:from>
    <xdr:to>
      <xdr:col>9</xdr:col>
      <xdr:colOff>324970</xdr:colOff>
      <xdr:row>430</xdr:row>
      <xdr:rowOff>212911</xdr:rowOff>
    </xdr:to>
    <xdr:sp macro="" textlink="">
      <xdr:nvSpPr>
        <xdr:cNvPr id="5" name="Rectangle 4"/>
        <xdr:cNvSpPr/>
      </xdr:nvSpPr>
      <xdr:spPr>
        <a:xfrm>
          <a:off x="12711954" y="891366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149679</xdr:rowOff>
    </xdr:from>
    <xdr:ext cx="3110302" cy="1060854"/>
    <xdr:pic>
      <xdr:nvPicPr>
        <xdr:cNvPr id="46" name="Picture 4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23407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</xdr:colOff>
      <xdr:row>207</xdr:row>
      <xdr:rowOff>0</xdr:rowOff>
    </xdr:from>
    <xdr:ext cx="3110302" cy="1060854"/>
    <xdr:pic>
      <xdr:nvPicPr>
        <xdr:cNvPr id="47" name="Picture 4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" y="4453617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313</xdr:row>
      <xdr:rowOff>176893</xdr:rowOff>
    </xdr:from>
    <xdr:ext cx="3110302" cy="1060854"/>
    <xdr:pic>
      <xdr:nvPicPr>
        <xdr:cNvPr id="48" name="Picture 4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67083214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420</xdr:row>
      <xdr:rowOff>0</xdr:rowOff>
    </xdr:from>
    <xdr:ext cx="3110302" cy="1060854"/>
    <xdr:pic>
      <xdr:nvPicPr>
        <xdr:cNvPr id="49" name="Picture 4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9439750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0</xdr:colOff>
      <xdr:row>6</xdr:row>
      <xdr:rowOff>68037</xdr:rowOff>
    </xdr:from>
    <xdr:to>
      <xdr:col>1</xdr:col>
      <xdr:colOff>1342099</xdr:colOff>
      <xdr:row>16</xdr:row>
      <xdr:rowOff>95251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1"/>
          <a:ext cx="1804742" cy="19322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136072</xdr:rowOff>
    </xdr:from>
    <xdr:to>
      <xdr:col>1</xdr:col>
      <xdr:colOff>1342099</xdr:colOff>
      <xdr:row>127</xdr:row>
      <xdr:rowOff>163285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57429"/>
          <a:ext cx="1804742" cy="1945821"/>
        </a:xfrm>
        <a:prstGeom prst="rect">
          <a:avLst/>
        </a:prstGeom>
      </xdr:spPr>
    </xdr:pic>
    <xdr:clientData/>
  </xdr:twoCellAnchor>
  <xdr:twoCellAnchor>
    <xdr:from>
      <xdr:col>11</xdr:col>
      <xdr:colOff>176891</xdr:colOff>
      <xdr:row>2</xdr:row>
      <xdr:rowOff>0</xdr:rowOff>
    </xdr:from>
    <xdr:to>
      <xdr:col>12</xdr:col>
      <xdr:colOff>585104</xdr:colOff>
      <xdr:row>5</xdr:row>
      <xdr:rowOff>54428</xdr:rowOff>
    </xdr:to>
    <xdr:sp macro="" textlink="">
      <xdr:nvSpPr>
        <xdr:cNvPr id="24" name="Left Arrow 23">
          <a:hlinkClick xmlns:r="http://schemas.openxmlformats.org/officeDocument/2006/relationships" r:id="rId3"/>
        </xdr:cNvPr>
        <xdr:cNvSpPr/>
      </xdr:nvSpPr>
      <xdr:spPr>
        <a:xfrm>
          <a:off x="14192248" y="544286"/>
          <a:ext cx="1020535" cy="843642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78441</xdr:colOff>
      <xdr:row>217</xdr:row>
      <xdr:rowOff>159982</xdr:rowOff>
    </xdr:from>
    <xdr:to>
      <xdr:col>1</xdr:col>
      <xdr:colOff>2409264</xdr:colOff>
      <xdr:row>226</xdr:row>
      <xdr:rowOff>99547</xdr:rowOff>
    </xdr:to>
    <xdr:pic>
      <xdr:nvPicPr>
        <xdr:cNvPr id="28" name="Picture 2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5086</xdr:rowOff>
    </xdr:to>
    <xdr:pic>
      <xdr:nvPicPr>
        <xdr:cNvPr id="36" name="Picture 3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243</xdr:row>
      <xdr:rowOff>20401</xdr:rowOff>
    </xdr:from>
    <xdr:to>
      <xdr:col>1</xdr:col>
      <xdr:colOff>2462267</xdr:colOff>
      <xdr:row>250</xdr:row>
      <xdr:rowOff>47615</xdr:rowOff>
    </xdr:to>
    <xdr:pic>
      <xdr:nvPicPr>
        <xdr:cNvPr id="37" name="Picture 3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</xdr:row>
      <xdr:rowOff>8496</xdr:rowOff>
    </xdr:from>
    <xdr:to>
      <xdr:col>1</xdr:col>
      <xdr:colOff>777156</xdr:colOff>
      <xdr:row>260</xdr:row>
      <xdr:rowOff>179188</xdr:rowOff>
    </xdr:to>
    <xdr:pic>
      <xdr:nvPicPr>
        <xdr:cNvPr id="38" name="Picture 3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265</xdr:row>
      <xdr:rowOff>178903</xdr:rowOff>
    </xdr:from>
    <xdr:to>
      <xdr:col>1</xdr:col>
      <xdr:colOff>2429615</xdr:colOff>
      <xdr:row>272</xdr:row>
      <xdr:rowOff>78706</xdr:rowOff>
    </xdr:to>
    <xdr:pic>
      <xdr:nvPicPr>
        <xdr:cNvPr id="39" name="Picture 3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278</xdr:row>
      <xdr:rowOff>5566</xdr:rowOff>
    </xdr:from>
    <xdr:to>
      <xdr:col>1</xdr:col>
      <xdr:colOff>571500</xdr:colOff>
      <xdr:row>282</xdr:row>
      <xdr:rowOff>87827</xdr:rowOff>
    </xdr:to>
    <xdr:pic>
      <xdr:nvPicPr>
        <xdr:cNvPr id="40" name="Picture 3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425</xdr:row>
      <xdr:rowOff>176895</xdr:rowOff>
    </xdr:from>
    <xdr:to>
      <xdr:col>1</xdr:col>
      <xdr:colOff>1455964</xdr:colOff>
      <xdr:row>434</xdr:row>
      <xdr:rowOff>81645</xdr:rowOff>
    </xdr:to>
    <xdr:pic>
      <xdr:nvPicPr>
        <xdr:cNvPr id="27" name="Picture 26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8971" t="12849" r="9086" b="10055"/>
        <a:stretch/>
      </xdr:blipFill>
      <xdr:spPr>
        <a:xfrm>
          <a:off x="0" y="90147324"/>
          <a:ext cx="1918607" cy="16192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335</xdr:row>
      <xdr:rowOff>76488</xdr:rowOff>
    </xdr:from>
    <xdr:to>
      <xdr:col>9</xdr:col>
      <xdr:colOff>663555</xdr:colOff>
      <xdr:row>397</xdr:row>
      <xdr:rowOff>76490</xdr:rowOff>
    </xdr:to>
    <xdr:grpSp>
      <xdr:nvGrpSpPr>
        <xdr:cNvPr id="29" name="Group 28"/>
        <xdr:cNvGrpSpPr/>
      </xdr:nvGrpSpPr>
      <xdr:grpSpPr>
        <a:xfrm>
          <a:off x="0" y="70421788"/>
          <a:ext cx="13300055" cy="12585702"/>
          <a:chOff x="22408" y="69215576"/>
          <a:chExt cx="13284180" cy="11811001"/>
        </a:xfrm>
      </xdr:grpSpPr>
      <xdr:pic>
        <xdr:nvPicPr>
          <xdr:cNvPr id="30" name="Picture 29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1" name="Line Callout 2 (No Border) 30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2" name="Line Callout 2 (No Border) 31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3" name="Line Callout 2 (No Border) 32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4" name="Line Callout 2 (No Border) 33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5" name="Line Callout 2 (No Border) 34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68035</xdr:colOff>
      <xdr:row>440</xdr:row>
      <xdr:rowOff>183453</xdr:rowOff>
    </xdr:from>
    <xdr:to>
      <xdr:col>9</xdr:col>
      <xdr:colOff>598714</xdr:colOff>
      <xdr:row>501</xdr:row>
      <xdr:rowOff>5597</xdr:rowOff>
    </xdr:to>
    <xdr:grpSp>
      <xdr:nvGrpSpPr>
        <xdr:cNvPr id="55" name="Group 54"/>
        <xdr:cNvGrpSpPr/>
      </xdr:nvGrpSpPr>
      <xdr:grpSpPr>
        <a:xfrm>
          <a:off x="68035" y="92220353"/>
          <a:ext cx="13167179" cy="12141144"/>
          <a:chOff x="122463" y="89311433"/>
          <a:chExt cx="13151304" cy="11912090"/>
        </a:xfrm>
      </xdr:grpSpPr>
      <xdr:pic>
        <xdr:nvPicPr>
          <xdr:cNvPr id="56" name="Picture 5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4197" t="6281" r="43722" b="10852"/>
          <a:stretch/>
        </xdr:blipFill>
        <xdr:spPr bwMode="auto">
          <a:xfrm>
            <a:off x="122463" y="89311433"/>
            <a:ext cx="13151304" cy="1191209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0" name="Line Callout 2 (No Border) 59"/>
          <xdr:cNvSpPr/>
        </xdr:nvSpPr>
        <xdr:spPr>
          <a:xfrm flipH="1">
            <a:off x="1360715" y="93902892"/>
            <a:ext cx="1918395" cy="66984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2" name="Line Callout 2 (No Border) 61"/>
          <xdr:cNvSpPr/>
        </xdr:nvSpPr>
        <xdr:spPr>
          <a:xfrm flipH="1">
            <a:off x="3763545" y="99777989"/>
            <a:ext cx="1912583" cy="657854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6351303" y="98394862"/>
            <a:ext cx="1181850" cy="67146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20228"/>
              <a:gd name="adj6" fmla="val 1173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5645331" y="98938348"/>
            <a:ext cx="1518829" cy="67146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113835"/>
              <a:gd name="adj6" fmla="val 1428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6554242" y="92069129"/>
            <a:ext cx="1991044" cy="683455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6" name="Rectangle 65"/>
          <xdr:cNvSpPr>
            <a:spLocks/>
          </xdr:cNvSpPr>
        </xdr:nvSpPr>
        <xdr:spPr>
          <a:xfrm>
            <a:off x="9429749" y="93481072"/>
            <a:ext cx="790547" cy="61517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7" name="Rectangle 66"/>
          <xdr:cNvSpPr>
            <a:spLocks/>
          </xdr:cNvSpPr>
        </xdr:nvSpPr>
        <xdr:spPr>
          <a:xfrm>
            <a:off x="3544661" y="96352179"/>
            <a:ext cx="797350" cy="6015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8" name="Line Callout 2 (No Border) 67"/>
          <xdr:cNvSpPr/>
        </xdr:nvSpPr>
        <xdr:spPr>
          <a:xfrm flipH="1">
            <a:off x="5955524" y="92722270"/>
            <a:ext cx="1984241" cy="66984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9" name="Line Callout 2 (No Border) 68"/>
          <xdr:cNvSpPr/>
        </xdr:nvSpPr>
        <xdr:spPr>
          <a:xfrm flipH="1">
            <a:off x="3844018" y="93280164"/>
            <a:ext cx="2544533" cy="683455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0" name="Line Callout 2 (No Border) 69"/>
          <xdr:cNvSpPr/>
        </xdr:nvSpPr>
        <xdr:spPr>
          <a:xfrm flipH="1">
            <a:off x="749562" y="94389561"/>
            <a:ext cx="1912583" cy="671462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1" name="Line Callout 2 (No Border) 70"/>
          <xdr:cNvSpPr/>
        </xdr:nvSpPr>
        <xdr:spPr>
          <a:xfrm flipH="1">
            <a:off x="6538233" y="97876176"/>
            <a:ext cx="1945608" cy="669847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22</xdr:row>
      <xdr:rowOff>190487</xdr:rowOff>
    </xdr:from>
    <xdr:to>
      <xdr:col>9</xdr:col>
      <xdr:colOff>764074</xdr:colOff>
      <xdr:row>104</xdr:row>
      <xdr:rowOff>74103</xdr:rowOff>
    </xdr:to>
    <xdr:grpSp>
      <xdr:nvGrpSpPr>
        <xdr:cNvPr id="72" name="Group 71"/>
        <xdr:cNvGrpSpPr/>
      </xdr:nvGrpSpPr>
      <xdr:grpSpPr>
        <a:xfrm>
          <a:off x="0" y="4952987"/>
          <a:ext cx="13400574" cy="15504616"/>
          <a:chOff x="0" y="3812543"/>
          <a:chExt cx="13375174" cy="15488287"/>
        </a:xfrm>
      </xdr:grpSpPr>
      <xdr:pic>
        <xdr:nvPicPr>
          <xdr:cNvPr id="73" name="Picture 7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7236" t="17393" r="50590" b="29673"/>
          <a:stretch/>
        </xdr:blipFill>
        <xdr:spPr bwMode="auto">
          <a:xfrm>
            <a:off x="0" y="3951340"/>
            <a:ext cx="13325475" cy="1504627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4" name="Line Callout 2 (No Border) 73"/>
          <xdr:cNvSpPr/>
        </xdr:nvSpPr>
        <xdr:spPr>
          <a:xfrm flipH="1">
            <a:off x="3921059" y="6153363"/>
            <a:ext cx="1919592" cy="724275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5" name="Line Callout 2 (No Border) 74"/>
          <xdr:cNvSpPr/>
        </xdr:nvSpPr>
        <xdr:spPr>
          <a:xfrm flipH="1">
            <a:off x="8027453" y="3812543"/>
            <a:ext cx="1925198" cy="695953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6" name="Line Callout 2 (No Border) 75"/>
          <xdr:cNvSpPr/>
        </xdr:nvSpPr>
        <xdr:spPr>
          <a:xfrm flipH="1">
            <a:off x="4538280" y="14237449"/>
            <a:ext cx="1925198" cy="724275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11414466" y="9962342"/>
            <a:ext cx="1949853" cy="712283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93560"/>
              <a:gd name="adj6" fmla="val 9978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5262721" y="8917860"/>
            <a:ext cx="1925198" cy="724275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9" name="Line Callout 2 (No Border) 78"/>
          <xdr:cNvSpPr/>
        </xdr:nvSpPr>
        <xdr:spPr>
          <a:xfrm flipH="1">
            <a:off x="2401283" y="14757349"/>
            <a:ext cx="1906066" cy="71228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0" name="Line Callout 2 (No Border) 79"/>
          <xdr:cNvSpPr/>
        </xdr:nvSpPr>
        <xdr:spPr>
          <a:xfrm flipH="1">
            <a:off x="2990959" y="18588547"/>
            <a:ext cx="1896255" cy="71228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1" name="Line Callout 2 (No Border) 80"/>
          <xdr:cNvSpPr/>
        </xdr:nvSpPr>
        <xdr:spPr>
          <a:xfrm flipH="1">
            <a:off x="11944621" y="5090567"/>
            <a:ext cx="1430553" cy="724275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8490"/>
              <a:gd name="adj6" fmla="val 101673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2" name="Line Callout 2 (No Border) 81"/>
          <xdr:cNvSpPr/>
        </xdr:nvSpPr>
        <xdr:spPr>
          <a:xfrm flipH="1">
            <a:off x="272140" y="16132692"/>
            <a:ext cx="1493711" cy="712283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3" name="Line Callout 2 (No Border) 82"/>
          <xdr:cNvSpPr/>
        </xdr:nvSpPr>
        <xdr:spPr>
          <a:xfrm flipH="1">
            <a:off x="7320722" y="15964099"/>
            <a:ext cx="1938886" cy="724275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4" name="Line Callout 2 (No Border) 83"/>
          <xdr:cNvSpPr/>
        </xdr:nvSpPr>
        <xdr:spPr>
          <a:xfrm flipH="1">
            <a:off x="6129300" y="7920254"/>
            <a:ext cx="1913945" cy="7100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4198"/>
              <a:gd name="adj6" fmla="val -1253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5" name="Line Callout 2 (No Border) 84"/>
          <xdr:cNvSpPr/>
        </xdr:nvSpPr>
        <xdr:spPr>
          <a:xfrm flipH="1">
            <a:off x="4315160" y="14719184"/>
            <a:ext cx="1913572" cy="697306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6" name="Line Callout 2 (No Border) 85"/>
          <xdr:cNvSpPr/>
        </xdr:nvSpPr>
        <xdr:spPr>
          <a:xfrm flipH="1">
            <a:off x="6142256" y="11742717"/>
            <a:ext cx="1182461" cy="71173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7" name="Line Callout 2 (No Border) 86"/>
          <xdr:cNvSpPr/>
        </xdr:nvSpPr>
        <xdr:spPr>
          <a:xfrm flipH="1">
            <a:off x="6415636" y="12985546"/>
            <a:ext cx="1514172" cy="71173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9570"/>
              <a:gd name="adj6" fmla="val -245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8" name="Line Callout 2 (No Border) 87"/>
          <xdr:cNvSpPr/>
        </xdr:nvSpPr>
        <xdr:spPr>
          <a:xfrm flipH="1">
            <a:off x="5488050" y="13582913"/>
            <a:ext cx="1986631" cy="724442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97829"/>
              <a:gd name="adj6" fmla="val -4212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9" name="Rectangle 88"/>
          <xdr:cNvSpPr>
            <a:spLocks/>
          </xdr:cNvSpPr>
        </xdr:nvSpPr>
        <xdr:spPr>
          <a:xfrm>
            <a:off x="8593644" y="9337360"/>
            <a:ext cx="790956" cy="6520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0" name="Rectangle 89"/>
          <xdr:cNvSpPr>
            <a:spLocks/>
          </xdr:cNvSpPr>
        </xdr:nvSpPr>
        <xdr:spPr>
          <a:xfrm>
            <a:off x="3715162" y="11945177"/>
            <a:ext cx="797763" cy="63764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1" name="Line Callout 2 (No Border) 90"/>
          <xdr:cNvSpPr/>
        </xdr:nvSpPr>
        <xdr:spPr>
          <a:xfrm flipH="1">
            <a:off x="5732665" y="8424151"/>
            <a:ext cx="1979825" cy="71002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71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92" name="Line Callout 2 (No Border) 91"/>
          <xdr:cNvSpPr/>
        </xdr:nvSpPr>
        <xdr:spPr>
          <a:xfrm flipH="1">
            <a:off x="3960245" y="9423717"/>
            <a:ext cx="2545849" cy="724442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0098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93" name="Line Callout 2 (No Border) 92"/>
          <xdr:cNvSpPr/>
        </xdr:nvSpPr>
        <xdr:spPr>
          <a:xfrm flipH="1">
            <a:off x="9605881" y="10485355"/>
            <a:ext cx="1922122" cy="710018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212827"/>
              <a:gd name="adj6" fmla="val 1109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94" name="Line Callout 2 (No Border) 93"/>
          <xdr:cNvSpPr/>
        </xdr:nvSpPr>
        <xdr:spPr>
          <a:xfrm flipH="1">
            <a:off x="3166515" y="9905682"/>
            <a:ext cx="1897244" cy="71173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72743"/>
              <a:gd name="adj6" fmla="val 15846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95" name="Line Callout 2 (No Border) 94"/>
          <xdr:cNvSpPr/>
        </xdr:nvSpPr>
        <xdr:spPr>
          <a:xfrm flipH="1">
            <a:off x="6736102" y="4457110"/>
            <a:ext cx="2556734" cy="724442"/>
          </a:xfrm>
          <a:prstGeom prst="callout2">
            <a:avLst>
              <a:gd name="adj1" fmla="val 49131"/>
              <a:gd name="adj2" fmla="val 89351"/>
              <a:gd name="adj3" fmla="val 49425"/>
              <a:gd name="adj4" fmla="val 4969"/>
              <a:gd name="adj5" fmla="val 296605"/>
              <a:gd name="adj6" fmla="val -6342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Right Hand End Carrier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ชุดล้อแขวนบานสุดท้าย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320</xdr:row>
      <xdr:rowOff>27212</xdr:rowOff>
    </xdr:from>
    <xdr:to>
      <xdr:col>1</xdr:col>
      <xdr:colOff>1730993</xdr:colOff>
      <xdr:row>329</xdr:row>
      <xdr:rowOff>55025</xdr:rowOff>
    </xdr:to>
    <xdr:pic>
      <xdr:nvPicPr>
        <xdr:cNvPr id="103" name="Picture 10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8892962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81648</xdr:colOff>
      <xdr:row>301</xdr:row>
      <xdr:rowOff>176893</xdr:rowOff>
    </xdr:from>
    <xdr:to>
      <xdr:col>2</xdr:col>
      <xdr:colOff>71578</xdr:colOff>
      <xdr:row>308</xdr:row>
      <xdr:rowOff>77121</xdr:rowOff>
    </xdr:to>
    <xdr:grpSp>
      <xdr:nvGrpSpPr>
        <xdr:cNvPr id="104" name="Group 103"/>
        <xdr:cNvGrpSpPr/>
      </xdr:nvGrpSpPr>
      <xdr:grpSpPr>
        <a:xfrm>
          <a:off x="81648" y="63283193"/>
          <a:ext cx="3177630" cy="1322628"/>
          <a:chOff x="5" y="63408179"/>
          <a:chExt cx="3174001" cy="1328978"/>
        </a:xfrm>
      </xdr:grpSpPr>
      <xdr:pic>
        <xdr:nvPicPr>
          <xdr:cNvPr id="105" name="Picture 104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6" name="Rectangle 105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107" name="Rectangle 106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108" name="Rectangle 107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109" name="Picture 108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10" name="Picture 109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27214</xdr:colOff>
      <xdr:row>289</xdr:row>
      <xdr:rowOff>0</xdr:rowOff>
    </xdr:from>
    <xdr:to>
      <xdr:col>1</xdr:col>
      <xdr:colOff>1961964</xdr:colOff>
      <xdr:row>296</xdr:row>
      <xdr:rowOff>28219</xdr:rowOff>
    </xdr:to>
    <xdr:pic>
      <xdr:nvPicPr>
        <xdr:cNvPr id="96" name="Picture 9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27214" y="60823929"/>
          <a:ext cx="2397393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122238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22238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112</xdr:row>
      <xdr:rowOff>0</xdr:rowOff>
    </xdr:from>
    <xdr:ext cx="3110302" cy="1060854"/>
    <xdr:pic>
      <xdr:nvPicPr>
        <xdr:cNvPr id="3" name="Picture 2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1888450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11958</xdr:colOff>
      <xdr:row>207</xdr:row>
      <xdr:rowOff>144317</xdr:rowOff>
    </xdr:from>
    <xdr:ext cx="3110302" cy="1060854"/>
    <xdr:pic>
      <xdr:nvPicPr>
        <xdr:cNvPr id="4" name="Picture 3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1958" y="43540217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12782</xdr:colOff>
      <xdr:row>315</xdr:row>
      <xdr:rowOff>0</xdr:rowOff>
    </xdr:from>
    <xdr:ext cx="3110302" cy="1060854"/>
    <xdr:pic>
      <xdr:nvPicPr>
        <xdr:cNvPr id="5" name="Picture 4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2782" y="65284350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422</xdr:row>
      <xdr:rowOff>0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7068025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0</xdr:colOff>
      <xdr:row>2</xdr:row>
      <xdr:rowOff>0</xdr:rowOff>
    </xdr:from>
    <xdr:to>
      <xdr:col>12</xdr:col>
      <xdr:colOff>408213</xdr:colOff>
      <xdr:row>5</xdr:row>
      <xdr:rowOff>54428</xdr:rowOff>
    </xdr:to>
    <xdr:sp macro="" textlink="">
      <xdr:nvSpPr>
        <xdr:cNvPr id="8" name="Left Arrow 7">
          <a:hlinkClick xmlns:r="http://schemas.openxmlformats.org/officeDocument/2006/relationships" r:id="rId2"/>
        </xdr:cNvPr>
        <xdr:cNvSpPr/>
      </xdr:nvSpPr>
      <xdr:spPr>
        <a:xfrm>
          <a:off x="13992225" y="542925"/>
          <a:ext cx="1017813" cy="845003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128410</xdr:rowOff>
    </xdr:to>
    <xdr:pic>
      <xdr:nvPicPr>
        <xdr:cNvPr id="9" name="Picture 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692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233</xdr:row>
      <xdr:rowOff>17426</xdr:rowOff>
    </xdr:from>
    <xdr:to>
      <xdr:col>1</xdr:col>
      <xdr:colOff>707572</xdr:colOff>
      <xdr:row>239</xdr:row>
      <xdr:rowOff>5086</xdr:rowOff>
    </xdr:to>
    <xdr:pic>
      <xdr:nvPicPr>
        <xdr:cNvPr id="10" name="Picture 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947351"/>
          <a:ext cx="1174297" cy="1187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244</xdr:row>
      <xdr:rowOff>20401</xdr:rowOff>
    </xdr:from>
    <xdr:to>
      <xdr:col>1</xdr:col>
      <xdr:colOff>2462267</xdr:colOff>
      <xdr:row>251</xdr:row>
      <xdr:rowOff>48439</xdr:rowOff>
    </xdr:to>
    <xdr:pic>
      <xdr:nvPicPr>
        <xdr:cNvPr id="11" name="Picture 1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1150601"/>
          <a:ext cx="2862316" cy="1418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256</xdr:row>
      <xdr:rowOff>8496</xdr:rowOff>
    </xdr:from>
    <xdr:to>
      <xdr:col>1</xdr:col>
      <xdr:colOff>777156</xdr:colOff>
      <xdr:row>261</xdr:row>
      <xdr:rowOff>179187</xdr:rowOff>
    </xdr:to>
    <xdr:pic>
      <xdr:nvPicPr>
        <xdr:cNvPr id="12" name="Picture 1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3529471"/>
          <a:ext cx="1243881" cy="1170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266</xdr:row>
      <xdr:rowOff>178903</xdr:rowOff>
    </xdr:from>
    <xdr:to>
      <xdr:col>1</xdr:col>
      <xdr:colOff>2429615</xdr:colOff>
      <xdr:row>273</xdr:row>
      <xdr:rowOff>78704</xdr:rowOff>
    </xdr:to>
    <xdr:pic>
      <xdr:nvPicPr>
        <xdr:cNvPr id="13" name="Picture 1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5700128"/>
          <a:ext cx="2861704" cy="12999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279</xdr:row>
      <xdr:rowOff>5566</xdr:rowOff>
    </xdr:from>
    <xdr:to>
      <xdr:col>1</xdr:col>
      <xdr:colOff>571500</xdr:colOff>
      <xdr:row>283</xdr:row>
      <xdr:rowOff>87829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8127116"/>
          <a:ext cx="1038225" cy="882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338</xdr:row>
      <xdr:rowOff>66386</xdr:rowOff>
    </xdr:from>
    <xdr:to>
      <xdr:col>9</xdr:col>
      <xdr:colOff>666029</xdr:colOff>
      <xdr:row>399</xdr:row>
      <xdr:rowOff>47832</xdr:rowOff>
    </xdr:to>
    <xdr:grpSp>
      <xdr:nvGrpSpPr>
        <xdr:cNvPr id="15" name="Group 14"/>
        <xdr:cNvGrpSpPr/>
      </xdr:nvGrpSpPr>
      <xdr:grpSpPr>
        <a:xfrm>
          <a:off x="0" y="70818086"/>
          <a:ext cx="13302529" cy="12363946"/>
          <a:chOff x="22408" y="69215576"/>
          <a:chExt cx="13284180" cy="11811001"/>
        </a:xfrm>
      </xdr:grpSpPr>
      <xdr:pic>
        <xdr:nvPicPr>
          <xdr:cNvPr id="16" name="Picture 1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7" name="Line Callout 2 (No Border) 16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18" name="Line Callout 2 (No Border) 17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19" name="Line Callout 2 (No Border) 18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0" name="Line Callout 2 (No Border) 19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1" name="Line Callout 2 (No Border) 20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2" name="Line Callout 2 (No Border) 21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3" name="Line Callout 2 (No Border) 22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24" name="Line Callout 2 (No Border) 23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25" name="Line Callout 2 (No Border) 24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6" name="Line Callout 2 (No Border) 25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20</xdr:row>
      <xdr:rowOff>30685</xdr:rowOff>
    </xdr:from>
    <xdr:to>
      <xdr:col>9</xdr:col>
      <xdr:colOff>668116</xdr:colOff>
      <xdr:row>101</xdr:row>
      <xdr:rowOff>158219</xdr:rowOff>
    </xdr:to>
    <xdr:grpSp>
      <xdr:nvGrpSpPr>
        <xdr:cNvPr id="27" name="Group 26"/>
        <xdr:cNvGrpSpPr/>
      </xdr:nvGrpSpPr>
      <xdr:grpSpPr>
        <a:xfrm>
          <a:off x="0" y="4412185"/>
          <a:ext cx="13304616" cy="15558034"/>
          <a:chOff x="27214" y="3349853"/>
          <a:chExt cx="13279216" cy="15558034"/>
        </a:xfrm>
      </xdr:grpSpPr>
      <xdr:pic>
        <xdr:nvPicPr>
          <xdr:cNvPr id="28" name="Picture 2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9" name="Line Callout 2 (No Border) 28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0" name="Line Callout 2 (No Border) 29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1" name="Line Callout 2 (No Border) 30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2" name="Line Callout 2 (No Border) 31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3" name="Line Callout 2 (No Border) 32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4" name="Line Callout 2 (No Border) 33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5" name="Line Callout 2 (No Border) 34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3" name="Rectangle 42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4" name="Rectangle 43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5" name="Line Callout 2 (No Border) 44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6" name="Line Callout 2 (No Border) 45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7" name="Line Callout 2 (No Border) 46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Rectangle 49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445</xdr:row>
      <xdr:rowOff>119784</xdr:rowOff>
    </xdr:from>
    <xdr:to>
      <xdr:col>9</xdr:col>
      <xdr:colOff>693963</xdr:colOff>
      <xdr:row>501</xdr:row>
      <xdr:rowOff>170905</xdr:rowOff>
    </xdr:to>
    <xdr:grpSp>
      <xdr:nvGrpSpPr>
        <xdr:cNvPr id="51" name="Group 50"/>
        <xdr:cNvGrpSpPr/>
      </xdr:nvGrpSpPr>
      <xdr:grpSpPr>
        <a:xfrm>
          <a:off x="0" y="92931384"/>
          <a:ext cx="13330463" cy="11176321"/>
          <a:chOff x="13607" y="89487375"/>
          <a:chExt cx="13314588" cy="11205473"/>
        </a:xfrm>
      </xdr:grpSpPr>
      <xdr:pic>
        <xdr:nvPicPr>
          <xdr:cNvPr id="52" name="Picture 51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3" name="Line Callout 2 (No Border) 52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8" name="Rectangle 57"/>
          <xdr:cNvSpPr>
            <a:spLocks/>
          </xdr:cNvSpPr>
        </xdr:nvSpPr>
        <xdr:spPr>
          <a:xfrm>
            <a:off x="3153422" y="96250877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1" name="Line Callout 2 (No Border) 60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2" name="Line Callout 2 (No Border) 61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3" name="Rectangle 62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4" name="Rectangle 63"/>
          <xdr:cNvSpPr>
            <a:spLocks/>
          </xdr:cNvSpPr>
        </xdr:nvSpPr>
        <xdr:spPr>
          <a:xfrm>
            <a:off x="8340391" y="93564314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427</xdr:row>
      <xdr:rowOff>115459</xdr:rowOff>
    </xdr:from>
    <xdr:to>
      <xdr:col>1</xdr:col>
      <xdr:colOff>2337955</xdr:colOff>
      <xdr:row>436</xdr:row>
      <xdr:rowOff>86595</xdr:rowOff>
    </xdr:to>
    <xdr:pic>
      <xdr:nvPicPr>
        <xdr:cNvPr id="66" name="Picture 65"/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824" t="11008" r="4879" b="9343"/>
        <a:stretch/>
      </xdr:blipFill>
      <xdr:spPr>
        <a:xfrm>
          <a:off x="0" y="88697959"/>
          <a:ext cx="2804680" cy="16856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320</xdr:row>
      <xdr:rowOff>173184</xdr:rowOff>
    </xdr:from>
    <xdr:to>
      <xdr:col>1</xdr:col>
      <xdr:colOff>1731818</xdr:colOff>
      <xdr:row>330</xdr:row>
      <xdr:rowOff>39361</xdr:rowOff>
    </xdr:to>
    <xdr:pic>
      <xdr:nvPicPr>
        <xdr:cNvPr id="67" name="Picture 6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6972009"/>
          <a:ext cx="2198543" cy="1771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301</xdr:row>
      <xdr:rowOff>173181</xdr:rowOff>
    </xdr:from>
    <xdr:to>
      <xdr:col>1</xdr:col>
      <xdr:colOff>2712183</xdr:colOff>
      <xdr:row>308</xdr:row>
      <xdr:rowOff>87841</xdr:rowOff>
    </xdr:to>
    <xdr:grpSp>
      <xdr:nvGrpSpPr>
        <xdr:cNvPr id="68" name="Group 67"/>
        <xdr:cNvGrpSpPr/>
      </xdr:nvGrpSpPr>
      <xdr:grpSpPr>
        <a:xfrm>
          <a:off x="0" y="63101681"/>
          <a:ext cx="3182083" cy="1337060"/>
          <a:chOff x="5" y="63408179"/>
          <a:chExt cx="3174001" cy="1328978"/>
        </a:xfrm>
      </xdr:grpSpPr>
      <xdr:pic>
        <xdr:nvPicPr>
          <xdr:cNvPr id="69" name="Picture 68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0" name="Rectangle 69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71" name="Rectangle 70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72" name="Rectangle 71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73" name="Picture 7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4" name="Picture 7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28864</xdr:colOff>
      <xdr:row>289</xdr:row>
      <xdr:rowOff>0</xdr:rowOff>
    </xdr:from>
    <xdr:to>
      <xdr:col>1</xdr:col>
      <xdr:colOff>1973964</xdr:colOff>
      <xdr:row>296</xdr:row>
      <xdr:rowOff>42651</xdr:rowOff>
    </xdr:to>
    <xdr:pic>
      <xdr:nvPicPr>
        <xdr:cNvPr id="75" name="Picture 7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28864" y="60121800"/>
          <a:ext cx="2411825" cy="1442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127000</xdr:rowOff>
    </xdr:from>
    <xdr:to>
      <xdr:col>1</xdr:col>
      <xdr:colOff>2052789</xdr:colOff>
      <xdr:row>127</xdr:row>
      <xdr:rowOff>127000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3533100"/>
          <a:ext cx="2522689" cy="1917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127000</xdr:rowOff>
    </xdr:from>
    <xdr:to>
      <xdr:col>1</xdr:col>
      <xdr:colOff>2052789</xdr:colOff>
      <xdr:row>16</xdr:row>
      <xdr:rowOff>139700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1790700"/>
          <a:ext cx="2522689" cy="1917700"/>
        </a:xfrm>
        <a:prstGeom prst="rect">
          <a:avLst/>
        </a:prstGeom>
      </xdr:spPr>
    </xdr:pic>
    <xdr:clientData/>
  </xdr:twoCellAnchor>
  <xdr:twoCellAnchor editAs="oneCell">
    <xdr:from>
      <xdr:col>3</xdr:col>
      <xdr:colOff>749300</xdr:colOff>
      <xdr:row>218</xdr:row>
      <xdr:rowOff>0</xdr:rowOff>
    </xdr:from>
    <xdr:to>
      <xdr:col>5</xdr:col>
      <xdr:colOff>1244600</xdr:colOff>
      <xdr:row>223</xdr:row>
      <xdr:rowOff>134361</xdr:rowOff>
    </xdr:to>
    <xdr:pic>
      <xdr:nvPicPr>
        <xdr:cNvPr id="82" name="Picture 8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7924800" y="46443900"/>
          <a:ext cx="1397000" cy="1099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122238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22238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112</xdr:row>
      <xdr:rowOff>0</xdr:rowOff>
    </xdr:from>
    <xdr:ext cx="3110302" cy="1060854"/>
    <xdr:pic>
      <xdr:nvPicPr>
        <xdr:cNvPr id="3" name="Picture 2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1888450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11958</xdr:colOff>
      <xdr:row>207</xdr:row>
      <xdr:rowOff>144317</xdr:rowOff>
    </xdr:from>
    <xdr:ext cx="3110302" cy="1060854"/>
    <xdr:pic>
      <xdr:nvPicPr>
        <xdr:cNvPr id="4" name="Picture 3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1958" y="43673567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12782</xdr:colOff>
      <xdr:row>315</xdr:row>
      <xdr:rowOff>0</xdr:rowOff>
    </xdr:from>
    <xdr:ext cx="3110302" cy="1060854"/>
    <xdr:pic>
      <xdr:nvPicPr>
        <xdr:cNvPr id="5" name="Picture 4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2782" y="65417700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422</xdr:row>
      <xdr:rowOff>0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7201375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0</xdr:colOff>
      <xdr:row>2</xdr:row>
      <xdr:rowOff>0</xdr:rowOff>
    </xdr:from>
    <xdr:to>
      <xdr:col>12</xdr:col>
      <xdr:colOff>408213</xdr:colOff>
      <xdr:row>5</xdr:row>
      <xdr:rowOff>54428</xdr:rowOff>
    </xdr:to>
    <xdr:sp macro="" textlink="">
      <xdr:nvSpPr>
        <xdr:cNvPr id="7" name="Left Arrow 6">
          <a:hlinkClick xmlns:r="http://schemas.openxmlformats.org/officeDocument/2006/relationships" r:id="rId2"/>
        </xdr:cNvPr>
        <xdr:cNvSpPr/>
      </xdr:nvSpPr>
      <xdr:spPr>
        <a:xfrm>
          <a:off x="13992225" y="542925"/>
          <a:ext cx="1017813" cy="845003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128410</xdr:rowOff>
    </xdr:to>
    <xdr:pic>
      <xdr:nvPicPr>
        <xdr:cNvPr id="8" name="Picture 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327657"/>
          <a:ext cx="2797548" cy="1692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233</xdr:row>
      <xdr:rowOff>17426</xdr:rowOff>
    </xdr:from>
    <xdr:to>
      <xdr:col>1</xdr:col>
      <xdr:colOff>707572</xdr:colOff>
      <xdr:row>239</xdr:row>
      <xdr:rowOff>5086</xdr:rowOff>
    </xdr:to>
    <xdr:pic>
      <xdr:nvPicPr>
        <xdr:cNvPr id="9" name="Picture 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9080701"/>
          <a:ext cx="1174297" cy="1187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244</xdr:row>
      <xdr:rowOff>20401</xdr:rowOff>
    </xdr:from>
    <xdr:to>
      <xdr:col>1</xdr:col>
      <xdr:colOff>2462267</xdr:colOff>
      <xdr:row>251</xdr:row>
      <xdr:rowOff>48439</xdr:rowOff>
    </xdr:to>
    <xdr:pic>
      <xdr:nvPicPr>
        <xdr:cNvPr id="10" name="Picture 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1283951"/>
          <a:ext cx="2862316" cy="1418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256</xdr:row>
      <xdr:rowOff>8496</xdr:rowOff>
    </xdr:from>
    <xdr:to>
      <xdr:col>1</xdr:col>
      <xdr:colOff>777156</xdr:colOff>
      <xdr:row>261</xdr:row>
      <xdr:rowOff>179187</xdr:rowOff>
    </xdr:to>
    <xdr:pic>
      <xdr:nvPicPr>
        <xdr:cNvPr id="11" name="Picture 1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3662821"/>
          <a:ext cx="1243881" cy="1170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266</xdr:row>
      <xdr:rowOff>178903</xdr:rowOff>
    </xdr:from>
    <xdr:to>
      <xdr:col>1</xdr:col>
      <xdr:colOff>2429615</xdr:colOff>
      <xdr:row>273</xdr:row>
      <xdr:rowOff>78704</xdr:rowOff>
    </xdr:to>
    <xdr:pic>
      <xdr:nvPicPr>
        <xdr:cNvPr id="12" name="Picture 1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5833478"/>
          <a:ext cx="2861704" cy="12999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279</xdr:row>
      <xdr:rowOff>5566</xdr:rowOff>
    </xdr:from>
    <xdr:to>
      <xdr:col>1</xdr:col>
      <xdr:colOff>571500</xdr:colOff>
      <xdr:row>283</xdr:row>
      <xdr:rowOff>87829</xdr:rowOff>
    </xdr:to>
    <xdr:pic>
      <xdr:nvPicPr>
        <xdr:cNvPr id="13" name="Picture 1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8260466"/>
          <a:ext cx="1038225" cy="882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338</xdr:row>
      <xdr:rowOff>66386</xdr:rowOff>
    </xdr:from>
    <xdr:to>
      <xdr:col>9</xdr:col>
      <xdr:colOff>666029</xdr:colOff>
      <xdr:row>399</xdr:row>
      <xdr:rowOff>47832</xdr:rowOff>
    </xdr:to>
    <xdr:grpSp>
      <xdr:nvGrpSpPr>
        <xdr:cNvPr id="14" name="Group 13"/>
        <xdr:cNvGrpSpPr/>
      </xdr:nvGrpSpPr>
      <xdr:grpSpPr>
        <a:xfrm>
          <a:off x="0" y="70818086"/>
          <a:ext cx="13302529" cy="12363946"/>
          <a:chOff x="22408" y="69215576"/>
          <a:chExt cx="13284180" cy="11811001"/>
        </a:xfrm>
      </xdr:grpSpPr>
      <xdr:pic>
        <xdr:nvPicPr>
          <xdr:cNvPr id="15" name="Picture 14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6" name="Line Callout 2 (No Border) 15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17" name="Line Callout 2 (No Border) 16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18" name="Line Callout 2 (No Border) 17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19" name="Line Callout 2 (No Border) 18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0" name="Line Callout 2 (No Border) 19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1" name="Line Callout 2 (No Border) 20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2" name="Line Callout 2 (No Border) 21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23" name="Line Callout 2 (No Border) 22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24" name="Line Callout 2 (No Border) 23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5" name="Line Callout 2 (No Border) 24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20</xdr:row>
      <xdr:rowOff>30685</xdr:rowOff>
    </xdr:from>
    <xdr:to>
      <xdr:col>9</xdr:col>
      <xdr:colOff>668116</xdr:colOff>
      <xdr:row>101</xdr:row>
      <xdr:rowOff>158219</xdr:rowOff>
    </xdr:to>
    <xdr:grpSp>
      <xdr:nvGrpSpPr>
        <xdr:cNvPr id="26" name="Group 25"/>
        <xdr:cNvGrpSpPr/>
      </xdr:nvGrpSpPr>
      <xdr:grpSpPr>
        <a:xfrm>
          <a:off x="0" y="4412185"/>
          <a:ext cx="13304616" cy="15558034"/>
          <a:chOff x="27214" y="3349853"/>
          <a:chExt cx="13279216" cy="15558034"/>
        </a:xfrm>
      </xdr:grpSpPr>
      <xdr:pic>
        <xdr:nvPicPr>
          <xdr:cNvPr id="27" name="Picture 2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8" name="Line Callout 2 (No Border) 27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29" name="Line Callout 2 (No Border) 28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0" name="Line Callout 2 (No Border) 29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1" name="Line Callout 2 (No Border) 30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2" name="Line Callout 2 (No Border) 31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3" name="Line Callout 2 (No Border) 32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4" name="Line Callout 2 (No Border) 33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5" name="Line Callout 2 (No Border) 34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2" name="Rectangle 41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3" name="Rectangle 42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4" name="Line Callout 2 (No Border) 43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5" name="Line Callout 2 (No Border) 44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6" name="Line Callout 2 (No Border) 45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7" name="Line Callout 2 (No Border) 46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Rectangle 48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445</xdr:row>
      <xdr:rowOff>119784</xdr:rowOff>
    </xdr:from>
    <xdr:to>
      <xdr:col>9</xdr:col>
      <xdr:colOff>693963</xdr:colOff>
      <xdr:row>501</xdr:row>
      <xdr:rowOff>170905</xdr:rowOff>
    </xdr:to>
    <xdr:grpSp>
      <xdr:nvGrpSpPr>
        <xdr:cNvPr id="50" name="Group 49"/>
        <xdr:cNvGrpSpPr/>
      </xdr:nvGrpSpPr>
      <xdr:grpSpPr>
        <a:xfrm>
          <a:off x="0" y="92931384"/>
          <a:ext cx="13330463" cy="11176321"/>
          <a:chOff x="13607" y="89487375"/>
          <a:chExt cx="13314588" cy="11205473"/>
        </a:xfrm>
      </xdr:grpSpPr>
      <xdr:pic>
        <xdr:nvPicPr>
          <xdr:cNvPr id="51" name="Picture 50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2" name="Line Callout 2 (No Border) 51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7" name="Rectangle 56"/>
          <xdr:cNvSpPr>
            <a:spLocks/>
          </xdr:cNvSpPr>
        </xdr:nvSpPr>
        <xdr:spPr>
          <a:xfrm>
            <a:off x="3153422" y="96250877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1" name="Line Callout 2 (No Border) 60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2" name="Rectangle 61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3" name="Rectangle 62"/>
          <xdr:cNvSpPr>
            <a:spLocks/>
          </xdr:cNvSpPr>
        </xdr:nvSpPr>
        <xdr:spPr>
          <a:xfrm>
            <a:off x="8340391" y="93564314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427</xdr:row>
      <xdr:rowOff>115459</xdr:rowOff>
    </xdr:from>
    <xdr:to>
      <xdr:col>1</xdr:col>
      <xdr:colOff>2337955</xdr:colOff>
      <xdr:row>436</xdr:row>
      <xdr:rowOff>86595</xdr:rowOff>
    </xdr:to>
    <xdr:pic>
      <xdr:nvPicPr>
        <xdr:cNvPr id="65" name="Picture 64"/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5824" t="11008" r="4879" b="9343"/>
        <a:stretch/>
      </xdr:blipFill>
      <xdr:spPr>
        <a:xfrm>
          <a:off x="0" y="88831309"/>
          <a:ext cx="2804680" cy="16856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320</xdr:row>
      <xdr:rowOff>173184</xdr:rowOff>
    </xdr:from>
    <xdr:to>
      <xdr:col>1</xdr:col>
      <xdr:colOff>1731818</xdr:colOff>
      <xdr:row>330</xdr:row>
      <xdr:rowOff>39361</xdr:rowOff>
    </xdr:to>
    <xdr:pic>
      <xdr:nvPicPr>
        <xdr:cNvPr id="66" name="Picture 6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7105359"/>
          <a:ext cx="2198543" cy="1771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301</xdr:row>
      <xdr:rowOff>173181</xdr:rowOff>
    </xdr:from>
    <xdr:to>
      <xdr:col>1</xdr:col>
      <xdr:colOff>2712183</xdr:colOff>
      <xdr:row>308</xdr:row>
      <xdr:rowOff>87841</xdr:rowOff>
    </xdr:to>
    <xdr:grpSp>
      <xdr:nvGrpSpPr>
        <xdr:cNvPr id="67" name="Group 66"/>
        <xdr:cNvGrpSpPr/>
      </xdr:nvGrpSpPr>
      <xdr:grpSpPr>
        <a:xfrm>
          <a:off x="0" y="63101681"/>
          <a:ext cx="3182083" cy="1337060"/>
          <a:chOff x="5" y="63408179"/>
          <a:chExt cx="3174001" cy="1328978"/>
        </a:xfrm>
      </xdr:grpSpPr>
      <xdr:pic>
        <xdr:nvPicPr>
          <xdr:cNvPr id="68" name="Picture 6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9" name="Rectangle 68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70" name="Rectangle 69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71" name="Rectangle 70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72" name="Picture 71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3" name="Picture 7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28864</xdr:colOff>
      <xdr:row>289</xdr:row>
      <xdr:rowOff>0</xdr:rowOff>
    </xdr:from>
    <xdr:to>
      <xdr:col>1</xdr:col>
      <xdr:colOff>1973964</xdr:colOff>
      <xdr:row>296</xdr:row>
      <xdr:rowOff>42651</xdr:rowOff>
    </xdr:to>
    <xdr:pic>
      <xdr:nvPicPr>
        <xdr:cNvPr id="74" name="Picture 7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28864" y="60255150"/>
          <a:ext cx="2411825" cy="1442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152400</xdr:rowOff>
    </xdr:from>
    <xdr:to>
      <xdr:col>1</xdr:col>
      <xdr:colOff>2013402</xdr:colOff>
      <xdr:row>127</xdr:row>
      <xdr:rowOff>139700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3558500"/>
          <a:ext cx="2483302" cy="1905000"/>
        </a:xfrm>
        <a:prstGeom prst="rect">
          <a:avLst/>
        </a:prstGeom>
      </xdr:spPr>
    </xdr:pic>
    <xdr:clientData/>
  </xdr:twoCellAnchor>
  <xdr:twoCellAnchor editAs="oneCell">
    <xdr:from>
      <xdr:col>3</xdr:col>
      <xdr:colOff>749300</xdr:colOff>
      <xdr:row>218</xdr:row>
      <xdr:rowOff>0</xdr:rowOff>
    </xdr:from>
    <xdr:to>
      <xdr:col>5</xdr:col>
      <xdr:colOff>1244600</xdr:colOff>
      <xdr:row>223</xdr:row>
      <xdr:rowOff>134361</xdr:rowOff>
    </xdr:to>
    <xdr:pic>
      <xdr:nvPicPr>
        <xdr:cNvPr id="78" name="Picture 7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7912100" y="46167675"/>
          <a:ext cx="1390650" cy="10963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101600</xdr:rowOff>
    </xdr:from>
    <xdr:to>
      <xdr:col>1</xdr:col>
      <xdr:colOff>2013402</xdr:colOff>
      <xdr:row>16</xdr:row>
      <xdr:rowOff>101600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1765300"/>
          <a:ext cx="2483302" cy="1905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122238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22238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112</xdr:row>
      <xdr:rowOff>0</xdr:rowOff>
    </xdr:from>
    <xdr:ext cx="3110302" cy="1060854"/>
    <xdr:pic>
      <xdr:nvPicPr>
        <xdr:cNvPr id="46" name="Picture 4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199409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11958</xdr:colOff>
      <xdr:row>206</xdr:row>
      <xdr:rowOff>144317</xdr:rowOff>
    </xdr:from>
    <xdr:ext cx="3110302" cy="1060854"/>
    <xdr:pic>
      <xdr:nvPicPr>
        <xdr:cNvPr id="47" name="Picture 4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1958" y="4413249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12782</xdr:colOff>
      <xdr:row>314</xdr:row>
      <xdr:rowOff>0</xdr:rowOff>
    </xdr:from>
    <xdr:ext cx="3110302" cy="1060854"/>
    <xdr:pic>
      <xdr:nvPicPr>
        <xdr:cNvPr id="48" name="Picture 4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2782" y="66400795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421</xdr:row>
      <xdr:rowOff>0</xdr:rowOff>
    </xdr:from>
    <xdr:ext cx="3110302" cy="1060854"/>
    <xdr:pic>
      <xdr:nvPicPr>
        <xdr:cNvPr id="49" name="Picture 4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8726818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0</xdr:colOff>
      <xdr:row>6</xdr:row>
      <xdr:rowOff>122464</xdr:rowOff>
    </xdr:from>
    <xdr:to>
      <xdr:col>1</xdr:col>
      <xdr:colOff>2042617</xdr:colOff>
      <xdr:row>16</xdr:row>
      <xdr:rowOff>122463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8928"/>
          <a:ext cx="2505260" cy="1904999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</xdr:row>
      <xdr:rowOff>0</xdr:rowOff>
    </xdr:from>
    <xdr:to>
      <xdr:col>12</xdr:col>
      <xdr:colOff>408213</xdr:colOff>
      <xdr:row>5</xdr:row>
      <xdr:rowOff>54428</xdr:rowOff>
    </xdr:to>
    <xdr:sp macro="" textlink="">
      <xdr:nvSpPr>
        <xdr:cNvPr id="20" name="Left Arrow 19">
          <a:hlinkClick xmlns:r="http://schemas.openxmlformats.org/officeDocument/2006/relationships" r:id="rId3"/>
        </xdr:cNvPr>
        <xdr:cNvSpPr/>
      </xdr:nvSpPr>
      <xdr:spPr>
        <a:xfrm>
          <a:off x="14015357" y="544286"/>
          <a:ext cx="1020535" cy="843642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78441</xdr:colOff>
      <xdr:row>217</xdr:row>
      <xdr:rowOff>159982</xdr:rowOff>
    </xdr:from>
    <xdr:to>
      <xdr:col>1</xdr:col>
      <xdr:colOff>2409264</xdr:colOff>
      <xdr:row>226</xdr:row>
      <xdr:rowOff>128410</xdr:rowOff>
    </xdr:to>
    <xdr:pic>
      <xdr:nvPicPr>
        <xdr:cNvPr id="36" name="Picture 3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5086</xdr:rowOff>
    </xdr:to>
    <xdr:pic>
      <xdr:nvPicPr>
        <xdr:cNvPr id="37" name="Picture 3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243</xdr:row>
      <xdr:rowOff>20401</xdr:rowOff>
    </xdr:from>
    <xdr:to>
      <xdr:col>1</xdr:col>
      <xdr:colOff>2462267</xdr:colOff>
      <xdr:row>250</xdr:row>
      <xdr:rowOff>48439</xdr:rowOff>
    </xdr:to>
    <xdr:pic>
      <xdr:nvPicPr>
        <xdr:cNvPr id="38" name="Picture 3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</xdr:row>
      <xdr:rowOff>8496</xdr:rowOff>
    </xdr:from>
    <xdr:to>
      <xdr:col>1</xdr:col>
      <xdr:colOff>777156</xdr:colOff>
      <xdr:row>260</xdr:row>
      <xdr:rowOff>179187</xdr:rowOff>
    </xdr:to>
    <xdr:pic>
      <xdr:nvPicPr>
        <xdr:cNvPr id="39" name="Picture 3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265</xdr:row>
      <xdr:rowOff>178903</xdr:rowOff>
    </xdr:from>
    <xdr:to>
      <xdr:col>1</xdr:col>
      <xdr:colOff>2429615</xdr:colOff>
      <xdr:row>272</xdr:row>
      <xdr:rowOff>78704</xdr:rowOff>
    </xdr:to>
    <xdr:pic>
      <xdr:nvPicPr>
        <xdr:cNvPr id="40" name="Picture 3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278</xdr:row>
      <xdr:rowOff>5566</xdr:rowOff>
    </xdr:from>
    <xdr:to>
      <xdr:col>1</xdr:col>
      <xdr:colOff>571500</xdr:colOff>
      <xdr:row>282</xdr:row>
      <xdr:rowOff>87829</xdr:rowOff>
    </xdr:to>
    <xdr:pic>
      <xdr:nvPicPr>
        <xdr:cNvPr id="41" name="Picture 4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337</xdr:row>
      <xdr:rowOff>66386</xdr:rowOff>
    </xdr:from>
    <xdr:to>
      <xdr:col>9</xdr:col>
      <xdr:colOff>666029</xdr:colOff>
      <xdr:row>398</xdr:row>
      <xdr:rowOff>47832</xdr:rowOff>
    </xdr:to>
    <xdr:grpSp>
      <xdr:nvGrpSpPr>
        <xdr:cNvPr id="64" name="Group 63"/>
        <xdr:cNvGrpSpPr/>
      </xdr:nvGrpSpPr>
      <xdr:grpSpPr>
        <a:xfrm>
          <a:off x="0" y="70691086"/>
          <a:ext cx="13302529" cy="12363946"/>
          <a:chOff x="22408" y="69215576"/>
          <a:chExt cx="13284180" cy="11811001"/>
        </a:xfrm>
      </xdr:grpSpPr>
      <xdr:pic>
        <xdr:nvPicPr>
          <xdr:cNvPr id="65" name="Picture 64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6" name="Line Callout 2 (No Border) 65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7" name="Line Callout 2 (No Border) 66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8" name="Line Callout 2 (No Border) 67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9" name="Line Callout 2 (No Border) 68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0" name="Line Callout 2 (No Border) 69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1" name="Line Callout 2 (No Border) 70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5" name="Line Callout 2 (No Border) 74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20</xdr:row>
      <xdr:rowOff>30685</xdr:rowOff>
    </xdr:from>
    <xdr:to>
      <xdr:col>9</xdr:col>
      <xdr:colOff>668116</xdr:colOff>
      <xdr:row>101</xdr:row>
      <xdr:rowOff>158219</xdr:rowOff>
    </xdr:to>
    <xdr:grpSp>
      <xdr:nvGrpSpPr>
        <xdr:cNvPr id="4" name="Group 3"/>
        <xdr:cNvGrpSpPr/>
      </xdr:nvGrpSpPr>
      <xdr:grpSpPr>
        <a:xfrm>
          <a:off x="0" y="4412185"/>
          <a:ext cx="13304616" cy="15558034"/>
          <a:chOff x="27214" y="3349853"/>
          <a:chExt cx="13279216" cy="15558034"/>
        </a:xfrm>
      </xdr:grpSpPr>
      <xdr:pic>
        <xdr:nvPicPr>
          <xdr:cNvPr id="103" name="Picture 10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8" name="Line Callout 2 (No Border) 77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9" name="Line Callout 2 (No Border) 78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0" name="Line Callout 2 (No Border) 79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1" name="Line Callout 2 (No Border) 80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2" name="Line Callout 2 (No Border) 81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3" name="Line Callout 2 (No Border) 82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4" name="Line Callout 2 (No Border) 83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6" name="Line Callout 2 (No Border) 85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7" name="Line Callout 2 (No Border) 86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8" name="Line Callout 2 (No Border) 87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9" name="Line Callout 2 (No Border) 88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90" name="Line Callout 2 (No Border) 89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91" name="Line Callout 2 (No Border) 90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92" name="Line Callout 2 (No Border) 91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93" name="Rectangle 92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4" name="Rectangle 93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5" name="Line Callout 2 (No Border) 94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96" name="Line Callout 2 (No Border) 95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97" name="Line Callout 2 (No Border) 96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98" name="Line Callout 2 (No Border) 97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99" name="Line Callout 2 (No Border) 98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104" name="Rectangle 103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444</xdr:row>
      <xdr:rowOff>119784</xdr:rowOff>
    </xdr:from>
    <xdr:to>
      <xdr:col>9</xdr:col>
      <xdr:colOff>693963</xdr:colOff>
      <xdr:row>500</xdr:row>
      <xdr:rowOff>170905</xdr:rowOff>
    </xdr:to>
    <xdr:grpSp>
      <xdr:nvGrpSpPr>
        <xdr:cNvPr id="6" name="Group 5"/>
        <xdr:cNvGrpSpPr/>
      </xdr:nvGrpSpPr>
      <xdr:grpSpPr>
        <a:xfrm>
          <a:off x="0" y="92804384"/>
          <a:ext cx="13330463" cy="11176321"/>
          <a:chOff x="13607" y="89487375"/>
          <a:chExt cx="13314588" cy="11205473"/>
        </a:xfrm>
      </xdr:grpSpPr>
      <xdr:pic>
        <xdr:nvPicPr>
          <xdr:cNvPr id="27" name="Picture 2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0" name="Line Callout 2 (No Border) 29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1" name="Line Callout 2 (No Border) 30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2" name="Line Callout 2 (No Border) 31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3" name="Line Callout 2 (No Border) 32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4" name="Line Callout 2 (No Border) 33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4" name="Rectangle 53"/>
          <xdr:cNvSpPr>
            <a:spLocks/>
          </xdr:cNvSpPr>
        </xdr:nvSpPr>
        <xdr:spPr>
          <a:xfrm>
            <a:off x="3153422" y="96250877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9" name="Rectangle 58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Rectangle 61"/>
          <xdr:cNvSpPr>
            <a:spLocks/>
          </xdr:cNvSpPr>
        </xdr:nvSpPr>
        <xdr:spPr>
          <a:xfrm>
            <a:off x="8340391" y="93564314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5" name="Line Callout 2 (No Border) 104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426</xdr:row>
      <xdr:rowOff>115459</xdr:rowOff>
    </xdr:from>
    <xdr:to>
      <xdr:col>1</xdr:col>
      <xdr:colOff>2337955</xdr:colOff>
      <xdr:row>435</xdr:row>
      <xdr:rowOff>86595</xdr:rowOff>
    </xdr:to>
    <xdr:pic>
      <xdr:nvPicPr>
        <xdr:cNvPr id="77" name="Picture 76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824" t="11008" r="4879" b="9343"/>
        <a:stretch/>
      </xdr:blipFill>
      <xdr:spPr>
        <a:xfrm>
          <a:off x="0" y="89203073"/>
          <a:ext cx="2799773" cy="16596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319</xdr:row>
      <xdr:rowOff>173184</xdr:rowOff>
    </xdr:from>
    <xdr:to>
      <xdr:col>1</xdr:col>
      <xdr:colOff>1731818</xdr:colOff>
      <xdr:row>329</xdr:row>
      <xdr:rowOff>39361</xdr:rowOff>
    </xdr:to>
    <xdr:pic>
      <xdr:nvPicPr>
        <xdr:cNvPr id="109" name="Picture 10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8161479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300</xdr:row>
      <xdr:rowOff>173181</xdr:rowOff>
    </xdr:from>
    <xdr:to>
      <xdr:col>1</xdr:col>
      <xdr:colOff>2712183</xdr:colOff>
      <xdr:row>307</xdr:row>
      <xdr:rowOff>87841</xdr:rowOff>
    </xdr:to>
    <xdr:grpSp>
      <xdr:nvGrpSpPr>
        <xdr:cNvPr id="110" name="Group 109"/>
        <xdr:cNvGrpSpPr/>
      </xdr:nvGrpSpPr>
      <xdr:grpSpPr>
        <a:xfrm>
          <a:off x="0" y="62974681"/>
          <a:ext cx="3182083" cy="1337060"/>
          <a:chOff x="5" y="63408179"/>
          <a:chExt cx="3174001" cy="1328978"/>
        </a:xfrm>
      </xdr:grpSpPr>
      <xdr:pic>
        <xdr:nvPicPr>
          <xdr:cNvPr id="111" name="Picture 110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12" name="Rectangle 111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113" name="Rectangle 112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114" name="Rectangle 113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115" name="Picture 114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16" name="Picture 11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28864</xdr:colOff>
      <xdr:row>288</xdr:row>
      <xdr:rowOff>0</xdr:rowOff>
    </xdr:from>
    <xdr:to>
      <xdr:col>1</xdr:col>
      <xdr:colOff>1973964</xdr:colOff>
      <xdr:row>295</xdr:row>
      <xdr:rowOff>42651</xdr:rowOff>
    </xdr:to>
    <xdr:pic>
      <xdr:nvPicPr>
        <xdr:cNvPr id="85" name="Picture 8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28864" y="60021932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151327</xdr:rowOff>
    </xdr:from>
    <xdr:to>
      <xdr:col>1</xdr:col>
      <xdr:colOff>2042617</xdr:colOff>
      <xdr:row>127</xdr:row>
      <xdr:rowOff>136895</xdr:rowOff>
    </xdr:to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227804"/>
          <a:ext cx="2504435" cy="187613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142856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42856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429</xdr:row>
      <xdr:rowOff>201705</xdr:rowOff>
    </xdr:from>
    <xdr:to>
      <xdr:col>9</xdr:col>
      <xdr:colOff>324970</xdr:colOff>
      <xdr:row>430</xdr:row>
      <xdr:rowOff>212911</xdr:rowOff>
    </xdr:to>
    <xdr:sp macro="" textlink="">
      <xdr:nvSpPr>
        <xdr:cNvPr id="5" name="Rectangle 4"/>
        <xdr:cNvSpPr/>
      </xdr:nvSpPr>
      <xdr:spPr>
        <a:xfrm>
          <a:off x="12711954" y="891366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163286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24767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</xdr:colOff>
      <xdr:row>207</xdr:row>
      <xdr:rowOff>0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" y="44549786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13607</xdr:colOff>
      <xdr:row>313</xdr:row>
      <xdr:rowOff>149678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3607" y="67069607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421</xdr:row>
      <xdr:rowOff>0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9643857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0</xdr:colOff>
      <xdr:row>6</xdr:row>
      <xdr:rowOff>122464</xdr:rowOff>
    </xdr:from>
    <xdr:to>
      <xdr:col>1</xdr:col>
      <xdr:colOff>2042617</xdr:colOff>
      <xdr:row>16</xdr:row>
      <xdr:rowOff>122463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0" y="1768928"/>
          <a:ext cx="2505260" cy="1904999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</xdr:row>
      <xdr:rowOff>0</xdr:rowOff>
    </xdr:from>
    <xdr:to>
      <xdr:col>12</xdr:col>
      <xdr:colOff>408213</xdr:colOff>
      <xdr:row>5</xdr:row>
      <xdr:rowOff>54428</xdr:rowOff>
    </xdr:to>
    <xdr:sp macro="" textlink="">
      <xdr:nvSpPr>
        <xdr:cNvPr id="20" name="Left Arrow 19">
          <a:hlinkClick xmlns:r="http://schemas.openxmlformats.org/officeDocument/2006/relationships" r:id="rId3"/>
        </xdr:cNvPr>
        <xdr:cNvSpPr/>
      </xdr:nvSpPr>
      <xdr:spPr>
        <a:xfrm>
          <a:off x="14015357" y="544286"/>
          <a:ext cx="1020535" cy="843642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78441</xdr:colOff>
      <xdr:row>217</xdr:row>
      <xdr:rowOff>159982</xdr:rowOff>
    </xdr:from>
    <xdr:to>
      <xdr:col>1</xdr:col>
      <xdr:colOff>2409264</xdr:colOff>
      <xdr:row>226</xdr:row>
      <xdr:rowOff>109072</xdr:rowOff>
    </xdr:to>
    <xdr:pic>
      <xdr:nvPicPr>
        <xdr:cNvPr id="31" name="Picture 3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5085</xdr:rowOff>
    </xdr:to>
    <xdr:pic>
      <xdr:nvPicPr>
        <xdr:cNvPr id="32" name="Picture 3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243</xdr:row>
      <xdr:rowOff>20401</xdr:rowOff>
    </xdr:from>
    <xdr:to>
      <xdr:col>1</xdr:col>
      <xdr:colOff>2462267</xdr:colOff>
      <xdr:row>250</xdr:row>
      <xdr:rowOff>43533</xdr:rowOff>
    </xdr:to>
    <xdr:pic>
      <xdr:nvPicPr>
        <xdr:cNvPr id="33" name="Picture 3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</xdr:row>
      <xdr:rowOff>8496</xdr:rowOff>
    </xdr:from>
    <xdr:to>
      <xdr:col>1</xdr:col>
      <xdr:colOff>777156</xdr:colOff>
      <xdr:row>260</xdr:row>
      <xdr:rowOff>179187</xdr:rowOff>
    </xdr:to>
    <xdr:pic>
      <xdr:nvPicPr>
        <xdr:cNvPr id="34" name="Picture 3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265</xdr:row>
      <xdr:rowOff>178903</xdr:rowOff>
    </xdr:from>
    <xdr:to>
      <xdr:col>1</xdr:col>
      <xdr:colOff>2429615</xdr:colOff>
      <xdr:row>272</xdr:row>
      <xdr:rowOff>78706</xdr:rowOff>
    </xdr:to>
    <xdr:pic>
      <xdr:nvPicPr>
        <xdr:cNvPr id="35" name="Picture 3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277</xdr:row>
      <xdr:rowOff>5566</xdr:rowOff>
    </xdr:from>
    <xdr:to>
      <xdr:col>1</xdr:col>
      <xdr:colOff>571500</xdr:colOff>
      <xdr:row>281</xdr:row>
      <xdr:rowOff>87827</xdr:rowOff>
    </xdr:to>
    <xdr:pic>
      <xdr:nvPicPr>
        <xdr:cNvPr id="36" name="Picture 3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338</xdr:row>
      <xdr:rowOff>190499</xdr:rowOff>
    </xdr:from>
    <xdr:to>
      <xdr:col>9</xdr:col>
      <xdr:colOff>663555</xdr:colOff>
      <xdr:row>400</xdr:row>
      <xdr:rowOff>190501</xdr:rowOff>
    </xdr:to>
    <xdr:grpSp>
      <xdr:nvGrpSpPr>
        <xdr:cNvPr id="27" name="Group 26"/>
        <xdr:cNvGrpSpPr/>
      </xdr:nvGrpSpPr>
      <xdr:grpSpPr>
        <a:xfrm>
          <a:off x="0" y="71666099"/>
          <a:ext cx="13597235" cy="12588242"/>
          <a:chOff x="22408" y="69215576"/>
          <a:chExt cx="13284180" cy="11811001"/>
        </a:xfrm>
      </xdr:grpSpPr>
      <xdr:pic>
        <xdr:nvPicPr>
          <xdr:cNvPr id="28" name="Picture 2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9" name="Line Callout 2 (No Border) 28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0" name="Line Callout 2 (No Border) 29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5" name="Line Callout 2 (No Border) 44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6" name="Line Callout 2 (No Border) 45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7" name="Line Callout 2 (No Border) 46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23</xdr:row>
      <xdr:rowOff>13608</xdr:rowOff>
    </xdr:from>
    <xdr:to>
      <xdr:col>9</xdr:col>
      <xdr:colOff>639664</xdr:colOff>
      <xdr:row>103</xdr:row>
      <xdr:rowOff>97847</xdr:rowOff>
    </xdr:to>
    <xdr:grpSp>
      <xdr:nvGrpSpPr>
        <xdr:cNvPr id="53" name="Group 52"/>
        <xdr:cNvGrpSpPr/>
      </xdr:nvGrpSpPr>
      <xdr:grpSpPr>
        <a:xfrm>
          <a:off x="0" y="4992008"/>
          <a:ext cx="13573344" cy="15527439"/>
          <a:chOff x="27214" y="3349853"/>
          <a:chExt cx="13279216" cy="15558034"/>
        </a:xfrm>
      </xdr:grpSpPr>
      <xdr:pic>
        <xdr:nvPicPr>
          <xdr:cNvPr id="54" name="Picture 5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5" name="Line Callout 2 (No Border) 54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1" name="Line Callout 2 (No Border) 60"/>
          <xdr:cNvSpPr/>
        </xdr:nvSpPr>
        <xdr:spPr>
          <a:xfrm flipH="1">
            <a:off x="3155172" y="18194853"/>
            <a:ext cx="2054459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2" name="Line Callout 2 (No Border) 61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7" name="Line Callout 2 (No Border) 66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8" name="Line Callout 2 (No Border) 67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9" name="Rectangle 68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0" name="Rectangle 69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1" name="Line Callout 2 (No Border) 70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5" name="Line Callout 2 (No Border) 74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6" name="Rectangle 75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445</xdr:row>
      <xdr:rowOff>54428</xdr:rowOff>
    </xdr:from>
    <xdr:to>
      <xdr:col>9</xdr:col>
      <xdr:colOff>665511</xdr:colOff>
      <xdr:row>500</xdr:row>
      <xdr:rowOff>161628</xdr:rowOff>
    </xdr:to>
    <xdr:grpSp>
      <xdr:nvGrpSpPr>
        <xdr:cNvPr id="77" name="Group 76"/>
        <xdr:cNvGrpSpPr/>
      </xdr:nvGrpSpPr>
      <xdr:grpSpPr>
        <a:xfrm>
          <a:off x="0" y="93567068"/>
          <a:ext cx="13599191" cy="11080000"/>
          <a:chOff x="13607" y="89487375"/>
          <a:chExt cx="13314588" cy="11205473"/>
        </a:xfrm>
      </xdr:grpSpPr>
      <xdr:pic>
        <xdr:nvPicPr>
          <xdr:cNvPr id="78" name="Picture 7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9" name="Line Callout 2 (No Border) 78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0" name="Line Callout 2 (No Border) 79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1" name="Line Callout 2 (No Border) 80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2" name="Line Callout 2 (No Border) 81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3" name="Line Callout 2 (No Border) 82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4" name="Rectangle 83"/>
          <xdr:cNvSpPr>
            <a:spLocks/>
          </xdr:cNvSpPr>
        </xdr:nvSpPr>
        <xdr:spPr>
          <a:xfrm>
            <a:off x="3153422" y="96114793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5" name="Line Callout 2 (No Border) 84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6" name="Line Callout 2 (No Border) 85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7" name="Line Callout 2 (No Border) 86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8" name="Line Callout 2 (No Border) 87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9" name="Rectangle 88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0" name="Rectangle 89"/>
          <xdr:cNvSpPr>
            <a:spLocks/>
          </xdr:cNvSpPr>
        </xdr:nvSpPr>
        <xdr:spPr>
          <a:xfrm>
            <a:off x="8340391" y="93571539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1" name="Line Callout 2 (No Border) 90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320</xdr:row>
      <xdr:rowOff>13605</xdr:rowOff>
    </xdr:from>
    <xdr:to>
      <xdr:col>1</xdr:col>
      <xdr:colOff>1730993</xdr:colOff>
      <xdr:row>329</xdr:row>
      <xdr:rowOff>41418</xdr:rowOff>
    </xdr:to>
    <xdr:pic>
      <xdr:nvPicPr>
        <xdr:cNvPr id="100" name="Picture 9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8811319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300</xdr:row>
      <xdr:rowOff>149678</xdr:rowOff>
    </xdr:from>
    <xdr:to>
      <xdr:col>1</xdr:col>
      <xdr:colOff>2711358</xdr:colOff>
      <xdr:row>307</xdr:row>
      <xdr:rowOff>49906</xdr:rowOff>
    </xdr:to>
    <xdr:grpSp>
      <xdr:nvGrpSpPr>
        <xdr:cNvPr id="101" name="Group 100"/>
        <xdr:cNvGrpSpPr/>
      </xdr:nvGrpSpPr>
      <xdr:grpSpPr>
        <a:xfrm>
          <a:off x="0" y="63568398"/>
          <a:ext cx="3188878" cy="1322628"/>
          <a:chOff x="5" y="63408179"/>
          <a:chExt cx="3174001" cy="1328978"/>
        </a:xfrm>
      </xdr:grpSpPr>
      <xdr:pic>
        <xdr:nvPicPr>
          <xdr:cNvPr id="102" name="Picture 101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3" name="Rectangle 102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104" name="Rectangle 103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105" name="Rectangle 104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106" name="Picture 10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7" name="Picture 10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1</xdr:colOff>
      <xdr:row>287</xdr:row>
      <xdr:rowOff>-1</xdr:rowOff>
    </xdr:from>
    <xdr:to>
      <xdr:col>1</xdr:col>
      <xdr:colOff>1934751</xdr:colOff>
      <xdr:row>294</xdr:row>
      <xdr:rowOff>28218</xdr:rowOff>
    </xdr:to>
    <xdr:pic>
      <xdr:nvPicPr>
        <xdr:cNvPr id="93" name="Picture 9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1" y="60361285"/>
          <a:ext cx="2397393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163286</xdr:rowOff>
    </xdr:from>
    <xdr:to>
      <xdr:col>1</xdr:col>
      <xdr:colOff>2042617</xdr:colOff>
      <xdr:row>127</xdr:row>
      <xdr:rowOff>149677</xdr:rowOff>
    </xdr:to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0" y="23540357"/>
          <a:ext cx="2505260" cy="19049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426</xdr:row>
      <xdr:rowOff>163284</xdr:rowOff>
    </xdr:from>
    <xdr:to>
      <xdr:col>1</xdr:col>
      <xdr:colOff>1938458</xdr:colOff>
      <xdr:row>435</xdr:row>
      <xdr:rowOff>54427</xdr:rowOff>
    </xdr:to>
    <xdr:pic>
      <xdr:nvPicPr>
        <xdr:cNvPr id="95" name="Picture 94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493" t="12858" r="5975" b="9284"/>
        <a:stretch/>
      </xdr:blipFill>
      <xdr:spPr>
        <a:xfrm flipH="1">
          <a:off x="0" y="89657463"/>
          <a:ext cx="2401101" cy="160564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129249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2924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432</xdr:row>
      <xdr:rowOff>201705</xdr:rowOff>
    </xdr:from>
    <xdr:to>
      <xdr:col>9</xdr:col>
      <xdr:colOff>324970</xdr:colOff>
      <xdr:row>433</xdr:row>
      <xdr:rowOff>212911</xdr:rowOff>
    </xdr:to>
    <xdr:sp macro="" textlink="">
      <xdr:nvSpPr>
        <xdr:cNvPr id="5" name="Rectangle 4"/>
        <xdr:cNvSpPr/>
      </xdr:nvSpPr>
      <xdr:spPr>
        <a:xfrm>
          <a:off x="12711954" y="891366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112</xdr:row>
      <xdr:rowOff>0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288501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</xdr:colOff>
      <xdr:row>207</xdr:row>
      <xdr:rowOff>136071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" y="44577000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314</xdr:row>
      <xdr:rowOff>149680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67124037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422</xdr:row>
      <xdr:rowOff>13607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9507786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27214</xdr:colOff>
      <xdr:row>6</xdr:row>
      <xdr:rowOff>122463</xdr:rowOff>
    </xdr:from>
    <xdr:to>
      <xdr:col>2</xdr:col>
      <xdr:colOff>85863</xdr:colOff>
      <xdr:row>16</xdr:row>
      <xdr:rowOff>136072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214" y="1768927"/>
          <a:ext cx="3242720" cy="1918609"/>
        </a:xfrm>
        <a:prstGeom prst="rect">
          <a:avLst/>
        </a:prstGeom>
      </xdr:spPr>
    </xdr:pic>
    <xdr:clientData/>
  </xdr:twoCellAnchor>
  <xdr:twoCellAnchor editAs="oneCell">
    <xdr:from>
      <xdr:col>0</xdr:col>
      <xdr:colOff>27214</xdr:colOff>
      <xdr:row>117</xdr:row>
      <xdr:rowOff>136068</xdr:rowOff>
    </xdr:from>
    <xdr:to>
      <xdr:col>2</xdr:col>
      <xdr:colOff>85863</xdr:colOff>
      <xdr:row>129</xdr:row>
      <xdr:rowOff>13605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214" y="23417889"/>
          <a:ext cx="3242720" cy="1918609"/>
        </a:xfrm>
        <a:prstGeom prst="rect">
          <a:avLst/>
        </a:prstGeom>
      </xdr:spPr>
    </xdr:pic>
    <xdr:clientData/>
  </xdr:twoCellAnchor>
  <xdr:twoCellAnchor editAs="oneCell">
    <xdr:from>
      <xdr:col>0</xdr:col>
      <xdr:colOff>15718</xdr:colOff>
      <xdr:row>305</xdr:row>
      <xdr:rowOff>13804</xdr:rowOff>
    </xdr:from>
    <xdr:to>
      <xdr:col>1</xdr:col>
      <xdr:colOff>458615</xdr:colOff>
      <xdr:row>310</xdr:row>
      <xdr:rowOff>97364</xdr:rowOff>
    </xdr:to>
    <xdr:pic>
      <xdr:nvPicPr>
        <xdr:cNvPr id="23" name="Picture 2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15718" y="62674697"/>
          <a:ext cx="905540" cy="695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2</xdr:row>
      <xdr:rowOff>0</xdr:rowOff>
    </xdr:from>
    <xdr:to>
      <xdr:col>12</xdr:col>
      <xdr:colOff>408213</xdr:colOff>
      <xdr:row>5</xdr:row>
      <xdr:rowOff>54428</xdr:rowOff>
    </xdr:to>
    <xdr:sp macro="" textlink="">
      <xdr:nvSpPr>
        <xdr:cNvPr id="21" name="Left Arrow 20">
          <a:hlinkClick xmlns:r="http://schemas.openxmlformats.org/officeDocument/2006/relationships" r:id="rId4"/>
        </xdr:cNvPr>
        <xdr:cNvSpPr/>
      </xdr:nvSpPr>
      <xdr:spPr>
        <a:xfrm>
          <a:off x="14015357" y="544286"/>
          <a:ext cx="1020535" cy="843642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109073</xdr:rowOff>
    </xdr:to>
    <xdr:pic>
      <xdr:nvPicPr>
        <xdr:cNvPr id="31" name="Picture 3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5085</xdr:rowOff>
    </xdr:to>
    <xdr:pic>
      <xdr:nvPicPr>
        <xdr:cNvPr id="32" name="Picture 3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585401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249</xdr:row>
      <xdr:rowOff>43533</xdr:rowOff>
    </xdr:to>
    <xdr:pic>
      <xdr:nvPicPr>
        <xdr:cNvPr id="33" name="Picture 3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38860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8496</xdr:rowOff>
    </xdr:from>
    <xdr:to>
      <xdr:col>1</xdr:col>
      <xdr:colOff>777156</xdr:colOff>
      <xdr:row>258</xdr:row>
      <xdr:rowOff>179188</xdr:rowOff>
    </xdr:to>
    <xdr:pic>
      <xdr:nvPicPr>
        <xdr:cNvPr id="34" name="Picture 3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367421"/>
          <a:ext cx="1243881" cy="770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262</xdr:row>
      <xdr:rowOff>178903</xdr:rowOff>
    </xdr:from>
    <xdr:to>
      <xdr:col>1</xdr:col>
      <xdr:colOff>2429615</xdr:colOff>
      <xdr:row>269</xdr:row>
      <xdr:rowOff>78706</xdr:rowOff>
    </xdr:to>
    <xdr:pic>
      <xdr:nvPicPr>
        <xdr:cNvPr id="35" name="Picture 3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138028"/>
          <a:ext cx="2861704" cy="89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274</xdr:row>
      <xdr:rowOff>5566</xdr:rowOff>
    </xdr:from>
    <xdr:to>
      <xdr:col>1</xdr:col>
      <xdr:colOff>571500</xdr:colOff>
      <xdr:row>278</xdr:row>
      <xdr:rowOff>87828</xdr:rowOff>
    </xdr:to>
    <xdr:pic>
      <xdr:nvPicPr>
        <xdr:cNvPr id="36" name="Picture 3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5964941"/>
          <a:ext cx="1038225" cy="482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339</xdr:row>
      <xdr:rowOff>68035</xdr:rowOff>
    </xdr:from>
    <xdr:to>
      <xdr:col>9</xdr:col>
      <xdr:colOff>663555</xdr:colOff>
      <xdr:row>401</xdr:row>
      <xdr:rowOff>68036</xdr:rowOff>
    </xdr:to>
    <xdr:grpSp>
      <xdr:nvGrpSpPr>
        <xdr:cNvPr id="28" name="Group 27"/>
        <xdr:cNvGrpSpPr/>
      </xdr:nvGrpSpPr>
      <xdr:grpSpPr>
        <a:xfrm>
          <a:off x="0" y="71073735"/>
          <a:ext cx="13261955" cy="12585701"/>
          <a:chOff x="22408" y="69215576"/>
          <a:chExt cx="13284180" cy="11811001"/>
        </a:xfrm>
      </xdr:grpSpPr>
      <xdr:pic>
        <xdr:nvPicPr>
          <xdr:cNvPr id="29" name="Picture 28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0" name="Line Callout 2 (No Border) 29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5" name="Line Callout 2 (No Border) 44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6" name="Line Callout 2 (No Border) 45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7" name="Line Callout 2 (No Border) 46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27215</xdr:colOff>
      <xdr:row>21</xdr:row>
      <xdr:rowOff>136070</xdr:rowOff>
    </xdr:from>
    <xdr:to>
      <xdr:col>9</xdr:col>
      <xdr:colOff>666879</xdr:colOff>
      <xdr:row>102</xdr:row>
      <xdr:rowOff>29809</xdr:rowOff>
    </xdr:to>
    <xdr:grpSp>
      <xdr:nvGrpSpPr>
        <xdr:cNvPr id="54" name="Group 53"/>
        <xdr:cNvGrpSpPr/>
      </xdr:nvGrpSpPr>
      <xdr:grpSpPr>
        <a:xfrm>
          <a:off x="27215" y="4708070"/>
          <a:ext cx="13238064" cy="15324239"/>
          <a:chOff x="27214" y="3349853"/>
          <a:chExt cx="13279216" cy="15558034"/>
        </a:xfrm>
      </xdr:grpSpPr>
      <xdr:pic>
        <xdr:nvPicPr>
          <xdr:cNvPr id="55" name="Picture 54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6" name="Line Callout 2 (No Border) 55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1" name="Line Callout 2 (No Border) 60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2" name="Line Callout 2 (No Border) 61"/>
          <xdr:cNvSpPr/>
        </xdr:nvSpPr>
        <xdr:spPr>
          <a:xfrm flipH="1">
            <a:off x="3155172" y="18194853"/>
            <a:ext cx="2098623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7" name="Line Callout 2 (No Border) 66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8" name="Line Callout 2 (No Border) 67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9" name="Line Callout 2 (No Border) 68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0" name="Rectangle 69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1" name="Rectangle 70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5" name="Line Callout 2 (No Border) 74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6" name="Line Callout 2 (No Border) 75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7" name="Rectangle 76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445</xdr:row>
      <xdr:rowOff>95251</xdr:rowOff>
    </xdr:from>
    <xdr:to>
      <xdr:col>9</xdr:col>
      <xdr:colOff>665511</xdr:colOff>
      <xdr:row>501</xdr:row>
      <xdr:rowOff>39164</xdr:rowOff>
    </xdr:to>
    <xdr:grpSp>
      <xdr:nvGrpSpPr>
        <xdr:cNvPr id="78" name="Group 77"/>
        <xdr:cNvGrpSpPr/>
      </xdr:nvGrpSpPr>
      <xdr:grpSpPr>
        <a:xfrm>
          <a:off x="0" y="93046551"/>
          <a:ext cx="13263911" cy="11043713"/>
          <a:chOff x="13607" y="89487375"/>
          <a:chExt cx="13314588" cy="11205473"/>
        </a:xfrm>
      </xdr:grpSpPr>
      <xdr:pic>
        <xdr:nvPicPr>
          <xdr:cNvPr id="79" name="Picture 78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80" name="Line Callout 2 (No Border) 79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1" name="Line Callout 2 (No Border) 80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2" name="Line Callout 2 (No Border) 81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3" name="Line Callout 2 (No Border) 82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4" name="Line Callout 2 (No Border) 83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5" name="Rectangle 84"/>
          <xdr:cNvSpPr>
            <a:spLocks/>
          </xdr:cNvSpPr>
        </xdr:nvSpPr>
        <xdr:spPr>
          <a:xfrm>
            <a:off x="3153422" y="96154534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6" name="Line Callout 2 (No Border) 85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7" name="Line Callout 2 (No Border) 86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8" name="Line Callout 2 (No Border) 87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9" name="Line Callout 2 (No Border) 88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90" name="Rectangle 89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1" name="Rectangle 90"/>
          <xdr:cNvSpPr>
            <a:spLocks/>
          </xdr:cNvSpPr>
        </xdr:nvSpPr>
        <xdr:spPr>
          <a:xfrm>
            <a:off x="8340391" y="93690764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2" name="Line Callout 2 (No Border) 91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427</xdr:row>
      <xdr:rowOff>95251</xdr:rowOff>
    </xdr:from>
    <xdr:to>
      <xdr:col>2</xdr:col>
      <xdr:colOff>581282</xdr:colOff>
      <xdr:row>436</xdr:row>
      <xdr:rowOff>176893</xdr:rowOff>
    </xdr:to>
    <xdr:pic>
      <xdr:nvPicPr>
        <xdr:cNvPr id="93" name="Picture 9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4" t="13173" r="5049" b="10179"/>
        <a:stretch/>
      </xdr:blipFill>
      <xdr:spPr>
        <a:xfrm>
          <a:off x="0" y="90052072"/>
          <a:ext cx="3765353" cy="17961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320</xdr:row>
      <xdr:rowOff>190498</xdr:rowOff>
    </xdr:from>
    <xdr:to>
      <xdr:col>1</xdr:col>
      <xdr:colOff>1730993</xdr:colOff>
      <xdr:row>330</xdr:row>
      <xdr:rowOff>27811</xdr:rowOff>
    </xdr:to>
    <xdr:pic>
      <xdr:nvPicPr>
        <xdr:cNvPr id="101" name="Picture 10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8675248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295</xdr:row>
      <xdr:rowOff>204106</xdr:rowOff>
    </xdr:from>
    <xdr:to>
      <xdr:col>1</xdr:col>
      <xdr:colOff>2711358</xdr:colOff>
      <xdr:row>302</xdr:row>
      <xdr:rowOff>104334</xdr:rowOff>
    </xdr:to>
    <xdr:grpSp>
      <xdr:nvGrpSpPr>
        <xdr:cNvPr id="102" name="Group 101"/>
        <xdr:cNvGrpSpPr/>
      </xdr:nvGrpSpPr>
      <xdr:grpSpPr>
        <a:xfrm>
          <a:off x="0" y="61964206"/>
          <a:ext cx="3181258" cy="1322628"/>
          <a:chOff x="5" y="63408179"/>
          <a:chExt cx="3174001" cy="1328978"/>
        </a:xfrm>
      </xdr:grpSpPr>
      <xdr:pic>
        <xdr:nvPicPr>
          <xdr:cNvPr id="103" name="Picture 10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4" name="Rectangle 103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105" name="Rectangle 104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106" name="Rectangle 105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107" name="Picture 10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8" name="Picture 10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283</xdr:row>
      <xdr:rowOff>190501</xdr:rowOff>
    </xdr:from>
    <xdr:to>
      <xdr:col>1</xdr:col>
      <xdr:colOff>1944275</xdr:colOff>
      <xdr:row>291</xdr:row>
      <xdr:rowOff>14613</xdr:rowOff>
    </xdr:to>
    <xdr:pic>
      <xdr:nvPicPr>
        <xdr:cNvPr id="94" name="Picture 9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653715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156463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56463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431</xdr:row>
      <xdr:rowOff>201705</xdr:rowOff>
    </xdr:from>
    <xdr:to>
      <xdr:col>9</xdr:col>
      <xdr:colOff>324970</xdr:colOff>
      <xdr:row>432</xdr:row>
      <xdr:rowOff>212911</xdr:rowOff>
    </xdr:to>
    <xdr:sp macro="" textlink="">
      <xdr:nvSpPr>
        <xdr:cNvPr id="5" name="Rectangle 4"/>
        <xdr:cNvSpPr/>
      </xdr:nvSpPr>
      <xdr:spPr>
        <a:xfrm>
          <a:off x="12711954" y="891366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112</xdr:row>
      <xdr:rowOff>0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274894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40822</xdr:colOff>
      <xdr:row>207</xdr:row>
      <xdr:rowOff>0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40822" y="43481625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313</xdr:row>
      <xdr:rowOff>149678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67001571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</xdr:colOff>
      <xdr:row>420</xdr:row>
      <xdr:rowOff>149680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" y="8935810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0</xdr:colOff>
      <xdr:row>6</xdr:row>
      <xdr:rowOff>122464</xdr:rowOff>
    </xdr:from>
    <xdr:to>
      <xdr:col>2</xdr:col>
      <xdr:colOff>54430</xdr:colOff>
      <xdr:row>16</xdr:row>
      <xdr:rowOff>132201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8928"/>
          <a:ext cx="3238501" cy="19147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149676</xdr:rowOff>
    </xdr:from>
    <xdr:to>
      <xdr:col>2</xdr:col>
      <xdr:colOff>54430</xdr:colOff>
      <xdr:row>127</xdr:row>
      <xdr:rowOff>149679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71033"/>
          <a:ext cx="3238501" cy="195943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</xdr:row>
      <xdr:rowOff>0</xdr:rowOff>
    </xdr:from>
    <xdr:to>
      <xdr:col>12</xdr:col>
      <xdr:colOff>353785</xdr:colOff>
      <xdr:row>5</xdr:row>
      <xdr:rowOff>54428</xdr:rowOff>
    </xdr:to>
    <xdr:sp macro="" textlink="">
      <xdr:nvSpPr>
        <xdr:cNvPr id="20" name="Left Arrow 19">
          <a:hlinkClick xmlns:r="http://schemas.openxmlformats.org/officeDocument/2006/relationships" r:id="rId3"/>
        </xdr:cNvPr>
        <xdr:cNvSpPr/>
      </xdr:nvSpPr>
      <xdr:spPr>
        <a:xfrm>
          <a:off x="14015357" y="544286"/>
          <a:ext cx="1020535" cy="843642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78441</xdr:colOff>
      <xdr:row>217</xdr:row>
      <xdr:rowOff>159982</xdr:rowOff>
    </xdr:from>
    <xdr:to>
      <xdr:col>1</xdr:col>
      <xdr:colOff>2409264</xdr:colOff>
      <xdr:row>226</xdr:row>
      <xdr:rowOff>109073</xdr:rowOff>
    </xdr:to>
    <xdr:pic>
      <xdr:nvPicPr>
        <xdr:cNvPr id="30" name="Picture 2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231</xdr:row>
      <xdr:rowOff>17426</xdr:rowOff>
    </xdr:from>
    <xdr:to>
      <xdr:col>1</xdr:col>
      <xdr:colOff>707572</xdr:colOff>
      <xdr:row>237</xdr:row>
      <xdr:rowOff>5085</xdr:rowOff>
    </xdr:to>
    <xdr:pic>
      <xdr:nvPicPr>
        <xdr:cNvPr id="31" name="Picture 3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241</xdr:row>
      <xdr:rowOff>20401</xdr:rowOff>
    </xdr:from>
    <xdr:to>
      <xdr:col>1</xdr:col>
      <xdr:colOff>2462267</xdr:colOff>
      <xdr:row>248</xdr:row>
      <xdr:rowOff>43532</xdr:rowOff>
    </xdr:to>
    <xdr:pic>
      <xdr:nvPicPr>
        <xdr:cNvPr id="32" name="Picture 3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252</xdr:row>
      <xdr:rowOff>8496</xdr:rowOff>
    </xdr:from>
    <xdr:to>
      <xdr:col>1</xdr:col>
      <xdr:colOff>777156</xdr:colOff>
      <xdr:row>257</xdr:row>
      <xdr:rowOff>179189</xdr:rowOff>
    </xdr:to>
    <xdr:pic>
      <xdr:nvPicPr>
        <xdr:cNvPr id="33" name="Picture 3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261</xdr:row>
      <xdr:rowOff>178903</xdr:rowOff>
    </xdr:from>
    <xdr:to>
      <xdr:col>1</xdr:col>
      <xdr:colOff>2429615</xdr:colOff>
      <xdr:row>268</xdr:row>
      <xdr:rowOff>78706</xdr:rowOff>
    </xdr:to>
    <xdr:pic>
      <xdr:nvPicPr>
        <xdr:cNvPr id="34" name="Picture 3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</xdr:row>
      <xdr:rowOff>5566</xdr:rowOff>
    </xdr:from>
    <xdr:to>
      <xdr:col>1</xdr:col>
      <xdr:colOff>571500</xdr:colOff>
      <xdr:row>277</xdr:row>
      <xdr:rowOff>87829</xdr:rowOff>
    </xdr:to>
    <xdr:pic>
      <xdr:nvPicPr>
        <xdr:cNvPr id="35" name="Picture 3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337</xdr:row>
      <xdr:rowOff>40822</xdr:rowOff>
    </xdr:from>
    <xdr:to>
      <xdr:col>9</xdr:col>
      <xdr:colOff>663555</xdr:colOff>
      <xdr:row>399</xdr:row>
      <xdr:rowOff>40822</xdr:rowOff>
    </xdr:to>
    <xdr:grpSp>
      <xdr:nvGrpSpPr>
        <xdr:cNvPr id="27" name="Group 26"/>
        <xdr:cNvGrpSpPr/>
      </xdr:nvGrpSpPr>
      <xdr:grpSpPr>
        <a:xfrm>
          <a:off x="0" y="71303062"/>
          <a:ext cx="13668355" cy="12588240"/>
          <a:chOff x="22408" y="69215576"/>
          <a:chExt cx="13284180" cy="11811001"/>
        </a:xfrm>
      </xdr:grpSpPr>
      <xdr:pic>
        <xdr:nvPicPr>
          <xdr:cNvPr id="28" name="Picture 2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9" name="Line Callout 2 (No Border) 28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4" name="Line Callout 2 (No Border) 43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5" name="Line Callout 2 (No Border) 44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6" name="Line Callout 2 (No Border) 45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7" name="Line Callout 2 (No Border) 46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22</xdr:row>
      <xdr:rowOff>108857</xdr:rowOff>
    </xdr:from>
    <xdr:to>
      <xdr:col>9</xdr:col>
      <xdr:colOff>639664</xdr:colOff>
      <xdr:row>103</xdr:row>
      <xdr:rowOff>2596</xdr:rowOff>
    </xdr:to>
    <xdr:grpSp>
      <xdr:nvGrpSpPr>
        <xdr:cNvPr id="53" name="Group 52"/>
        <xdr:cNvGrpSpPr/>
      </xdr:nvGrpSpPr>
      <xdr:grpSpPr>
        <a:xfrm>
          <a:off x="0" y="4894217"/>
          <a:ext cx="13644464" cy="15529979"/>
          <a:chOff x="27214" y="3349853"/>
          <a:chExt cx="13279216" cy="15558034"/>
        </a:xfrm>
      </xdr:grpSpPr>
      <xdr:pic>
        <xdr:nvPicPr>
          <xdr:cNvPr id="54" name="Picture 5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5" name="Line Callout 2 (No Border) 54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1" name="Line Callout 2 (No Border) 60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2" name="Line Callout 2 (No Border) 61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7" name="Line Callout 2 (No Border) 66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8" name="Line Callout 2 (No Border) 67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9" name="Rectangle 68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0" name="Rectangle 69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1" name="Line Callout 2 (No Border) 70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5" name="Line Callout 2 (No Border) 74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6" name="Rectangle 75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444</xdr:row>
      <xdr:rowOff>0</xdr:rowOff>
    </xdr:from>
    <xdr:to>
      <xdr:col>9</xdr:col>
      <xdr:colOff>665511</xdr:colOff>
      <xdr:row>501</xdr:row>
      <xdr:rowOff>120808</xdr:rowOff>
    </xdr:to>
    <xdr:grpSp>
      <xdr:nvGrpSpPr>
        <xdr:cNvPr id="77" name="Group 76"/>
        <xdr:cNvGrpSpPr/>
      </xdr:nvGrpSpPr>
      <xdr:grpSpPr>
        <a:xfrm>
          <a:off x="0" y="93370400"/>
          <a:ext cx="13670311" cy="11439048"/>
          <a:chOff x="13607" y="89487375"/>
          <a:chExt cx="13314588" cy="11205473"/>
        </a:xfrm>
      </xdr:grpSpPr>
      <xdr:pic>
        <xdr:nvPicPr>
          <xdr:cNvPr id="78" name="Picture 7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9" name="Line Callout 2 (No Border) 78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0" name="Line Callout 2 (No Border) 79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1" name="Line Callout 2 (No Border) 80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2" name="Line Callout 2 (No Border) 81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3" name="Line Callout 2 (No Border) 82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4" name="Rectangle 83"/>
          <xdr:cNvSpPr>
            <a:spLocks/>
          </xdr:cNvSpPr>
        </xdr:nvSpPr>
        <xdr:spPr>
          <a:xfrm>
            <a:off x="3153422" y="96154535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5" name="Line Callout 2 (No Border) 84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6" name="Line Callout 2 (No Border) 85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7" name="Line Callout 2 (No Border) 86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8" name="Line Callout 2 (No Border) 87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9" name="Rectangle 88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0" name="Rectangle 89"/>
          <xdr:cNvSpPr>
            <a:spLocks/>
          </xdr:cNvSpPr>
        </xdr:nvSpPr>
        <xdr:spPr>
          <a:xfrm>
            <a:off x="8340391" y="93571539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1" name="Line Callout 2 (No Border) 90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426</xdr:row>
      <xdr:rowOff>95251</xdr:rowOff>
    </xdr:from>
    <xdr:to>
      <xdr:col>2</xdr:col>
      <xdr:colOff>584517</xdr:colOff>
      <xdr:row>436</xdr:row>
      <xdr:rowOff>136072</xdr:rowOff>
    </xdr:to>
    <xdr:pic>
      <xdr:nvPicPr>
        <xdr:cNvPr id="92" name="Picture 91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632" t="12311" r="5053" b="10472"/>
        <a:stretch/>
      </xdr:blipFill>
      <xdr:spPr>
        <a:xfrm>
          <a:off x="0" y="87847715"/>
          <a:ext cx="3768588" cy="19458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320</xdr:row>
      <xdr:rowOff>13605</xdr:rowOff>
    </xdr:from>
    <xdr:to>
      <xdr:col>1</xdr:col>
      <xdr:colOff>1730993</xdr:colOff>
      <xdr:row>329</xdr:row>
      <xdr:rowOff>41418</xdr:rowOff>
    </xdr:to>
    <xdr:pic>
      <xdr:nvPicPr>
        <xdr:cNvPr id="100" name="Picture 9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8797712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295</xdr:row>
      <xdr:rowOff>27214</xdr:rowOff>
    </xdr:from>
    <xdr:to>
      <xdr:col>1</xdr:col>
      <xdr:colOff>2711358</xdr:colOff>
      <xdr:row>301</xdr:row>
      <xdr:rowOff>131549</xdr:rowOff>
    </xdr:to>
    <xdr:grpSp>
      <xdr:nvGrpSpPr>
        <xdr:cNvPr id="101" name="Group 100"/>
        <xdr:cNvGrpSpPr/>
      </xdr:nvGrpSpPr>
      <xdr:grpSpPr>
        <a:xfrm>
          <a:off x="0" y="62429934"/>
          <a:ext cx="3188878" cy="1323535"/>
          <a:chOff x="5" y="63408179"/>
          <a:chExt cx="3174001" cy="1328978"/>
        </a:xfrm>
      </xdr:grpSpPr>
      <xdr:pic>
        <xdr:nvPicPr>
          <xdr:cNvPr id="102" name="Picture 101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3" name="Rectangle 102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104" name="Rectangle 103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105" name="Rectangle 104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106" name="Picture 10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7" name="Picture 10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282</xdr:row>
      <xdr:rowOff>190500</xdr:rowOff>
    </xdr:from>
    <xdr:to>
      <xdr:col>1</xdr:col>
      <xdr:colOff>1944275</xdr:colOff>
      <xdr:row>290</xdr:row>
      <xdr:rowOff>14612</xdr:rowOff>
    </xdr:to>
    <xdr:pic>
      <xdr:nvPicPr>
        <xdr:cNvPr id="93" name="Picture 9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531250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156463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56463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432</xdr:row>
      <xdr:rowOff>201705</xdr:rowOff>
    </xdr:from>
    <xdr:to>
      <xdr:col>9</xdr:col>
      <xdr:colOff>324970</xdr:colOff>
      <xdr:row>433</xdr:row>
      <xdr:rowOff>212911</xdr:rowOff>
    </xdr:to>
    <xdr:sp macro="" textlink="">
      <xdr:nvSpPr>
        <xdr:cNvPr id="3" name="Rectangle 2"/>
        <xdr:cNvSpPr/>
      </xdr:nvSpPr>
      <xdr:spPr>
        <a:xfrm>
          <a:off x="12740529" y="8976528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112</xdr:row>
      <xdr:rowOff>0</xdr:rowOff>
    </xdr:from>
    <xdr:ext cx="3110302" cy="1060854"/>
    <xdr:pic>
      <xdr:nvPicPr>
        <xdr:cNvPr id="4" name="Picture 3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1888450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40822</xdr:colOff>
      <xdr:row>208</xdr:row>
      <xdr:rowOff>0</xdr:rowOff>
    </xdr:from>
    <xdr:ext cx="3110302" cy="1060854"/>
    <xdr:pic>
      <xdr:nvPicPr>
        <xdr:cNvPr id="5" name="Picture 4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40822" y="43557825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314</xdr:row>
      <xdr:rowOff>149678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65310203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</xdr:colOff>
      <xdr:row>421</xdr:row>
      <xdr:rowOff>149680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" y="87093880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0</xdr:colOff>
      <xdr:row>2</xdr:row>
      <xdr:rowOff>0</xdr:rowOff>
    </xdr:from>
    <xdr:to>
      <xdr:col>12</xdr:col>
      <xdr:colOff>353785</xdr:colOff>
      <xdr:row>5</xdr:row>
      <xdr:rowOff>54428</xdr:rowOff>
    </xdr:to>
    <xdr:sp macro="" textlink="">
      <xdr:nvSpPr>
        <xdr:cNvPr id="10" name="Left Arrow 9">
          <a:hlinkClick xmlns:r="http://schemas.openxmlformats.org/officeDocument/2006/relationships" r:id="rId2"/>
        </xdr:cNvPr>
        <xdr:cNvSpPr/>
      </xdr:nvSpPr>
      <xdr:spPr>
        <a:xfrm>
          <a:off x="14030325" y="542925"/>
          <a:ext cx="1020535" cy="845003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109073</xdr:rowOff>
    </xdr:to>
    <xdr:pic>
      <xdr:nvPicPr>
        <xdr:cNvPr id="11" name="Picture 1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682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5085</xdr:rowOff>
    </xdr:to>
    <xdr:pic>
      <xdr:nvPicPr>
        <xdr:cNvPr id="12" name="Picture 1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11878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249</xdr:row>
      <xdr:rowOff>43532</xdr:rowOff>
    </xdr:to>
    <xdr:pic>
      <xdr:nvPicPr>
        <xdr:cNvPr id="13" name="Picture 1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4137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8496</xdr:rowOff>
    </xdr:from>
    <xdr:to>
      <xdr:col>1</xdr:col>
      <xdr:colOff>777156</xdr:colOff>
      <xdr:row>258</xdr:row>
      <xdr:rowOff>179189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1170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262</xdr:row>
      <xdr:rowOff>178903</xdr:rowOff>
    </xdr:from>
    <xdr:to>
      <xdr:col>1</xdr:col>
      <xdr:colOff>2429615</xdr:colOff>
      <xdr:row>269</xdr:row>
      <xdr:rowOff>78706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1299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275</xdr:row>
      <xdr:rowOff>5566</xdr:rowOff>
    </xdr:from>
    <xdr:to>
      <xdr:col>1</xdr:col>
      <xdr:colOff>571500</xdr:colOff>
      <xdr:row>279</xdr:row>
      <xdr:rowOff>87829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7165091"/>
          <a:ext cx="1038225" cy="882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338</xdr:row>
      <xdr:rowOff>40822</xdr:rowOff>
    </xdr:from>
    <xdr:to>
      <xdr:col>9</xdr:col>
      <xdr:colOff>663555</xdr:colOff>
      <xdr:row>400</xdr:row>
      <xdr:rowOff>40822</xdr:rowOff>
    </xdr:to>
    <xdr:grpSp>
      <xdr:nvGrpSpPr>
        <xdr:cNvPr id="17" name="Group 16"/>
        <xdr:cNvGrpSpPr/>
      </xdr:nvGrpSpPr>
      <xdr:grpSpPr>
        <a:xfrm>
          <a:off x="0" y="70894122"/>
          <a:ext cx="15141555" cy="12585700"/>
          <a:chOff x="22408" y="69215576"/>
          <a:chExt cx="13284180" cy="11811001"/>
        </a:xfrm>
      </xdr:grpSpPr>
      <xdr:pic>
        <xdr:nvPicPr>
          <xdr:cNvPr id="18" name="Picture 1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9" name="Line Callout 2 (No Border) 18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20" name="Line Callout 2 (No Border) 19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1" name="Line Callout 2 (No Border) 20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2" name="Line Callout 2 (No Border) 21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3" name="Line Callout 2 (No Border) 22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4" name="Line Callout 2 (No Border) 23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5" name="Line Callout 2 (No Border) 24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26" name="Line Callout 2 (No Border) 25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27" name="Line Callout 2 (No Border) 26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8" name="Line Callout 2 (No Border) 27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22</xdr:row>
      <xdr:rowOff>108857</xdr:rowOff>
    </xdr:from>
    <xdr:to>
      <xdr:col>9</xdr:col>
      <xdr:colOff>639664</xdr:colOff>
      <xdr:row>103</xdr:row>
      <xdr:rowOff>2596</xdr:rowOff>
    </xdr:to>
    <xdr:grpSp>
      <xdr:nvGrpSpPr>
        <xdr:cNvPr id="29" name="Group 28"/>
        <xdr:cNvGrpSpPr/>
      </xdr:nvGrpSpPr>
      <xdr:grpSpPr>
        <a:xfrm>
          <a:off x="0" y="4871357"/>
          <a:ext cx="15117664" cy="15324239"/>
          <a:chOff x="27214" y="3349853"/>
          <a:chExt cx="13279216" cy="15558034"/>
        </a:xfrm>
      </xdr:grpSpPr>
      <xdr:pic>
        <xdr:nvPicPr>
          <xdr:cNvPr id="30" name="Picture 29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1" name="Line Callout 2 (No Border) 30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2" name="Line Callout 2 (No Border) 31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3" name="Line Callout 2 (No Border) 32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4" name="Line Callout 2 (No Border) 33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5" name="Line Callout 2 (No Border) 34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4" name="Line Callout 2 (No Border) 43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5" name="Rectangle 44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6" name="Rectangle 45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7" name="Line Callout 2 (No Border) 46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Rectangle 51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445</xdr:row>
      <xdr:rowOff>0</xdr:rowOff>
    </xdr:from>
    <xdr:to>
      <xdr:col>9</xdr:col>
      <xdr:colOff>665511</xdr:colOff>
      <xdr:row>502</xdr:row>
      <xdr:rowOff>120808</xdr:rowOff>
    </xdr:to>
    <xdr:grpSp>
      <xdr:nvGrpSpPr>
        <xdr:cNvPr id="53" name="Group 52"/>
        <xdr:cNvGrpSpPr/>
      </xdr:nvGrpSpPr>
      <xdr:grpSpPr>
        <a:xfrm>
          <a:off x="0" y="92938600"/>
          <a:ext cx="15143511" cy="11373008"/>
          <a:chOff x="13607" y="89487375"/>
          <a:chExt cx="13314588" cy="11205473"/>
        </a:xfrm>
      </xdr:grpSpPr>
      <xdr:pic>
        <xdr:nvPicPr>
          <xdr:cNvPr id="54" name="Picture 5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5" name="Line Callout 2 (No Border) 54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0" name="Rectangle 59"/>
          <xdr:cNvSpPr>
            <a:spLocks/>
          </xdr:cNvSpPr>
        </xdr:nvSpPr>
        <xdr:spPr>
          <a:xfrm>
            <a:off x="3153422" y="96154535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1" name="Line Callout 2 (No Border) 60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2" name="Line Callout 2 (No Border) 61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Rectangle 64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6" name="Rectangle 65"/>
          <xdr:cNvSpPr>
            <a:spLocks/>
          </xdr:cNvSpPr>
        </xdr:nvSpPr>
        <xdr:spPr>
          <a:xfrm>
            <a:off x="8340391" y="93571539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7" name="Line Callout 2 (No Border) 66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321</xdr:row>
      <xdr:rowOff>13605</xdr:rowOff>
    </xdr:from>
    <xdr:to>
      <xdr:col>1</xdr:col>
      <xdr:colOff>1730993</xdr:colOff>
      <xdr:row>330</xdr:row>
      <xdr:rowOff>41418</xdr:rowOff>
    </xdr:to>
    <xdr:pic>
      <xdr:nvPicPr>
        <xdr:cNvPr id="69" name="Picture 6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7041030"/>
          <a:ext cx="2197718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299</xdr:row>
      <xdr:rowOff>27214</xdr:rowOff>
    </xdr:from>
    <xdr:to>
      <xdr:col>1</xdr:col>
      <xdr:colOff>2711358</xdr:colOff>
      <xdr:row>305</xdr:row>
      <xdr:rowOff>131549</xdr:rowOff>
    </xdr:to>
    <xdr:grpSp>
      <xdr:nvGrpSpPr>
        <xdr:cNvPr id="70" name="Group 69"/>
        <xdr:cNvGrpSpPr/>
      </xdr:nvGrpSpPr>
      <xdr:grpSpPr>
        <a:xfrm>
          <a:off x="0" y="62663614"/>
          <a:ext cx="3244758" cy="1323535"/>
          <a:chOff x="5" y="63408179"/>
          <a:chExt cx="3174001" cy="1328978"/>
        </a:xfrm>
      </xdr:grpSpPr>
      <xdr:pic>
        <xdr:nvPicPr>
          <xdr:cNvPr id="71" name="Picture 70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2" name="Rectangle 71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73" name="Rectangle 72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74" name="Rectangle 73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75" name="Picture 74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6" name="Picture 7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285</xdr:row>
      <xdr:rowOff>190500</xdr:rowOff>
    </xdr:from>
    <xdr:to>
      <xdr:col>1</xdr:col>
      <xdr:colOff>1944275</xdr:colOff>
      <xdr:row>293</xdr:row>
      <xdr:rowOff>14612</xdr:rowOff>
    </xdr:to>
    <xdr:pic>
      <xdr:nvPicPr>
        <xdr:cNvPr id="77" name="Picture 7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150250"/>
          <a:ext cx="2411000" cy="1424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122464</xdr:rowOff>
    </xdr:from>
    <xdr:to>
      <xdr:col>2</xdr:col>
      <xdr:colOff>123427</xdr:colOff>
      <xdr:row>16</xdr:row>
      <xdr:rowOff>149679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768928"/>
          <a:ext cx="3307498" cy="19322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427</xdr:row>
      <xdr:rowOff>95250</xdr:rowOff>
    </xdr:from>
    <xdr:to>
      <xdr:col>2</xdr:col>
      <xdr:colOff>693368</xdr:colOff>
      <xdr:row>437</xdr:row>
      <xdr:rowOff>136072</xdr:rowOff>
    </xdr:to>
    <xdr:pic>
      <xdr:nvPicPr>
        <xdr:cNvPr id="82" name="Picture 81"/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4979" t="11932" r="4405" b="10227"/>
        <a:stretch/>
      </xdr:blipFill>
      <xdr:spPr>
        <a:xfrm>
          <a:off x="0" y="89575821"/>
          <a:ext cx="3877439" cy="194582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117</xdr:row>
      <xdr:rowOff>176893</xdr:rowOff>
    </xdr:from>
    <xdr:to>
      <xdr:col>2</xdr:col>
      <xdr:colOff>123427</xdr:colOff>
      <xdr:row>127</xdr:row>
      <xdr:rowOff>149679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23553964"/>
          <a:ext cx="3307498" cy="1932215"/>
        </a:xfrm>
        <a:prstGeom prst="rect">
          <a:avLst/>
        </a:prstGeom>
      </xdr:spPr>
    </xdr:pic>
    <xdr:clientData/>
  </xdr:twoCellAnchor>
  <xdr:twoCellAnchor>
    <xdr:from>
      <xdr:col>2</xdr:col>
      <xdr:colOff>136072</xdr:colOff>
      <xdr:row>117</xdr:row>
      <xdr:rowOff>176893</xdr:rowOff>
    </xdr:from>
    <xdr:to>
      <xdr:col>2</xdr:col>
      <xdr:colOff>762000</xdr:colOff>
      <xdr:row>117</xdr:row>
      <xdr:rowOff>176893</xdr:rowOff>
    </xdr:to>
    <xdr:cxnSp macro="">
      <xdr:nvCxnSpPr>
        <xdr:cNvPr id="84" name="Straight Connector 83"/>
        <xdr:cNvCxnSpPr/>
      </xdr:nvCxnSpPr>
      <xdr:spPr>
        <a:xfrm>
          <a:off x="3320143" y="23553964"/>
          <a:ext cx="62592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693965</xdr:colOff>
      <xdr:row>117</xdr:row>
      <xdr:rowOff>190500</xdr:rowOff>
    </xdr:from>
    <xdr:to>
      <xdr:col>2</xdr:col>
      <xdr:colOff>693965</xdr:colOff>
      <xdr:row>127</xdr:row>
      <xdr:rowOff>149678</xdr:rowOff>
    </xdr:to>
    <xdr:cxnSp macro="">
      <xdr:nvCxnSpPr>
        <xdr:cNvPr id="86" name="Straight Arrow Connector 85"/>
        <xdr:cNvCxnSpPr/>
      </xdr:nvCxnSpPr>
      <xdr:spPr>
        <a:xfrm>
          <a:off x="3878036" y="23567571"/>
          <a:ext cx="0" cy="1918607"/>
        </a:xfrm>
        <a:prstGeom prst="straightConnector1">
          <a:avLst/>
        </a:prstGeom>
        <a:ln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136072</xdr:colOff>
      <xdr:row>127</xdr:row>
      <xdr:rowOff>136072</xdr:rowOff>
    </xdr:from>
    <xdr:to>
      <xdr:col>2</xdr:col>
      <xdr:colOff>762000</xdr:colOff>
      <xdr:row>127</xdr:row>
      <xdr:rowOff>136072</xdr:rowOff>
    </xdr:to>
    <xdr:cxnSp macro="">
      <xdr:nvCxnSpPr>
        <xdr:cNvPr id="88" name="Straight Connector 87"/>
        <xdr:cNvCxnSpPr/>
      </xdr:nvCxnSpPr>
      <xdr:spPr>
        <a:xfrm>
          <a:off x="3320143" y="25472572"/>
          <a:ext cx="62592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136072</xdr:colOff>
      <xdr:row>121</xdr:row>
      <xdr:rowOff>27214</xdr:rowOff>
    </xdr:from>
    <xdr:to>
      <xdr:col>2</xdr:col>
      <xdr:colOff>421822</xdr:colOff>
      <xdr:row>121</xdr:row>
      <xdr:rowOff>27214</xdr:rowOff>
    </xdr:to>
    <xdr:cxnSp macro="">
      <xdr:nvCxnSpPr>
        <xdr:cNvPr id="90" name="Straight Connector 89"/>
        <xdr:cNvCxnSpPr/>
      </xdr:nvCxnSpPr>
      <xdr:spPr>
        <a:xfrm>
          <a:off x="3320143" y="24220714"/>
          <a:ext cx="285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136072</xdr:colOff>
      <xdr:row>124</xdr:row>
      <xdr:rowOff>81643</xdr:rowOff>
    </xdr:from>
    <xdr:to>
      <xdr:col>2</xdr:col>
      <xdr:colOff>421822</xdr:colOff>
      <xdr:row>124</xdr:row>
      <xdr:rowOff>81643</xdr:rowOff>
    </xdr:to>
    <xdr:cxnSp macro="">
      <xdr:nvCxnSpPr>
        <xdr:cNvPr id="92" name="Straight Connector 91"/>
        <xdr:cNvCxnSpPr/>
      </xdr:nvCxnSpPr>
      <xdr:spPr>
        <a:xfrm>
          <a:off x="3320143" y="24846643"/>
          <a:ext cx="285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381001</xdr:colOff>
      <xdr:row>121</xdr:row>
      <xdr:rowOff>40821</xdr:rowOff>
    </xdr:from>
    <xdr:to>
      <xdr:col>2</xdr:col>
      <xdr:colOff>381001</xdr:colOff>
      <xdr:row>124</xdr:row>
      <xdr:rowOff>81643</xdr:rowOff>
    </xdr:to>
    <xdr:cxnSp macro="">
      <xdr:nvCxnSpPr>
        <xdr:cNvPr id="93" name="Straight Arrow Connector 92"/>
        <xdr:cNvCxnSpPr/>
      </xdr:nvCxnSpPr>
      <xdr:spPr>
        <a:xfrm>
          <a:off x="3565072" y="24234321"/>
          <a:ext cx="0" cy="612322"/>
        </a:xfrm>
        <a:prstGeom prst="straightConnector1">
          <a:avLst/>
        </a:prstGeom>
        <a:ln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381001</xdr:colOff>
      <xdr:row>124</xdr:row>
      <xdr:rowOff>95249</xdr:rowOff>
    </xdr:from>
    <xdr:to>
      <xdr:col>2</xdr:col>
      <xdr:colOff>381001</xdr:colOff>
      <xdr:row>126</xdr:row>
      <xdr:rowOff>149679</xdr:rowOff>
    </xdr:to>
    <xdr:cxnSp macro="">
      <xdr:nvCxnSpPr>
        <xdr:cNvPr id="97" name="Straight Arrow Connector 96"/>
        <xdr:cNvCxnSpPr/>
      </xdr:nvCxnSpPr>
      <xdr:spPr>
        <a:xfrm>
          <a:off x="3565072" y="24860249"/>
          <a:ext cx="0" cy="435430"/>
        </a:xfrm>
        <a:prstGeom prst="straightConnector1">
          <a:avLst/>
        </a:prstGeom>
        <a:ln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122464</xdr:colOff>
      <xdr:row>124</xdr:row>
      <xdr:rowOff>68038</xdr:rowOff>
    </xdr:from>
    <xdr:to>
      <xdr:col>2</xdr:col>
      <xdr:colOff>462643</xdr:colOff>
      <xdr:row>126</xdr:row>
      <xdr:rowOff>108859</xdr:rowOff>
    </xdr:to>
    <xdr:sp macro="" textlink="">
      <xdr:nvSpPr>
        <xdr:cNvPr id="98" name="Rectangle 97"/>
        <xdr:cNvSpPr/>
      </xdr:nvSpPr>
      <xdr:spPr>
        <a:xfrm rot="16200000">
          <a:off x="3265714" y="24873859"/>
          <a:ext cx="421821" cy="3401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>
              <a:solidFill>
                <a:sysClr val="windowText" lastClr="000000"/>
              </a:solidFill>
            </a:rPr>
            <a:t>P1</a:t>
          </a:r>
        </a:p>
      </xdr:txBody>
    </xdr:sp>
    <xdr:clientData/>
  </xdr:twoCellAnchor>
  <xdr:twoCellAnchor>
    <xdr:from>
      <xdr:col>2</xdr:col>
      <xdr:colOff>122464</xdr:colOff>
      <xdr:row>121</xdr:row>
      <xdr:rowOff>122465</xdr:rowOff>
    </xdr:from>
    <xdr:to>
      <xdr:col>2</xdr:col>
      <xdr:colOff>462643</xdr:colOff>
      <xdr:row>123</xdr:row>
      <xdr:rowOff>163286</xdr:rowOff>
    </xdr:to>
    <xdr:sp macro="" textlink="">
      <xdr:nvSpPr>
        <xdr:cNvPr id="99" name="Rectangle 98"/>
        <xdr:cNvSpPr/>
      </xdr:nvSpPr>
      <xdr:spPr>
        <a:xfrm rot="16200000">
          <a:off x="3265714" y="24356786"/>
          <a:ext cx="421821" cy="3401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>
              <a:solidFill>
                <a:sysClr val="windowText" lastClr="000000"/>
              </a:solidFill>
            </a:rPr>
            <a:t>P2</a:t>
          </a:r>
        </a:p>
      </xdr:txBody>
    </xdr:sp>
    <xdr:clientData/>
  </xdr:twoCellAnchor>
  <xdr:twoCellAnchor>
    <xdr:from>
      <xdr:col>2</xdr:col>
      <xdr:colOff>122464</xdr:colOff>
      <xdr:row>118</xdr:row>
      <xdr:rowOff>176893</xdr:rowOff>
    </xdr:from>
    <xdr:to>
      <xdr:col>2</xdr:col>
      <xdr:colOff>462643</xdr:colOff>
      <xdr:row>120</xdr:row>
      <xdr:rowOff>176893</xdr:rowOff>
    </xdr:to>
    <xdr:sp macro="" textlink="">
      <xdr:nvSpPr>
        <xdr:cNvPr id="100" name="Rectangle 99"/>
        <xdr:cNvSpPr/>
      </xdr:nvSpPr>
      <xdr:spPr>
        <a:xfrm rot="16200000">
          <a:off x="3265714" y="23798893"/>
          <a:ext cx="421821" cy="3401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>
              <a:solidFill>
                <a:sysClr val="windowText" lastClr="000000"/>
              </a:solidFill>
            </a:rPr>
            <a:t>P1</a:t>
          </a:r>
        </a:p>
      </xdr:txBody>
    </xdr:sp>
    <xdr:clientData/>
  </xdr:twoCellAnchor>
  <xdr:twoCellAnchor>
    <xdr:from>
      <xdr:col>2</xdr:col>
      <xdr:colOff>435428</xdr:colOff>
      <xdr:row>121</xdr:row>
      <xdr:rowOff>122465</xdr:rowOff>
    </xdr:from>
    <xdr:to>
      <xdr:col>2</xdr:col>
      <xdr:colOff>775607</xdr:colOff>
      <xdr:row>123</xdr:row>
      <xdr:rowOff>163286</xdr:rowOff>
    </xdr:to>
    <xdr:sp macro="" textlink="">
      <xdr:nvSpPr>
        <xdr:cNvPr id="101" name="Rectangle 100"/>
        <xdr:cNvSpPr/>
      </xdr:nvSpPr>
      <xdr:spPr>
        <a:xfrm rot="16200000">
          <a:off x="3578678" y="24356786"/>
          <a:ext cx="421821" cy="3401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>
              <a:solidFill>
                <a:sysClr val="windowText" lastClr="000000"/>
              </a:solidFill>
            </a:rPr>
            <a:t>H</a:t>
          </a:r>
        </a:p>
      </xdr:txBody>
    </xdr:sp>
    <xdr:clientData/>
  </xdr:twoCellAnchor>
  <xdr:twoCellAnchor>
    <xdr:from>
      <xdr:col>2</xdr:col>
      <xdr:colOff>136072</xdr:colOff>
      <xdr:row>126</xdr:row>
      <xdr:rowOff>136071</xdr:rowOff>
    </xdr:from>
    <xdr:to>
      <xdr:col>2</xdr:col>
      <xdr:colOff>421822</xdr:colOff>
      <xdr:row>126</xdr:row>
      <xdr:rowOff>136071</xdr:rowOff>
    </xdr:to>
    <xdr:cxnSp macro="">
      <xdr:nvCxnSpPr>
        <xdr:cNvPr id="104" name="Straight Connector 103"/>
        <xdr:cNvCxnSpPr/>
      </xdr:nvCxnSpPr>
      <xdr:spPr>
        <a:xfrm>
          <a:off x="3320143" y="25282071"/>
          <a:ext cx="285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136072</xdr:colOff>
      <xdr:row>118</xdr:row>
      <xdr:rowOff>217714</xdr:rowOff>
    </xdr:from>
    <xdr:to>
      <xdr:col>2</xdr:col>
      <xdr:colOff>421822</xdr:colOff>
      <xdr:row>118</xdr:row>
      <xdr:rowOff>217714</xdr:rowOff>
    </xdr:to>
    <xdr:cxnSp macro="">
      <xdr:nvCxnSpPr>
        <xdr:cNvPr id="105" name="Straight Connector 104"/>
        <xdr:cNvCxnSpPr/>
      </xdr:nvCxnSpPr>
      <xdr:spPr>
        <a:xfrm>
          <a:off x="3320143" y="23798893"/>
          <a:ext cx="285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381001</xdr:colOff>
      <xdr:row>118</xdr:row>
      <xdr:rowOff>204106</xdr:rowOff>
    </xdr:from>
    <xdr:to>
      <xdr:col>2</xdr:col>
      <xdr:colOff>381001</xdr:colOff>
      <xdr:row>121</xdr:row>
      <xdr:rowOff>27215</xdr:rowOff>
    </xdr:to>
    <xdr:cxnSp macro="">
      <xdr:nvCxnSpPr>
        <xdr:cNvPr id="106" name="Straight Arrow Connector 105"/>
        <xdr:cNvCxnSpPr/>
      </xdr:nvCxnSpPr>
      <xdr:spPr>
        <a:xfrm>
          <a:off x="3565072" y="23785285"/>
          <a:ext cx="0" cy="435430"/>
        </a:xfrm>
        <a:prstGeom prst="straightConnector1">
          <a:avLst/>
        </a:prstGeom>
        <a:ln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435428</xdr:colOff>
      <xdr:row>218</xdr:row>
      <xdr:rowOff>136071</xdr:rowOff>
    </xdr:from>
    <xdr:to>
      <xdr:col>5</xdr:col>
      <xdr:colOff>1013733</xdr:colOff>
      <xdr:row>234</xdr:row>
      <xdr:rowOff>79054</xdr:rowOff>
    </xdr:to>
    <xdr:pic>
      <xdr:nvPicPr>
        <xdr:cNvPr id="107" name="Picture 10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484" t="15231" r="53991" b="35586"/>
        <a:stretch/>
      </xdr:blipFill>
      <xdr:spPr bwMode="auto">
        <a:xfrm>
          <a:off x="7701642" y="46318714"/>
          <a:ext cx="1476377" cy="3113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1143002</xdr:colOff>
      <xdr:row>305</xdr:row>
      <xdr:rowOff>163285</xdr:rowOff>
    </xdr:from>
    <xdr:to>
      <xdr:col>2</xdr:col>
      <xdr:colOff>1537609</xdr:colOff>
      <xdr:row>307</xdr:row>
      <xdr:rowOff>27214</xdr:rowOff>
    </xdr:to>
    <xdr:sp macro="" textlink="">
      <xdr:nvSpPr>
        <xdr:cNvPr id="8" name="Rectangle 7"/>
        <xdr:cNvSpPr/>
      </xdr:nvSpPr>
      <xdr:spPr>
        <a:xfrm>
          <a:off x="4327073" y="63382071"/>
          <a:ext cx="394607" cy="2721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>
              <a:solidFill>
                <a:sysClr val="windowText" lastClr="000000"/>
              </a:solidFill>
            </a:rPr>
            <a:t>P1</a:t>
          </a:r>
        </a:p>
      </xdr:txBody>
    </xdr:sp>
    <xdr:clientData/>
  </xdr:twoCellAnchor>
  <xdr:twoCellAnchor>
    <xdr:from>
      <xdr:col>2</xdr:col>
      <xdr:colOff>1143002</xdr:colOff>
      <xdr:row>307</xdr:row>
      <xdr:rowOff>176892</xdr:rowOff>
    </xdr:from>
    <xdr:to>
      <xdr:col>2</xdr:col>
      <xdr:colOff>1537609</xdr:colOff>
      <xdr:row>309</xdr:row>
      <xdr:rowOff>40821</xdr:rowOff>
    </xdr:to>
    <xdr:sp macro="" textlink="">
      <xdr:nvSpPr>
        <xdr:cNvPr id="94" name="Rectangle 93"/>
        <xdr:cNvSpPr/>
      </xdr:nvSpPr>
      <xdr:spPr>
        <a:xfrm>
          <a:off x="4327073" y="63803892"/>
          <a:ext cx="394607" cy="2721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>
              <a:solidFill>
                <a:sysClr val="windowText" lastClr="000000"/>
              </a:solidFill>
            </a:rPr>
            <a:t>P2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6784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6870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432</xdr:row>
      <xdr:rowOff>201705</xdr:rowOff>
    </xdr:from>
    <xdr:to>
      <xdr:col>9</xdr:col>
      <xdr:colOff>324970</xdr:colOff>
      <xdr:row>433</xdr:row>
      <xdr:rowOff>212911</xdr:rowOff>
    </xdr:to>
    <xdr:sp macro="" textlink="">
      <xdr:nvSpPr>
        <xdr:cNvPr id="5" name="Rectangle 4"/>
        <xdr:cNvSpPr/>
      </xdr:nvSpPr>
      <xdr:spPr>
        <a:xfrm>
          <a:off x="12711954" y="891366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163286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24767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13608</xdr:colOff>
      <xdr:row>208</xdr:row>
      <xdr:rowOff>0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3608" y="4463142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314</xdr:row>
      <xdr:rowOff>149678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6715124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421</xdr:row>
      <xdr:rowOff>149679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9507786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27214</xdr:colOff>
      <xdr:row>6</xdr:row>
      <xdr:rowOff>108858</xdr:rowOff>
    </xdr:from>
    <xdr:to>
      <xdr:col>2</xdr:col>
      <xdr:colOff>115355</xdr:colOff>
      <xdr:row>16</xdr:row>
      <xdr:rowOff>149680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214" y="1755322"/>
          <a:ext cx="3272212" cy="19458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122464</xdr:rowOff>
    </xdr:from>
    <xdr:to>
      <xdr:col>2</xdr:col>
      <xdr:colOff>88141</xdr:colOff>
      <xdr:row>127</xdr:row>
      <xdr:rowOff>149678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80535"/>
          <a:ext cx="3272212" cy="194582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</xdr:row>
      <xdr:rowOff>0</xdr:rowOff>
    </xdr:from>
    <xdr:to>
      <xdr:col>12</xdr:col>
      <xdr:colOff>408213</xdr:colOff>
      <xdr:row>5</xdr:row>
      <xdr:rowOff>54428</xdr:rowOff>
    </xdr:to>
    <xdr:sp macro="" textlink="">
      <xdr:nvSpPr>
        <xdr:cNvPr id="21" name="Left Arrow 20">
          <a:hlinkClick xmlns:r="http://schemas.openxmlformats.org/officeDocument/2006/relationships" r:id="rId3"/>
        </xdr:cNvPr>
        <xdr:cNvSpPr/>
      </xdr:nvSpPr>
      <xdr:spPr>
        <a:xfrm>
          <a:off x="14015357" y="544286"/>
          <a:ext cx="1020535" cy="843642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15718</xdr:colOff>
      <xdr:row>305</xdr:row>
      <xdr:rowOff>13804</xdr:rowOff>
    </xdr:from>
    <xdr:to>
      <xdr:col>1</xdr:col>
      <xdr:colOff>458615</xdr:colOff>
      <xdr:row>310</xdr:row>
      <xdr:rowOff>97365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15718" y="63374104"/>
          <a:ext cx="909622" cy="683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109072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5085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249</xdr:row>
      <xdr:rowOff>43532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8496</xdr:rowOff>
    </xdr:from>
    <xdr:to>
      <xdr:col>1</xdr:col>
      <xdr:colOff>777156</xdr:colOff>
      <xdr:row>258</xdr:row>
      <xdr:rowOff>179188</xdr:rowOff>
    </xdr:to>
    <xdr:pic>
      <xdr:nvPicPr>
        <xdr:cNvPr id="18" name="Picture 1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262</xdr:row>
      <xdr:rowOff>178903</xdr:rowOff>
    </xdr:from>
    <xdr:to>
      <xdr:col>1</xdr:col>
      <xdr:colOff>2429615</xdr:colOff>
      <xdr:row>269</xdr:row>
      <xdr:rowOff>78706</xdr:rowOff>
    </xdr:to>
    <xdr:pic>
      <xdr:nvPicPr>
        <xdr:cNvPr id="19" name="Picture 1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</xdr:row>
      <xdr:rowOff>5566</xdr:rowOff>
    </xdr:from>
    <xdr:to>
      <xdr:col>1</xdr:col>
      <xdr:colOff>571500</xdr:colOff>
      <xdr:row>277</xdr:row>
      <xdr:rowOff>87828</xdr:rowOff>
    </xdr:to>
    <xdr:pic>
      <xdr:nvPicPr>
        <xdr:cNvPr id="23" name="Picture 2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338</xdr:row>
      <xdr:rowOff>68037</xdr:rowOff>
    </xdr:from>
    <xdr:to>
      <xdr:col>9</xdr:col>
      <xdr:colOff>663555</xdr:colOff>
      <xdr:row>400</xdr:row>
      <xdr:rowOff>68039</xdr:rowOff>
    </xdr:to>
    <xdr:grpSp>
      <xdr:nvGrpSpPr>
        <xdr:cNvPr id="32" name="Group 31"/>
        <xdr:cNvGrpSpPr/>
      </xdr:nvGrpSpPr>
      <xdr:grpSpPr>
        <a:xfrm>
          <a:off x="0" y="70895937"/>
          <a:ext cx="13338155" cy="12585702"/>
          <a:chOff x="22408" y="69215576"/>
          <a:chExt cx="13284180" cy="11811001"/>
        </a:xfrm>
      </xdr:grpSpPr>
      <xdr:pic>
        <xdr:nvPicPr>
          <xdr:cNvPr id="33" name="Picture 3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4" name="Line Callout 2 (No Border) 33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5" name="Line Callout 2 (No Border) 34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22</xdr:row>
      <xdr:rowOff>1</xdr:rowOff>
    </xdr:from>
    <xdr:to>
      <xdr:col>9</xdr:col>
      <xdr:colOff>639664</xdr:colOff>
      <xdr:row>102</xdr:row>
      <xdr:rowOff>84240</xdr:rowOff>
    </xdr:to>
    <xdr:grpSp>
      <xdr:nvGrpSpPr>
        <xdr:cNvPr id="44" name="Group 43"/>
        <xdr:cNvGrpSpPr/>
      </xdr:nvGrpSpPr>
      <xdr:grpSpPr>
        <a:xfrm>
          <a:off x="0" y="4762501"/>
          <a:ext cx="13314264" cy="15324239"/>
          <a:chOff x="27214" y="3349853"/>
          <a:chExt cx="13279216" cy="15558034"/>
        </a:xfrm>
      </xdr:grpSpPr>
      <xdr:pic>
        <xdr:nvPicPr>
          <xdr:cNvPr id="45" name="Picture 44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6" name="Line Callout 2 (No Border) 45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7" name="Line Callout 2 (No Border) 46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0" name="Rectangle 59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1" name="Rectangle 60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Line Callout 2 (No Border) 61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7" name="Rectangle 66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446</xdr:row>
      <xdr:rowOff>149679</xdr:rowOff>
    </xdr:from>
    <xdr:to>
      <xdr:col>9</xdr:col>
      <xdr:colOff>665511</xdr:colOff>
      <xdr:row>504</xdr:row>
      <xdr:rowOff>107200</xdr:rowOff>
    </xdr:to>
    <xdr:grpSp>
      <xdr:nvGrpSpPr>
        <xdr:cNvPr id="68" name="Group 67"/>
        <xdr:cNvGrpSpPr/>
      </xdr:nvGrpSpPr>
      <xdr:grpSpPr>
        <a:xfrm>
          <a:off x="0" y="93494679"/>
          <a:ext cx="13340111" cy="11476421"/>
          <a:chOff x="13607" y="89487375"/>
          <a:chExt cx="13314588" cy="11205473"/>
        </a:xfrm>
      </xdr:grpSpPr>
      <xdr:pic>
        <xdr:nvPicPr>
          <xdr:cNvPr id="69" name="Picture 68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0" name="Line Callout 2 (No Border) 69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1" name="Line Callout 2 (No Border) 70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5" name="Rectangle 74"/>
          <xdr:cNvSpPr>
            <a:spLocks/>
          </xdr:cNvSpPr>
        </xdr:nvSpPr>
        <xdr:spPr>
          <a:xfrm>
            <a:off x="3153422" y="96207523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6" name="Line Callout 2 (No Border) 75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9" name="Line Callout 2 (No Border) 78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0" name="Rectangle 79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1" name="Rectangle 80"/>
          <xdr:cNvSpPr>
            <a:spLocks/>
          </xdr:cNvSpPr>
        </xdr:nvSpPr>
        <xdr:spPr>
          <a:xfrm>
            <a:off x="8340391" y="93558292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Line Callout 2 (No Border) 81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427</xdr:row>
      <xdr:rowOff>122466</xdr:rowOff>
    </xdr:from>
    <xdr:to>
      <xdr:col>2</xdr:col>
      <xdr:colOff>557274</xdr:colOff>
      <xdr:row>437</xdr:row>
      <xdr:rowOff>54429</xdr:rowOff>
    </xdr:to>
    <xdr:pic>
      <xdr:nvPicPr>
        <xdr:cNvPr id="83" name="Picture 8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127" t="13219" r="4992" b="10920"/>
        <a:stretch/>
      </xdr:blipFill>
      <xdr:spPr>
        <a:xfrm>
          <a:off x="0" y="87575573"/>
          <a:ext cx="3741345" cy="18369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321</xdr:row>
      <xdr:rowOff>13605</xdr:rowOff>
    </xdr:from>
    <xdr:to>
      <xdr:col>1</xdr:col>
      <xdr:colOff>1730993</xdr:colOff>
      <xdr:row>330</xdr:row>
      <xdr:rowOff>41418</xdr:rowOff>
    </xdr:to>
    <xdr:pic>
      <xdr:nvPicPr>
        <xdr:cNvPr id="91" name="Picture 9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8716069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295</xdr:row>
      <xdr:rowOff>27214</xdr:rowOff>
    </xdr:from>
    <xdr:to>
      <xdr:col>1</xdr:col>
      <xdr:colOff>2711358</xdr:colOff>
      <xdr:row>301</xdr:row>
      <xdr:rowOff>131549</xdr:rowOff>
    </xdr:to>
    <xdr:grpSp>
      <xdr:nvGrpSpPr>
        <xdr:cNvPr id="92" name="Group 91"/>
        <xdr:cNvGrpSpPr/>
      </xdr:nvGrpSpPr>
      <xdr:grpSpPr>
        <a:xfrm>
          <a:off x="0" y="61812714"/>
          <a:ext cx="3181258" cy="1323535"/>
          <a:chOff x="5" y="63408179"/>
          <a:chExt cx="3174001" cy="1328978"/>
        </a:xfrm>
      </xdr:grpSpPr>
      <xdr:pic>
        <xdr:nvPicPr>
          <xdr:cNvPr id="93" name="Picture 9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4" name="Rectangle 93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5" name="Rectangle 94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6" name="Rectangle 95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97" name="Picture 9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8" name="Picture 9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282</xdr:row>
      <xdr:rowOff>190501</xdr:rowOff>
    </xdr:from>
    <xdr:to>
      <xdr:col>1</xdr:col>
      <xdr:colOff>1944275</xdr:colOff>
      <xdr:row>290</xdr:row>
      <xdr:rowOff>14612</xdr:rowOff>
    </xdr:to>
    <xdr:pic>
      <xdr:nvPicPr>
        <xdr:cNvPr id="84" name="Picture 8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476822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6784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6870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431</xdr:row>
      <xdr:rowOff>201705</xdr:rowOff>
    </xdr:from>
    <xdr:to>
      <xdr:col>9</xdr:col>
      <xdr:colOff>324970</xdr:colOff>
      <xdr:row>432</xdr:row>
      <xdr:rowOff>212911</xdr:rowOff>
    </xdr:to>
    <xdr:sp macro="" textlink="">
      <xdr:nvSpPr>
        <xdr:cNvPr id="5" name="Rectangle 4"/>
        <xdr:cNvSpPr/>
      </xdr:nvSpPr>
      <xdr:spPr>
        <a:xfrm>
          <a:off x="12711954" y="891366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112</xdr:row>
      <xdr:rowOff>0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1697951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</xdr:colOff>
      <xdr:row>207</xdr:row>
      <xdr:rowOff>163286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" y="44563393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314</xdr:row>
      <xdr:rowOff>163285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66919928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420</xdr:row>
      <xdr:rowOff>163286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930367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0</xdr:colOff>
      <xdr:row>6</xdr:row>
      <xdr:rowOff>108857</xdr:rowOff>
    </xdr:from>
    <xdr:to>
      <xdr:col>2</xdr:col>
      <xdr:colOff>82596</xdr:colOff>
      <xdr:row>16</xdr:row>
      <xdr:rowOff>137190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5321"/>
          <a:ext cx="3266667" cy="19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108855</xdr:rowOff>
    </xdr:from>
    <xdr:to>
      <xdr:col>2</xdr:col>
      <xdr:colOff>82596</xdr:colOff>
      <xdr:row>127</xdr:row>
      <xdr:rowOff>190500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66926"/>
          <a:ext cx="3266667" cy="2000253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</xdr:row>
      <xdr:rowOff>0</xdr:rowOff>
    </xdr:from>
    <xdr:to>
      <xdr:col>12</xdr:col>
      <xdr:colOff>353785</xdr:colOff>
      <xdr:row>5</xdr:row>
      <xdr:rowOff>54428</xdr:rowOff>
    </xdr:to>
    <xdr:sp macro="" textlink="">
      <xdr:nvSpPr>
        <xdr:cNvPr id="20" name="Left Arrow 19">
          <a:hlinkClick xmlns:r="http://schemas.openxmlformats.org/officeDocument/2006/relationships" r:id="rId3"/>
        </xdr:cNvPr>
        <xdr:cNvSpPr/>
      </xdr:nvSpPr>
      <xdr:spPr>
        <a:xfrm>
          <a:off x="14015357" y="544286"/>
          <a:ext cx="1020535" cy="843642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109072</xdr:rowOff>
    </xdr:to>
    <xdr:pic>
      <xdr:nvPicPr>
        <xdr:cNvPr id="30" name="Picture 2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233</xdr:row>
      <xdr:rowOff>17426</xdr:rowOff>
    </xdr:from>
    <xdr:to>
      <xdr:col>1</xdr:col>
      <xdr:colOff>707572</xdr:colOff>
      <xdr:row>239</xdr:row>
      <xdr:rowOff>5085</xdr:rowOff>
    </xdr:to>
    <xdr:pic>
      <xdr:nvPicPr>
        <xdr:cNvPr id="31" name="Picture 3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244</xdr:row>
      <xdr:rowOff>20401</xdr:rowOff>
    </xdr:from>
    <xdr:to>
      <xdr:col>1</xdr:col>
      <xdr:colOff>2462267</xdr:colOff>
      <xdr:row>251</xdr:row>
      <xdr:rowOff>43533</xdr:rowOff>
    </xdr:to>
    <xdr:pic>
      <xdr:nvPicPr>
        <xdr:cNvPr id="32" name="Picture 3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256</xdr:row>
      <xdr:rowOff>8496</xdr:rowOff>
    </xdr:from>
    <xdr:to>
      <xdr:col>1</xdr:col>
      <xdr:colOff>777156</xdr:colOff>
      <xdr:row>261</xdr:row>
      <xdr:rowOff>179189</xdr:rowOff>
    </xdr:to>
    <xdr:pic>
      <xdr:nvPicPr>
        <xdr:cNvPr id="33" name="Picture 3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266</xdr:row>
      <xdr:rowOff>178903</xdr:rowOff>
    </xdr:from>
    <xdr:to>
      <xdr:col>1</xdr:col>
      <xdr:colOff>2429615</xdr:colOff>
      <xdr:row>273</xdr:row>
      <xdr:rowOff>78706</xdr:rowOff>
    </xdr:to>
    <xdr:pic>
      <xdr:nvPicPr>
        <xdr:cNvPr id="34" name="Picture 3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278</xdr:row>
      <xdr:rowOff>5566</xdr:rowOff>
    </xdr:from>
    <xdr:to>
      <xdr:col>1</xdr:col>
      <xdr:colOff>571500</xdr:colOff>
      <xdr:row>282</xdr:row>
      <xdr:rowOff>87829</xdr:rowOff>
    </xdr:to>
    <xdr:pic>
      <xdr:nvPicPr>
        <xdr:cNvPr id="35" name="Picture 3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341</xdr:row>
      <xdr:rowOff>68034</xdr:rowOff>
    </xdr:from>
    <xdr:to>
      <xdr:col>9</xdr:col>
      <xdr:colOff>663555</xdr:colOff>
      <xdr:row>403</xdr:row>
      <xdr:rowOff>68034</xdr:rowOff>
    </xdr:to>
    <xdr:grpSp>
      <xdr:nvGrpSpPr>
        <xdr:cNvPr id="27" name="Group 26"/>
        <xdr:cNvGrpSpPr/>
      </xdr:nvGrpSpPr>
      <xdr:grpSpPr>
        <a:xfrm>
          <a:off x="0" y="71607134"/>
          <a:ext cx="13338155" cy="12585700"/>
          <a:chOff x="22408" y="69215576"/>
          <a:chExt cx="13284180" cy="11811001"/>
        </a:xfrm>
      </xdr:grpSpPr>
      <xdr:pic>
        <xdr:nvPicPr>
          <xdr:cNvPr id="28" name="Picture 2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9" name="Line Callout 2 (No Border) 28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4" name="Line Callout 2 (No Border) 43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5" name="Line Callout 2 (No Border) 44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6" name="Line Callout 2 (No Border) 45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7" name="Line Callout 2 (No Border) 46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19</xdr:row>
      <xdr:rowOff>0</xdr:rowOff>
    </xdr:from>
    <xdr:to>
      <xdr:col>9</xdr:col>
      <xdr:colOff>639664</xdr:colOff>
      <xdr:row>99</xdr:row>
      <xdr:rowOff>84239</xdr:rowOff>
    </xdr:to>
    <xdr:grpSp>
      <xdr:nvGrpSpPr>
        <xdr:cNvPr id="53" name="Group 52"/>
        <xdr:cNvGrpSpPr/>
      </xdr:nvGrpSpPr>
      <xdr:grpSpPr>
        <a:xfrm>
          <a:off x="0" y="4191000"/>
          <a:ext cx="13314264" cy="15324239"/>
          <a:chOff x="27214" y="3349853"/>
          <a:chExt cx="13279216" cy="15558034"/>
        </a:xfrm>
      </xdr:grpSpPr>
      <xdr:pic>
        <xdr:nvPicPr>
          <xdr:cNvPr id="54" name="Picture 5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5" name="Line Callout 2 (No Border) 54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1" name="Line Callout 2 (No Border) 60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2" name="Line Callout 2 (No Border) 61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7" name="Line Callout 2 (No Border) 66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8" name="Line Callout 2 (No Border) 67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9" name="Rectangle 68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0" name="Rectangle 69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1" name="Line Callout 2 (No Border) 70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5" name="Line Callout 2 (No Border) 74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6" name="Rectangle 75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445</xdr:row>
      <xdr:rowOff>1</xdr:rowOff>
    </xdr:from>
    <xdr:to>
      <xdr:col>9</xdr:col>
      <xdr:colOff>665511</xdr:colOff>
      <xdr:row>502</xdr:row>
      <xdr:rowOff>175235</xdr:rowOff>
    </xdr:to>
    <xdr:grpSp>
      <xdr:nvGrpSpPr>
        <xdr:cNvPr id="77" name="Group 76"/>
        <xdr:cNvGrpSpPr/>
      </xdr:nvGrpSpPr>
      <xdr:grpSpPr>
        <a:xfrm>
          <a:off x="0" y="93040201"/>
          <a:ext cx="13340111" cy="11478234"/>
          <a:chOff x="13607" y="89487375"/>
          <a:chExt cx="13314588" cy="11205473"/>
        </a:xfrm>
      </xdr:grpSpPr>
      <xdr:pic>
        <xdr:nvPicPr>
          <xdr:cNvPr id="78" name="Picture 7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9" name="Line Callout 2 (No Border) 78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0" name="Line Callout 2 (No Border) 79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1" name="Line Callout 2 (No Border) 80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2" name="Line Callout 2 (No Border) 81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3" name="Line Callout 2 (No Border) 82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4" name="Rectangle 83"/>
          <xdr:cNvSpPr>
            <a:spLocks/>
          </xdr:cNvSpPr>
        </xdr:nvSpPr>
        <xdr:spPr>
          <a:xfrm>
            <a:off x="3153422" y="96141287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5" name="Line Callout 2 (No Border) 84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6" name="Line Callout 2 (No Border) 85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7" name="Line Callout 2 (No Border) 86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8" name="Line Callout 2 (No Border) 87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9" name="Rectangle 88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0" name="Rectangle 89"/>
          <xdr:cNvSpPr>
            <a:spLocks/>
          </xdr:cNvSpPr>
        </xdr:nvSpPr>
        <xdr:spPr>
          <a:xfrm>
            <a:off x="8340391" y="93545045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1" name="Line Callout 2 (No Border) 90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426</xdr:row>
      <xdr:rowOff>115638</xdr:rowOff>
    </xdr:from>
    <xdr:to>
      <xdr:col>2</xdr:col>
      <xdr:colOff>571499</xdr:colOff>
      <xdr:row>436</xdr:row>
      <xdr:rowOff>81642</xdr:rowOff>
    </xdr:to>
    <xdr:pic>
      <xdr:nvPicPr>
        <xdr:cNvPr id="92" name="Picture 91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195" t="13278" r="5520" b="11017"/>
        <a:stretch/>
      </xdr:blipFill>
      <xdr:spPr>
        <a:xfrm>
          <a:off x="0" y="87895317"/>
          <a:ext cx="3755570" cy="18710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321</xdr:row>
      <xdr:rowOff>13605</xdr:rowOff>
    </xdr:from>
    <xdr:to>
      <xdr:col>1</xdr:col>
      <xdr:colOff>1730993</xdr:colOff>
      <xdr:row>330</xdr:row>
      <xdr:rowOff>41418</xdr:rowOff>
    </xdr:to>
    <xdr:pic>
      <xdr:nvPicPr>
        <xdr:cNvPr id="100" name="Picture 9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8661641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301</xdr:row>
      <xdr:rowOff>40821</xdr:rowOff>
    </xdr:from>
    <xdr:to>
      <xdr:col>1</xdr:col>
      <xdr:colOff>2711358</xdr:colOff>
      <xdr:row>307</xdr:row>
      <xdr:rowOff>145156</xdr:rowOff>
    </xdr:to>
    <xdr:grpSp>
      <xdr:nvGrpSpPr>
        <xdr:cNvPr id="101" name="Group 100"/>
        <xdr:cNvGrpSpPr/>
      </xdr:nvGrpSpPr>
      <xdr:grpSpPr>
        <a:xfrm>
          <a:off x="0" y="63121721"/>
          <a:ext cx="3181258" cy="1323535"/>
          <a:chOff x="5" y="63408179"/>
          <a:chExt cx="3174001" cy="1328978"/>
        </a:xfrm>
      </xdr:grpSpPr>
      <xdr:pic>
        <xdr:nvPicPr>
          <xdr:cNvPr id="102" name="Picture 101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3" name="Rectangle 102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104" name="Rectangle 103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105" name="Rectangle 104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106" name="Picture 10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7" name="Picture 10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40827</xdr:colOff>
      <xdr:row>287</xdr:row>
      <xdr:rowOff>176892</xdr:rowOff>
    </xdr:from>
    <xdr:to>
      <xdr:col>1</xdr:col>
      <xdr:colOff>1985102</xdr:colOff>
      <xdr:row>295</xdr:row>
      <xdr:rowOff>1004</xdr:rowOff>
    </xdr:to>
    <xdr:pic>
      <xdr:nvPicPr>
        <xdr:cNvPr id="93" name="Picture 9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40827" y="60374892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156463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56463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431</xdr:row>
      <xdr:rowOff>201705</xdr:rowOff>
    </xdr:from>
    <xdr:to>
      <xdr:col>9</xdr:col>
      <xdr:colOff>324970</xdr:colOff>
      <xdr:row>432</xdr:row>
      <xdr:rowOff>212911</xdr:rowOff>
    </xdr:to>
    <xdr:sp macro="" textlink="">
      <xdr:nvSpPr>
        <xdr:cNvPr id="5" name="Rectangle 4"/>
        <xdr:cNvSpPr/>
      </xdr:nvSpPr>
      <xdr:spPr>
        <a:xfrm>
          <a:off x="12711954" y="93013305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149679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23407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</xdr:colOff>
      <xdr:row>207</xdr:row>
      <xdr:rowOff>0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" y="44563393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313</xdr:row>
      <xdr:rowOff>136071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65246250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420</xdr:row>
      <xdr:rowOff>136072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9426143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0</xdr:colOff>
      <xdr:row>6</xdr:row>
      <xdr:rowOff>108857</xdr:rowOff>
    </xdr:from>
    <xdr:to>
      <xdr:col>2</xdr:col>
      <xdr:colOff>73072</xdr:colOff>
      <xdr:row>16</xdr:row>
      <xdr:rowOff>137190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5321"/>
          <a:ext cx="3257143" cy="19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136070</xdr:rowOff>
    </xdr:from>
    <xdr:to>
      <xdr:col>2</xdr:col>
      <xdr:colOff>73072</xdr:colOff>
      <xdr:row>127</xdr:row>
      <xdr:rowOff>190500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57427"/>
          <a:ext cx="3257143" cy="1973038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</xdr:row>
      <xdr:rowOff>0</xdr:rowOff>
    </xdr:from>
    <xdr:to>
      <xdr:col>12</xdr:col>
      <xdr:colOff>353785</xdr:colOff>
      <xdr:row>5</xdr:row>
      <xdr:rowOff>54428</xdr:rowOff>
    </xdr:to>
    <xdr:sp macro="" textlink="">
      <xdr:nvSpPr>
        <xdr:cNvPr id="20" name="Left Arrow 19">
          <a:hlinkClick xmlns:r="http://schemas.openxmlformats.org/officeDocument/2006/relationships" r:id="rId3"/>
        </xdr:cNvPr>
        <xdr:cNvSpPr/>
      </xdr:nvSpPr>
      <xdr:spPr>
        <a:xfrm>
          <a:off x="14015357" y="544286"/>
          <a:ext cx="1020535" cy="843642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78441</xdr:colOff>
      <xdr:row>217</xdr:row>
      <xdr:rowOff>159982</xdr:rowOff>
    </xdr:from>
    <xdr:to>
      <xdr:col>1</xdr:col>
      <xdr:colOff>2409264</xdr:colOff>
      <xdr:row>226</xdr:row>
      <xdr:rowOff>109073</xdr:rowOff>
    </xdr:to>
    <xdr:pic>
      <xdr:nvPicPr>
        <xdr:cNvPr id="45" name="Picture 4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231</xdr:row>
      <xdr:rowOff>17426</xdr:rowOff>
    </xdr:from>
    <xdr:to>
      <xdr:col>1</xdr:col>
      <xdr:colOff>707572</xdr:colOff>
      <xdr:row>237</xdr:row>
      <xdr:rowOff>5085</xdr:rowOff>
    </xdr:to>
    <xdr:pic>
      <xdr:nvPicPr>
        <xdr:cNvPr id="46" name="Picture 4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241</xdr:row>
      <xdr:rowOff>20401</xdr:rowOff>
    </xdr:from>
    <xdr:to>
      <xdr:col>1</xdr:col>
      <xdr:colOff>2462267</xdr:colOff>
      <xdr:row>248</xdr:row>
      <xdr:rowOff>43532</xdr:rowOff>
    </xdr:to>
    <xdr:pic>
      <xdr:nvPicPr>
        <xdr:cNvPr id="47" name="Picture 4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252</xdr:row>
      <xdr:rowOff>8496</xdr:rowOff>
    </xdr:from>
    <xdr:to>
      <xdr:col>1</xdr:col>
      <xdr:colOff>777156</xdr:colOff>
      <xdr:row>257</xdr:row>
      <xdr:rowOff>179189</xdr:rowOff>
    </xdr:to>
    <xdr:pic>
      <xdr:nvPicPr>
        <xdr:cNvPr id="48" name="Picture 4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261</xdr:row>
      <xdr:rowOff>178903</xdr:rowOff>
    </xdr:from>
    <xdr:to>
      <xdr:col>1</xdr:col>
      <xdr:colOff>2429615</xdr:colOff>
      <xdr:row>268</xdr:row>
      <xdr:rowOff>78706</xdr:rowOff>
    </xdr:to>
    <xdr:pic>
      <xdr:nvPicPr>
        <xdr:cNvPr id="49" name="Picture 4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</xdr:row>
      <xdr:rowOff>5566</xdr:rowOff>
    </xdr:from>
    <xdr:to>
      <xdr:col>1</xdr:col>
      <xdr:colOff>571500</xdr:colOff>
      <xdr:row>277</xdr:row>
      <xdr:rowOff>87829</xdr:rowOff>
    </xdr:to>
    <xdr:pic>
      <xdr:nvPicPr>
        <xdr:cNvPr id="50" name="Picture 4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332</xdr:row>
      <xdr:rowOff>163286</xdr:rowOff>
    </xdr:from>
    <xdr:to>
      <xdr:col>9</xdr:col>
      <xdr:colOff>663555</xdr:colOff>
      <xdr:row>394</xdr:row>
      <xdr:rowOff>163287</xdr:rowOff>
    </xdr:to>
    <xdr:grpSp>
      <xdr:nvGrpSpPr>
        <xdr:cNvPr id="27" name="Group 26"/>
        <xdr:cNvGrpSpPr/>
      </xdr:nvGrpSpPr>
      <xdr:grpSpPr>
        <a:xfrm>
          <a:off x="0" y="69898986"/>
          <a:ext cx="13338155" cy="12585701"/>
          <a:chOff x="22408" y="69215576"/>
          <a:chExt cx="13284180" cy="11811001"/>
        </a:xfrm>
      </xdr:grpSpPr>
      <xdr:pic>
        <xdr:nvPicPr>
          <xdr:cNvPr id="28" name="Picture 2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9" name="Line Callout 2 (No Border) 28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0" name="Line Callout 2 (No Border) 29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1" name="Line Callout 2 (No Border) 30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2" name="Line Callout 2 (No Border) 31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3" name="Line Callout 2 (No Border) 32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4" name="Line Callout 2 (No Border) 33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5" name="Line Callout 2 (No Border) 34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23</xdr:row>
      <xdr:rowOff>149679</xdr:rowOff>
    </xdr:from>
    <xdr:to>
      <xdr:col>9</xdr:col>
      <xdr:colOff>639664</xdr:colOff>
      <xdr:row>104</xdr:row>
      <xdr:rowOff>43418</xdr:rowOff>
    </xdr:to>
    <xdr:grpSp>
      <xdr:nvGrpSpPr>
        <xdr:cNvPr id="39" name="Group 38"/>
        <xdr:cNvGrpSpPr/>
      </xdr:nvGrpSpPr>
      <xdr:grpSpPr>
        <a:xfrm>
          <a:off x="0" y="5102679"/>
          <a:ext cx="13314264" cy="15324239"/>
          <a:chOff x="27214" y="3349853"/>
          <a:chExt cx="13279216" cy="15558034"/>
        </a:xfrm>
      </xdr:grpSpPr>
      <xdr:pic>
        <xdr:nvPicPr>
          <xdr:cNvPr id="40" name="Picture 39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1" name="Line Callout 2 (No Border) 40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4" name="Line Callout 2 (No Border) 43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1" name="Line Callout 2 (No Border) 60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2" name="Line Callout 2 (No Border) 61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7" name="Line Callout 2 (No Border) 66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8" name="Line Callout 2 (No Border) 67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9" name="Rectangle 68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0" name="Rectangle 69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1" name="Line Callout 2 (No Border) 70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5" name="Line Callout 2 (No Border) 74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6" name="Rectangle 75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439</xdr:row>
      <xdr:rowOff>0</xdr:rowOff>
    </xdr:from>
    <xdr:to>
      <xdr:col>9</xdr:col>
      <xdr:colOff>665511</xdr:colOff>
      <xdr:row>495</xdr:row>
      <xdr:rowOff>148021</xdr:rowOff>
    </xdr:to>
    <xdr:grpSp>
      <xdr:nvGrpSpPr>
        <xdr:cNvPr id="77" name="Group 76"/>
        <xdr:cNvGrpSpPr/>
      </xdr:nvGrpSpPr>
      <xdr:grpSpPr>
        <a:xfrm>
          <a:off x="0" y="91821000"/>
          <a:ext cx="13340111" cy="11489121"/>
          <a:chOff x="13607" y="89487375"/>
          <a:chExt cx="13314588" cy="11205473"/>
        </a:xfrm>
      </xdr:grpSpPr>
      <xdr:pic>
        <xdr:nvPicPr>
          <xdr:cNvPr id="78" name="Picture 7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9" name="Line Callout 2 (No Border) 78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0" name="Line Callout 2 (No Border) 79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1" name="Line Callout 2 (No Border) 80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2" name="Line Callout 2 (No Border) 81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3" name="Line Callout 2 (No Border) 82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4" name="Rectangle 83"/>
          <xdr:cNvSpPr>
            <a:spLocks/>
          </xdr:cNvSpPr>
        </xdr:nvSpPr>
        <xdr:spPr>
          <a:xfrm>
            <a:off x="3153422" y="96167781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5" name="Line Callout 2 (No Border) 84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6" name="Line Callout 2 (No Border) 85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7" name="Line Callout 2 (No Border) 86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8" name="Line Callout 2 (No Border) 87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9" name="Rectangle 88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0" name="Rectangle 89"/>
          <xdr:cNvSpPr>
            <a:spLocks/>
          </xdr:cNvSpPr>
        </xdr:nvSpPr>
        <xdr:spPr>
          <a:xfrm>
            <a:off x="8340391" y="93584787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1" name="Line Callout 2 (No Border) 90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320</xdr:row>
      <xdr:rowOff>27212</xdr:rowOff>
    </xdr:from>
    <xdr:to>
      <xdr:col>1</xdr:col>
      <xdr:colOff>1730993</xdr:colOff>
      <xdr:row>329</xdr:row>
      <xdr:rowOff>55025</xdr:rowOff>
    </xdr:to>
    <xdr:pic>
      <xdr:nvPicPr>
        <xdr:cNvPr id="99" name="Picture 9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8661641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81647</xdr:colOff>
      <xdr:row>295</xdr:row>
      <xdr:rowOff>27214</xdr:rowOff>
    </xdr:from>
    <xdr:to>
      <xdr:col>2</xdr:col>
      <xdr:colOff>71577</xdr:colOff>
      <xdr:row>301</xdr:row>
      <xdr:rowOff>131549</xdr:rowOff>
    </xdr:to>
    <xdr:grpSp>
      <xdr:nvGrpSpPr>
        <xdr:cNvPr id="100" name="Group 99"/>
        <xdr:cNvGrpSpPr/>
      </xdr:nvGrpSpPr>
      <xdr:grpSpPr>
        <a:xfrm>
          <a:off x="81647" y="61939714"/>
          <a:ext cx="3177630" cy="1323535"/>
          <a:chOff x="5" y="63408179"/>
          <a:chExt cx="3174001" cy="1328978"/>
        </a:xfrm>
      </xdr:grpSpPr>
      <xdr:pic>
        <xdr:nvPicPr>
          <xdr:cNvPr id="101" name="Picture 100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2" name="Rectangle 101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103" name="Rectangle 102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104" name="Rectangle 103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105" name="Picture 104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6" name="Picture 10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282</xdr:row>
      <xdr:rowOff>176893</xdr:rowOff>
    </xdr:from>
    <xdr:to>
      <xdr:col>1</xdr:col>
      <xdr:colOff>1944275</xdr:colOff>
      <xdr:row>290</xdr:row>
      <xdr:rowOff>1005</xdr:rowOff>
    </xdr:to>
    <xdr:pic>
      <xdr:nvPicPr>
        <xdr:cNvPr id="92" name="Picture 9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599286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426</xdr:row>
      <xdr:rowOff>127001</xdr:rowOff>
    </xdr:from>
    <xdr:to>
      <xdr:col>2</xdr:col>
      <xdr:colOff>394276</xdr:colOff>
      <xdr:row>436</xdr:row>
      <xdr:rowOff>76201</xdr:rowOff>
    </xdr:to>
    <xdr:pic>
      <xdr:nvPicPr>
        <xdr:cNvPr id="93" name="Picture 9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040" t="12719" r="4769" b="10088"/>
        <a:stretch/>
      </xdr:blipFill>
      <xdr:spPr>
        <a:xfrm>
          <a:off x="0" y="89458801"/>
          <a:ext cx="3581976" cy="18542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142856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42856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432</xdr:row>
      <xdr:rowOff>201705</xdr:rowOff>
    </xdr:from>
    <xdr:to>
      <xdr:col>9</xdr:col>
      <xdr:colOff>324970</xdr:colOff>
      <xdr:row>433</xdr:row>
      <xdr:rowOff>212911</xdr:rowOff>
    </xdr:to>
    <xdr:sp macro="" textlink="">
      <xdr:nvSpPr>
        <xdr:cNvPr id="5" name="Rectangle 4"/>
        <xdr:cNvSpPr/>
      </xdr:nvSpPr>
      <xdr:spPr>
        <a:xfrm>
          <a:off x="12711954" y="891366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176893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261286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</xdr:colOff>
      <xdr:row>208</xdr:row>
      <xdr:rowOff>0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" y="4463142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314</xdr:row>
      <xdr:rowOff>136070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67137641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421</xdr:row>
      <xdr:rowOff>149679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9507786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0</xdr:colOff>
      <xdr:row>2</xdr:row>
      <xdr:rowOff>0</xdr:rowOff>
    </xdr:from>
    <xdr:to>
      <xdr:col>12</xdr:col>
      <xdr:colOff>408213</xdr:colOff>
      <xdr:row>5</xdr:row>
      <xdr:rowOff>54428</xdr:rowOff>
    </xdr:to>
    <xdr:sp macro="" textlink="">
      <xdr:nvSpPr>
        <xdr:cNvPr id="21" name="Left Arrow 20">
          <a:hlinkClick xmlns:r="http://schemas.openxmlformats.org/officeDocument/2006/relationships" r:id="rId2"/>
        </xdr:cNvPr>
        <xdr:cNvSpPr/>
      </xdr:nvSpPr>
      <xdr:spPr>
        <a:xfrm>
          <a:off x="14015357" y="544286"/>
          <a:ext cx="1020535" cy="843642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15718</xdr:colOff>
      <xdr:row>305</xdr:row>
      <xdr:rowOff>13804</xdr:rowOff>
    </xdr:from>
    <xdr:to>
      <xdr:col>1</xdr:col>
      <xdr:colOff>458615</xdr:colOff>
      <xdr:row>310</xdr:row>
      <xdr:rowOff>97365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15718" y="63374104"/>
          <a:ext cx="909622" cy="683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109072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5085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249</xdr:row>
      <xdr:rowOff>43532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8496</xdr:rowOff>
    </xdr:from>
    <xdr:to>
      <xdr:col>1</xdr:col>
      <xdr:colOff>777156</xdr:colOff>
      <xdr:row>258</xdr:row>
      <xdr:rowOff>179188</xdr:rowOff>
    </xdr:to>
    <xdr:pic>
      <xdr:nvPicPr>
        <xdr:cNvPr id="18" name="Picture 1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262</xdr:row>
      <xdr:rowOff>178903</xdr:rowOff>
    </xdr:from>
    <xdr:to>
      <xdr:col>1</xdr:col>
      <xdr:colOff>2429615</xdr:colOff>
      <xdr:row>269</xdr:row>
      <xdr:rowOff>78706</xdr:rowOff>
    </xdr:to>
    <xdr:pic>
      <xdr:nvPicPr>
        <xdr:cNvPr id="19" name="Picture 1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274</xdr:row>
      <xdr:rowOff>5566</xdr:rowOff>
    </xdr:from>
    <xdr:to>
      <xdr:col>1</xdr:col>
      <xdr:colOff>571500</xdr:colOff>
      <xdr:row>278</xdr:row>
      <xdr:rowOff>87828</xdr:rowOff>
    </xdr:to>
    <xdr:pic>
      <xdr:nvPicPr>
        <xdr:cNvPr id="23" name="Picture 2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339</xdr:row>
      <xdr:rowOff>27212</xdr:rowOff>
    </xdr:from>
    <xdr:to>
      <xdr:col>9</xdr:col>
      <xdr:colOff>663555</xdr:colOff>
      <xdr:row>401</xdr:row>
      <xdr:rowOff>27213</xdr:rowOff>
    </xdr:to>
    <xdr:grpSp>
      <xdr:nvGrpSpPr>
        <xdr:cNvPr id="32" name="Group 31"/>
        <xdr:cNvGrpSpPr/>
      </xdr:nvGrpSpPr>
      <xdr:grpSpPr>
        <a:xfrm>
          <a:off x="0" y="71058312"/>
          <a:ext cx="13338155" cy="12585701"/>
          <a:chOff x="22408" y="69215576"/>
          <a:chExt cx="13284180" cy="11811001"/>
        </a:xfrm>
      </xdr:grpSpPr>
      <xdr:pic>
        <xdr:nvPicPr>
          <xdr:cNvPr id="33" name="Picture 3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4" name="Line Callout 2 (No Border) 33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5" name="Line Callout 2 (No Border) 34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22</xdr:row>
      <xdr:rowOff>54429</xdr:rowOff>
    </xdr:from>
    <xdr:to>
      <xdr:col>9</xdr:col>
      <xdr:colOff>639664</xdr:colOff>
      <xdr:row>102</xdr:row>
      <xdr:rowOff>138668</xdr:rowOff>
    </xdr:to>
    <xdr:grpSp>
      <xdr:nvGrpSpPr>
        <xdr:cNvPr id="44" name="Group 43"/>
        <xdr:cNvGrpSpPr/>
      </xdr:nvGrpSpPr>
      <xdr:grpSpPr>
        <a:xfrm>
          <a:off x="0" y="4816929"/>
          <a:ext cx="13314264" cy="15324239"/>
          <a:chOff x="27214" y="3349853"/>
          <a:chExt cx="13279216" cy="15558034"/>
        </a:xfrm>
      </xdr:grpSpPr>
      <xdr:pic>
        <xdr:nvPicPr>
          <xdr:cNvPr id="45" name="Picture 44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6" name="Line Callout 2 (No Border) 45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7" name="Line Callout 2 (No Border) 46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0" name="Rectangle 59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1" name="Rectangle 60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Line Callout 2 (No Border) 61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7" name="Rectangle 66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444</xdr:row>
      <xdr:rowOff>13607</xdr:rowOff>
    </xdr:from>
    <xdr:to>
      <xdr:col>9</xdr:col>
      <xdr:colOff>665511</xdr:colOff>
      <xdr:row>499</xdr:row>
      <xdr:rowOff>161628</xdr:rowOff>
    </xdr:to>
    <xdr:grpSp>
      <xdr:nvGrpSpPr>
        <xdr:cNvPr id="68" name="Group 67"/>
        <xdr:cNvGrpSpPr/>
      </xdr:nvGrpSpPr>
      <xdr:grpSpPr>
        <a:xfrm>
          <a:off x="0" y="92723607"/>
          <a:ext cx="13340111" cy="11044621"/>
          <a:chOff x="13607" y="89487375"/>
          <a:chExt cx="13314588" cy="11205473"/>
        </a:xfrm>
      </xdr:grpSpPr>
      <xdr:pic>
        <xdr:nvPicPr>
          <xdr:cNvPr id="69" name="Picture 68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0" name="Line Callout 2 (No Border) 69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1" name="Line Callout 2 (No Border) 70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5" name="Rectangle 74"/>
          <xdr:cNvSpPr>
            <a:spLocks/>
          </xdr:cNvSpPr>
        </xdr:nvSpPr>
        <xdr:spPr>
          <a:xfrm>
            <a:off x="3153422" y="96154534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6" name="Line Callout 2 (No Border) 75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9" name="Line Callout 2 (No Border) 78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0" name="Rectangle 79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1" name="Rectangle 80"/>
          <xdr:cNvSpPr>
            <a:spLocks/>
          </xdr:cNvSpPr>
        </xdr:nvSpPr>
        <xdr:spPr>
          <a:xfrm>
            <a:off x="8340391" y="93598034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Line Callout 2 (No Border) 81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320</xdr:row>
      <xdr:rowOff>190498</xdr:rowOff>
    </xdr:from>
    <xdr:to>
      <xdr:col>1</xdr:col>
      <xdr:colOff>1730993</xdr:colOff>
      <xdr:row>330</xdr:row>
      <xdr:rowOff>27811</xdr:rowOff>
    </xdr:to>
    <xdr:pic>
      <xdr:nvPicPr>
        <xdr:cNvPr id="91" name="Picture 9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8702462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13608</xdr:colOff>
      <xdr:row>295</xdr:row>
      <xdr:rowOff>54429</xdr:rowOff>
    </xdr:from>
    <xdr:to>
      <xdr:col>2</xdr:col>
      <xdr:colOff>3538</xdr:colOff>
      <xdr:row>301</xdr:row>
      <xdr:rowOff>158764</xdr:rowOff>
    </xdr:to>
    <xdr:grpSp>
      <xdr:nvGrpSpPr>
        <xdr:cNvPr id="92" name="Group 91"/>
        <xdr:cNvGrpSpPr/>
      </xdr:nvGrpSpPr>
      <xdr:grpSpPr>
        <a:xfrm>
          <a:off x="13608" y="61839929"/>
          <a:ext cx="3177630" cy="1323535"/>
          <a:chOff x="5" y="63408179"/>
          <a:chExt cx="3174001" cy="1328978"/>
        </a:xfrm>
      </xdr:grpSpPr>
      <xdr:pic>
        <xdr:nvPicPr>
          <xdr:cNvPr id="93" name="Picture 9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4" name="Rectangle 93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5" name="Rectangle 94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6" name="Rectangle 95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97" name="Picture 9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8" name="Picture 9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282</xdr:row>
      <xdr:rowOff>190500</xdr:rowOff>
    </xdr:from>
    <xdr:to>
      <xdr:col>1</xdr:col>
      <xdr:colOff>1944275</xdr:colOff>
      <xdr:row>290</xdr:row>
      <xdr:rowOff>14611</xdr:rowOff>
    </xdr:to>
    <xdr:pic>
      <xdr:nvPicPr>
        <xdr:cNvPr id="84" name="Picture 8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476821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127001</xdr:rowOff>
    </xdr:from>
    <xdr:to>
      <xdr:col>2</xdr:col>
      <xdr:colOff>778782</xdr:colOff>
      <xdr:row>16</xdr:row>
      <xdr:rowOff>127001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1790701"/>
          <a:ext cx="3966482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165100</xdr:rowOff>
    </xdr:from>
    <xdr:to>
      <xdr:col>2</xdr:col>
      <xdr:colOff>778782</xdr:colOff>
      <xdr:row>127</xdr:row>
      <xdr:rowOff>152400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3571200"/>
          <a:ext cx="3966482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427</xdr:row>
      <xdr:rowOff>152400</xdr:rowOff>
    </xdr:from>
    <xdr:to>
      <xdr:col>2</xdr:col>
      <xdr:colOff>1371736</xdr:colOff>
      <xdr:row>437</xdr:row>
      <xdr:rowOff>88900</xdr:rowOff>
    </xdr:to>
    <xdr:pic>
      <xdr:nvPicPr>
        <xdr:cNvPr id="86" name="Picture 85"/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3986" t="12034" r="3746" b="10373"/>
        <a:stretch/>
      </xdr:blipFill>
      <xdr:spPr>
        <a:xfrm>
          <a:off x="0" y="89560400"/>
          <a:ext cx="4559436" cy="18415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132851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32851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432</xdr:row>
      <xdr:rowOff>201705</xdr:rowOff>
    </xdr:from>
    <xdr:to>
      <xdr:col>9</xdr:col>
      <xdr:colOff>324970</xdr:colOff>
      <xdr:row>433</xdr:row>
      <xdr:rowOff>212911</xdr:rowOff>
    </xdr:to>
    <xdr:sp macro="" textlink="">
      <xdr:nvSpPr>
        <xdr:cNvPr id="5" name="Rectangle 4"/>
        <xdr:cNvSpPr/>
      </xdr:nvSpPr>
      <xdr:spPr>
        <a:xfrm>
          <a:off x="12711954" y="891366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154082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81797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12808</xdr:colOff>
      <xdr:row>207</xdr:row>
      <xdr:rowOff>154081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2808" y="4487955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314</xdr:row>
      <xdr:rowOff>154080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66745036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421</xdr:row>
      <xdr:rowOff>126066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842841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0</xdr:colOff>
      <xdr:row>6</xdr:row>
      <xdr:rowOff>108858</xdr:rowOff>
    </xdr:from>
    <xdr:to>
      <xdr:col>2</xdr:col>
      <xdr:colOff>814019</xdr:colOff>
      <xdr:row>16</xdr:row>
      <xdr:rowOff>122465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5322"/>
          <a:ext cx="3998090" cy="19186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123665</xdr:rowOff>
    </xdr:from>
    <xdr:to>
      <xdr:col>2</xdr:col>
      <xdr:colOff>814019</xdr:colOff>
      <xdr:row>127</xdr:row>
      <xdr:rowOff>168089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622525"/>
          <a:ext cx="3993688" cy="2005454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</xdr:row>
      <xdr:rowOff>0</xdr:rowOff>
    </xdr:from>
    <xdr:to>
      <xdr:col>12</xdr:col>
      <xdr:colOff>404212</xdr:colOff>
      <xdr:row>5</xdr:row>
      <xdr:rowOff>59230</xdr:rowOff>
    </xdr:to>
    <xdr:sp macro="" textlink="">
      <xdr:nvSpPr>
        <xdr:cNvPr id="23" name="Left Arrow 22">
          <a:hlinkClick xmlns:r="http://schemas.openxmlformats.org/officeDocument/2006/relationships" r:id="rId3"/>
        </xdr:cNvPr>
        <xdr:cNvSpPr/>
      </xdr:nvSpPr>
      <xdr:spPr>
        <a:xfrm>
          <a:off x="14007353" y="546287"/>
          <a:ext cx="1020535" cy="843642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15718</xdr:colOff>
      <xdr:row>306</xdr:row>
      <xdr:rowOff>13804</xdr:rowOff>
    </xdr:from>
    <xdr:to>
      <xdr:col>1</xdr:col>
      <xdr:colOff>458615</xdr:colOff>
      <xdr:row>311</xdr:row>
      <xdr:rowOff>97366</xdr:rowOff>
    </xdr:to>
    <xdr:pic>
      <xdr:nvPicPr>
        <xdr:cNvPr id="32" name="Picture 3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15718" y="63374104"/>
          <a:ext cx="909622" cy="683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109073</xdr:rowOff>
    </xdr:to>
    <xdr:pic>
      <xdr:nvPicPr>
        <xdr:cNvPr id="33" name="Picture 3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5084</xdr:rowOff>
    </xdr:to>
    <xdr:pic>
      <xdr:nvPicPr>
        <xdr:cNvPr id="34" name="Picture 3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249</xdr:row>
      <xdr:rowOff>43533</xdr:rowOff>
    </xdr:to>
    <xdr:pic>
      <xdr:nvPicPr>
        <xdr:cNvPr id="35" name="Picture 3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8496</xdr:rowOff>
    </xdr:from>
    <xdr:to>
      <xdr:col>1</xdr:col>
      <xdr:colOff>777156</xdr:colOff>
      <xdr:row>258</xdr:row>
      <xdr:rowOff>179188</xdr:rowOff>
    </xdr:to>
    <xdr:pic>
      <xdr:nvPicPr>
        <xdr:cNvPr id="36" name="Picture 3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262</xdr:row>
      <xdr:rowOff>178903</xdr:rowOff>
    </xdr:from>
    <xdr:to>
      <xdr:col>1</xdr:col>
      <xdr:colOff>2429615</xdr:colOff>
      <xdr:row>269</xdr:row>
      <xdr:rowOff>78706</xdr:rowOff>
    </xdr:to>
    <xdr:pic>
      <xdr:nvPicPr>
        <xdr:cNvPr id="37" name="Picture 3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274</xdr:row>
      <xdr:rowOff>5566</xdr:rowOff>
    </xdr:from>
    <xdr:to>
      <xdr:col>1</xdr:col>
      <xdr:colOff>571500</xdr:colOff>
      <xdr:row>278</xdr:row>
      <xdr:rowOff>87830</xdr:rowOff>
    </xdr:to>
    <xdr:pic>
      <xdr:nvPicPr>
        <xdr:cNvPr id="38" name="Picture 3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336</xdr:row>
      <xdr:rowOff>84044</xdr:rowOff>
    </xdr:from>
    <xdr:to>
      <xdr:col>9</xdr:col>
      <xdr:colOff>684366</xdr:colOff>
      <xdr:row>400</xdr:row>
      <xdr:rowOff>174493</xdr:rowOff>
    </xdr:to>
    <xdr:grpSp>
      <xdr:nvGrpSpPr>
        <xdr:cNvPr id="28" name="Group 27"/>
        <xdr:cNvGrpSpPr/>
      </xdr:nvGrpSpPr>
      <xdr:grpSpPr>
        <a:xfrm>
          <a:off x="0" y="70467444"/>
          <a:ext cx="13358966" cy="13082549"/>
          <a:chOff x="22408" y="69215576"/>
          <a:chExt cx="13284180" cy="11811001"/>
        </a:xfrm>
      </xdr:grpSpPr>
      <xdr:pic>
        <xdr:nvPicPr>
          <xdr:cNvPr id="29" name="Picture 28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0" name="Line Callout 2 (No Border) 29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1" name="Line Callout 2 (No Border) 30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7" name="Line Callout 2 (No Border) 46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23</xdr:row>
      <xdr:rowOff>70038</xdr:rowOff>
    </xdr:from>
    <xdr:to>
      <xdr:col>9</xdr:col>
      <xdr:colOff>660475</xdr:colOff>
      <xdr:row>101</xdr:row>
      <xdr:rowOff>98247</xdr:rowOff>
    </xdr:to>
    <xdr:grpSp>
      <xdr:nvGrpSpPr>
        <xdr:cNvPr id="55" name="Group 54"/>
        <xdr:cNvGrpSpPr/>
      </xdr:nvGrpSpPr>
      <xdr:grpSpPr>
        <a:xfrm>
          <a:off x="0" y="5023038"/>
          <a:ext cx="13335075" cy="14887209"/>
          <a:chOff x="27214" y="3349853"/>
          <a:chExt cx="13279216" cy="15558034"/>
        </a:xfrm>
      </xdr:grpSpPr>
      <xdr:pic>
        <xdr:nvPicPr>
          <xdr:cNvPr id="56" name="Picture 5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7" name="Line Callout 2 (No Border) 56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1" name="Line Callout 2 (No Border) 60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2" name="Line Callout 2 (No Border) 61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7" name="Line Callout 2 (No Border) 66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8" name="Line Callout 2 (No Border) 67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9" name="Line Callout 2 (No Border) 68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0" name="Line Callout 2 (No Border) 69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1" name="Rectangle 70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2" name="Rectangle 71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5" name="Line Callout 2 (No Border) 74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6" name="Line Callout 2 (No Border) 75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8" name="Rectangle 77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444</xdr:row>
      <xdr:rowOff>98051</xdr:rowOff>
    </xdr:from>
    <xdr:to>
      <xdr:col>9</xdr:col>
      <xdr:colOff>686322</xdr:colOff>
      <xdr:row>502</xdr:row>
      <xdr:rowOff>37962</xdr:rowOff>
    </xdr:to>
    <xdr:grpSp>
      <xdr:nvGrpSpPr>
        <xdr:cNvPr id="79" name="Group 78"/>
        <xdr:cNvGrpSpPr/>
      </xdr:nvGrpSpPr>
      <xdr:grpSpPr>
        <a:xfrm>
          <a:off x="0" y="92769951"/>
          <a:ext cx="13360922" cy="11446111"/>
          <a:chOff x="13607" y="89487375"/>
          <a:chExt cx="13314588" cy="11205473"/>
        </a:xfrm>
      </xdr:grpSpPr>
      <xdr:pic>
        <xdr:nvPicPr>
          <xdr:cNvPr id="80" name="Picture 79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81" name="Line Callout 2 (No Border) 80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2" name="Line Callout 2 (No Border) 81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3" name="Line Callout 2 (No Border) 82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4" name="Line Callout 2 (No Border) 83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5" name="Line Callout 2 (No Border) 84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6" name="Rectangle 85"/>
          <xdr:cNvSpPr>
            <a:spLocks/>
          </xdr:cNvSpPr>
        </xdr:nvSpPr>
        <xdr:spPr>
          <a:xfrm>
            <a:off x="3153422" y="96160378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7" name="Line Callout 2 (No Border) 86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8" name="Line Callout 2 (No Border) 87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9" name="Line Callout 2 (No Border) 88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90" name="Line Callout 2 (No Border) 89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91" name="Rectangle 90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2" name="Rectangle 91"/>
          <xdr:cNvSpPr>
            <a:spLocks/>
          </xdr:cNvSpPr>
        </xdr:nvSpPr>
        <xdr:spPr>
          <a:xfrm>
            <a:off x="8340391" y="93554396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3" name="Line Callout 2 (No Border) 92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427</xdr:row>
      <xdr:rowOff>137265</xdr:rowOff>
    </xdr:from>
    <xdr:to>
      <xdr:col>2</xdr:col>
      <xdr:colOff>966507</xdr:colOff>
      <xdr:row>437</xdr:row>
      <xdr:rowOff>70036</xdr:rowOff>
    </xdr:to>
    <xdr:pic>
      <xdr:nvPicPr>
        <xdr:cNvPr id="94" name="Picture 93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199" t="13343" r="3883" b="10536"/>
        <a:stretch/>
      </xdr:blipFill>
      <xdr:spPr>
        <a:xfrm>
          <a:off x="0" y="90106493"/>
          <a:ext cx="4146176" cy="18938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321</xdr:row>
      <xdr:rowOff>18484</xdr:rowOff>
    </xdr:from>
    <xdr:to>
      <xdr:col>1</xdr:col>
      <xdr:colOff>1731393</xdr:colOff>
      <xdr:row>330</xdr:row>
      <xdr:rowOff>5395</xdr:rowOff>
    </xdr:to>
    <xdr:pic>
      <xdr:nvPicPr>
        <xdr:cNvPr id="102" name="Picture 10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8304330"/>
          <a:ext cx="2193636" cy="1751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</xdr:colOff>
      <xdr:row>295</xdr:row>
      <xdr:rowOff>14007</xdr:rowOff>
    </xdr:from>
    <xdr:to>
      <xdr:col>1</xdr:col>
      <xdr:colOff>2711759</xdr:colOff>
      <xdr:row>301</xdr:row>
      <xdr:rowOff>166367</xdr:rowOff>
    </xdr:to>
    <xdr:grpSp>
      <xdr:nvGrpSpPr>
        <xdr:cNvPr id="103" name="Group 102"/>
        <xdr:cNvGrpSpPr/>
      </xdr:nvGrpSpPr>
      <xdr:grpSpPr>
        <a:xfrm>
          <a:off x="1" y="61761407"/>
          <a:ext cx="3181658" cy="1371560"/>
          <a:chOff x="5" y="63408179"/>
          <a:chExt cx="3174001" cy="1328978"/>
        </a:xfrm>
      </xdr:grpSpPr>
      <xdr:pic>
        <xdr:nvPicPr>
          <xdr:cNvPr id="104" name="Picture 10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5" name="Rectangle 104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106" name="Rectangle 105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107" name="Rectangle 106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108" name="Picture 10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9" name="Picture 108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282</xdr:row>
      <xdr:rowOff>182095</xdr:rowOff>
    </xdr:from>
    <xdr:to>
      <xdr:col>1</xdr:col>
      <xdr:colOff>1944675</xdr:colOff>
      <xdr:row>290</xdr:row>
      <xdr:rowOff>70240</xdr:rowOff>
    </xdr:to>
    <xdr:pic>
      <xdr:nvPicPr>
        <xdr:cNvPr id="95" name="Picture 9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321139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6784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6870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432</xdr:row>
      <xdr:rowOff>201705</xdr:rowOff>
    </xdr:from>
    <xdr:to>
      <xdr:col>9</xdr:col>
      <xdr:colOff>324970</xdr:colOff>
      <xdr:row>433</xdr:row>
      <xdr:rowOff>212911</xdr:rowOff>
    </xdr:to>
    <xdr:sp macro="" textlink="">
      <xdr:nvSpPr>
        <xdr:cNvPr id="5" name="Rectangle 4"/>
        <xdr:cNvSpPr/>
      </xdr:nvSpPr>
      <xdr:spPr>
        <a:xfrm>
          <a:off x="12711954" y="891366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168089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831986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12808</xdr:colOff>
      <xdr:row>207</xdr:row>
      <xdr:rowOff>140074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2808" y="4486555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314</xdr:row>
      <xdr:rowOff>140072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66731028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421</xdr:row>
      <xdr:rowOff>154082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8456435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0</xdr:colOff>
      <xdr:row>6</xdr:row>
      <xdr:rowOff>112061</xdr:rowOff>
    </xdr:from>
    <xdr:to>
      <xdr:col>2</xdr:col>
      <xdr:colOff>910478</xdr:colOff>
      <xdr:row>16</xdr:row>
      <xdr:rowOff>124729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0921"/>
          <a:ext cx="4090147" cy="19736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154080</xdr:rowOff>
    </xdr:from>
    <xdr:to>
      <xdr:col>2</xdr:col>
      <xdr:colOff>910478</xdr:colOff>
      <xdr:row>127</xdr:row>
      <xdr:rowOff>140073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652940"/>
          <a:ext cx="4090147" cy="1947023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</xdr:row>
      <xdr:rowOff>0</xdr:rowOff>
    </xdr:from>
    <xdr:to>
      <xdr:col>12</xdr:col>
      <xdr:colOff>404212</xdr:colOff>
      <xdr:row>5</xdr:row>
      <xdr:rowOff>59230</xdr:rowOff>
    </xdr:to>
    <xdr:sp macro="" textlink="">
      <xdr:nvSpPr>
        <xdr:cNvPr id="21" name="Left Arrow 20">
          <a:hlinkClick xmlns:r="http://schemas.openxmlformats.org/officeDocument/2006/relationships" r:id="rId3"/>
        </xdr:cNvPr>
        <xdr:cNvSpPr/>
      </xdr:nvSpPr>
      <xdr:spPr>
        <a:xfrm>
          <a:off x="14007353" y="546287"/>
          <a:ext cx="1020535" cy="843642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15718</xdr:colOff>
      <xdr:row>305</xdr:row>
      <xdr:rowOff>13804</xdr:rowOff>
    </xdr:from>
    <xdr:to>
      <xdr:col>1</xdr:col>
      <xdr:colOff>458615</xdr:colOff>
      <xdr:row>310</xdr:row>
      <xdr:rowOff>97366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15718" y="63374104"/>
          <a:ext cx="909622" cy="683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109073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5084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249</xdr:row>
      <xdr:rowOff>43533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8496</xdr:rowOff>
    </xdr:from>
    <xdr:to>
      <xdr:col>1</xdr:col>
      <xdr:colOff>777156</xdr:colOff>
      <xdr:row>258</xdr:row>
      <xdr:rowOff>179188</xdr:rowOff>
    </xdr:to>
    <xdr:pic>
      <xdr:nvPicPr>
        <xdr:cNvPr id="19" name="Picture 1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262</xdr:row>
      <xdr:rowOff>178903</xdr:rowOff>
    </xdr:from>
    <xdr:to>
      <xdr:col>1</xdr:col>
      <xdr:colOff>2429615</xdr:colOff>
      <xdr:row>269</xdr:row>
      <xdr:rowOff>78706</xdr:rowOff>
    </xdr:to>
    <xdr:pic>
      <xdr:nvPicPr>
        <xdr:cNvPr id="20" name="Picture 1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274</xdr:row>
      <xdr:rowOff>5566</xdr:rowOff>
    </xdr:from>
    <xdr:to>
      <xdr:col>1</xdr:col>
      <xdr:colOff>571500</xdr:colOff>
      <xdr:row>278</xdr:row>
      <xdr:rowOff>87830</xdr:rowOff>
    </xdr:to>
    <xdr:pic>
      <xdr:nvPicPr>
        <xdr:cNvPr id="23" name="Picture 2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340</xdr:row>
      <xdr:rowOff>14007</xdr:rowOff>
    </xdr:from>
    <xdr:to>
      <xdr:col>9</xdr:col>
      <xdr:colOff>684366</xdr:colOff>
      <xdr:row>404</xdr:row>
      <xdr:rowOff>104456</xdr:rowOff>
    </xdr:to>
    <xdr:grpSp>
      <xdr:nvGrpSpPr>
        <xdr:cNvPr id="32" name="Group 31"/>
        <xdr:cNvGrpSpPr/>
      </xdr:nvGrpSpPr>
      <xdr:grpSpPr>
        <a:xfrm>
          <a:off x="0" y="71210207"/>
          <a:ext cx="13358966" cy="13082549"/>
          <a:chOff x="22408" y="69215576"/>
          <a:chExt cx="13284180" cy="11811001"/>
        </a:xfrm>
      </xdr:grpSpPr>
      <xdr:pic>
        <xdr:nvPicPr>
          <xdr:cNvPr id="33" name="Picture 3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4" name="Line Callout 2 (No Border) 33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5" name="Line Callout 2 (No Border) 34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23</xdr:row>
      <xdr:rowOff>14007</xdr:rowOff>
    </xdr:from>
    <xdr:to>
      <xdr:col>9</xdr:col>
      <xdr:colOff>660475</xdr:colOff>
      <xdr:row>101</xdr:row>
      <xdr:rowOff>42216</xdr:rowOff>
    </xdr:to>
    <xdr:grpSp>
      <xdr:nvGrpSpPr>
        <xdr:cNvPr id="44" name="Group 43"/>
        <xdr:cNvGrpSpPr/>
      </xdr:nvGrpSpPr>
      <xdr:grpSpPr>
        <a:xfrm>
          <a:off x="0" y="4967007"/>
          <a:ext cx="13335075" cy="14887209"/>
          <a:chOff x="27214" y="3349853"/>
          <a:chExt cx="13279216" cy="15558034"/>
        </a:xfrm>
      </xdr:grpSpPr>
      <xdr:pic>
        <xdr:nvPicPr>
          <xdr:cNvPr id="45" name="Picture 44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6" name="Line Callout 2 (No Border) 45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7" name="Line Callout 2 (No Border) 46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0" name="Rectangle 59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1" name="Rectangle 60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Line Callout 2 (No Border) 61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7" name="Rectangle 66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445</xdr:row>
      <xdr:rowOff>140074</xdr:rowOff>
    </xdr:from>
    <xdr:to>
      <xdr:col>9</xdr:col>
      <xdr:colOff>686322</xdr:colOff>
      <xdr:row>502</xdr:row>
      <xdr:rowOff>37963</xdr:rowOff>
    </xdr:to>
    <xdr:grpSp>
      <xdr:nvGrpSpPr>
        <xdr:cNvPr id="68" name="Group 67"/>
        <xdr:cNvGrpSpPr/>
      </xdr:nvGrpSpPr>
      <xdr:grpSpPr>
        <a:xfrm>
          <a:off x="0" y="93002474"/>
          <a:ext cx="13360922" cy="11213589"/>
          <a:chOff x="13607" y="89487375"/>
          <a:chExt cx="13314588" cy="11205473"/>
        </a:xfrm>
      </xdr:grpSpPr>
      <xdr:pic>
        <xdr:nvPicPr>
          <xdr:cNvPr id="69" name="Picture 68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0" name="Line Callout 2 (No Border) 69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1" name="Line Callout 2 (No Border) 70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5" name="Rectangle 74"/>
          <xdr:cNvSpPr>
            <a:spLocks/>
          </xdr:cNvSpPr>
        </xdr:nvSpPr>
        <xdr:spPr>
          <a:xfrm>
            <a:off x="3153422" y="96146742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6" name="Line Callout 2 (No Border) 75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9" name="Line Callout 2 (No Border) 78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0" name="Rectangle 79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1" name="Rectangle 80"/>
          <xdr:cNvSpPr>
            <a:spLocks/>
          </xdr:cNvSpPr>
        </xdr:nvSpPr>
        <xdr:spPr>
          <a:xfrm>
            <a:off x="8340391" y="93554397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Line Callout 2 (No Border) 81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427</xdr:row>
      <xdr:rowOff>143993</xdr:rowOff>
    </xdr:from>
    <xdr:to>
      <xdr:col>2</xdr:col>
      <xdr:colOff>1666875</xdr:colOff>
      <xdr:row>437</xdr:row>
      <xdr:rowOff>84043</xdr:rowOff>
    </xdr:to>
    <xdr:pic>
      <xdr:nvPicPr>
        <xdr:cNvPr id="83" name="Picture 8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091" t="12956" r="4019" b="10516"/>
        <a:stretch/>
      </xdr:blipFill>
      <xdr:spPr>
        <a:xfrm>
          <a:off x="0" y="90113221"/>
          <a:ext cx="4846544" cy="19010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321</xdr:row>
      <xdr:rowOff>32491</xdr:rowOff>
    </xdr:from>
    <xdr:to>
      <xdr:col>1</xdr:col>
      <xdr:colOff>1731393</xdr:colOff>
      <xdr:row>330</xdr:row>
      <xdr:rowOff>19402</xdr:rowOff>
    </xdr:to>
    <xdr:pic>
      <xdr:nvPicPr>
        <xdr:cNvPr id="91" name="Picture 9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8318337"/>
          <a:ext cx="2193636" cy="1751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295</xdr:row>
      <xdr:rowOff>14008</xdr:rowOff>
    </xdr:from>
    <xdr:to>
      <xdr:col>1</xdr:col>
      <xdr:colOff>2711758</xdr:colOff>
      <xdr:row>301</xdr:row>
      <xdr:rowOff>166368</xdr:rowOff>
    </xdr:to>
    <xdr:grpSp>
      <xdr:nvGrpSpPr>
        <xdr:cNvPr id="92" name="Group 91"/>
        <xdr:cNvGrpSpPr/>
      </xdr:nvGrpSpPr>
      <xdr:grpSpPr>
        <a:xfrm>
          <a:off x="0" y="61761408"/>
          <a:ext cx="3181658" cy="1371560"/>
          <a:chOff x="5" y="63408179"/>
          <a:chExt cx="3174001" cy="1328978"/>
        </a:xfrm>
      </xdr:grpSpPr>
      <xdr:pic>
        <xdr:nvPicPr>
          <xdr:cNvPr id="93" name="Picture 9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4" name="Rectangle 93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5" name="Rectangle 94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6" name="Rectangle 95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97" name="Picture 9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8" name="Picture 9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283</xdr:row>
      <xdr:rowOff>182096</xdr:rowOff>
    </xdr:from>
    <xdr:to>
      <xdr:col>1</xdr:col>
      <xdr:colOff>1944675</xdr:colOff>
      <xdr:row>291</xdr:row>
      <xdr:rowOff>70241</xdr:rowOff>
    </xdr:to>
    <xdr:pic>
      <xdr:nvPicPr>
        <xdr:cNvPr id="84" name="Picture 8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517243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6784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6870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432</xdr:row>
      <xdr:rowOff>201705</xdr:rowOff>
    </xdr:from>
    <xdr:to>
      <xdr:col>9</xdr:col>
      <xdr:colOff>324970</xdr:colOff>
      <xdr:row>433</xdr:row>
      <xdr:rowOff>212911</xdr:rowOff>
    </xdr:to>
    <xdr:sp macro="" textlink="">
      <xdr:nvSpPr>
        <xdr:cNvPr id="5" name="Rectangle 4"/>
        <xdr:cNvSpPr/>
      </xdr:nvSpPr>
      <xdr:spPr>
        <a:xfrm>
          <a:off x="12711954" y="891366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149679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23407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</xdr:colOff>
      <xdr:row>208</xdr:row>
      <xdr:rowOff>0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" y="4463142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315</xdr:row>
      <xdr:rowOff>0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67164857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421</xdr:row>
      <xdr:rowOff>149679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9507786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0</xdr:colOff>
      <xdr:row>2</xdr:row>
      <xdr:rowOff>0</xdr:rowOff>
    </xdr:from>
    <xdr:to>
      <xdr:col>12</xdr:col>
      <xdr:colOff>408213</xdr:colOff>
      <xdr:row>5</xdr:row>
      <xdr:rowOff>54428</xdr:rowOff>
    </xdr:to>
    <xdr:sp macro="" textlink="">
      <xdr:nvSpPr>
        <xdr:cNvPr id="21" name="Left Arrow 20">
          <a:hlinkClick xmlns:r="http://schemas.openxmlformats.org/officeDocument/2006/relationships" r:id="rId2"/>
        </xdr:cNvPr>
        <xdr:cNvSpPr/>
      </xdr:nvSpPr>
      <xdr:spPr>
        <a:xfrm>
          <a:off x="14015357" y="544286"/>
          <a:ext cx="1020535" cy="843642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15718</xdr:colOff>
      <xdr:row>305</xdr:row>
      <xdr:rowOff>13804</xdr:rowOff>
    </xdr:from>
    <xdr:to>
      <xdr:col>1</xdr:col>
      <xdr:colOff>458615</xdr:colOff>
      <xdr:row>310</xdr:row>
      <xdr:rowOff>97365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15718" y="63374104"/>
          <a:ext cx="909622" cy="683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109072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5085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249</xdr:row>
      <xdr:rowOff>43532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8496</xdr:rowOff>
    </xdr:from>
    <xdr:to>
      <xdr:col>1</xdr:col>
      <xdr:colOff>777156</xdr:colOff>
      <xdr:row>258</xdr:row>
      <xdr:rowOff>179188</xdr:rowOff>
    </xdr:to>
    <xdr:pic>
      <xdr:nvPicPr>
        <xdr:cNvPr id="19" name="Picture 1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262</xdr:row>
      <xdr:rowOff>178903</xdr:rowOff>
    </xdr:from>
    <xdr:to>
      <xdr:col>1</xdr:col>
      <xdr:colOff>2429615</xdr:colOff>
      <xdr:row>269</xdr:row>
      <xdr:rowOff>78706</xdr:rowOff>
    </xdr:to>
    <xdr:pic>
      <xdr:nvPicPr>
        <xdr:cNvPr id="20" name="Picture 1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274</xdr:row>
      <xdr:rowOff>5566</xdr:rowOff>
    </xdr:from>
    <xdr:to>
      <xdr:col>1</xdr:col>
      <xdr:colOff>571500</xdr:colOff>
      <xdr:row>278</xdr:row>
      <xdr:rowOff>87828</xdr:rowOff>
    </xdr:to>
    <xdr:pic>
      <xdr:nvPicPr>
        <xdr:cNvPr id="23" name="Picture 2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339</xdr:row>
      <xdr:rowOff>190499</xdr:rowOff>
    </xdr:from>
    <xdr:to>
      <xdr:col>9</xdr:col>
      <xdr:colOff>663555</xdr:colOff>
      <xdr:row>401</xdr:row>
      <xdr:rowOff>190500</xdr:rowOff>
    </xdr:to>
    <xdr:grpSp>
      <xdr:nvGrpSpPr>
        <xdr:cNvPr id="32" name="Group 31"/>
        <xdr:cNvGrpSpPr/>
      </xdr:nvGrpSpPr>
      <xdr:grpSpPr>
        <a:xfrm>
          <a:off x="0" y="71221599"/>
          <a:ext cx="13338155" cy="12585701"/>
          <a:chOff x="22408" y="69215576"/>
          <a:chExt cx="13284180" cy="11811001"/>
        </a:xfrm>
      </xdr:grpSpPr>
      <xdr:pic>
        <xdr:nvPicPr>
          <xdr:cNvPr id="33" name="Picture 3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4" name="Line Callout 2 (No Border) 33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5" name="Line Callout 2 (No Border) 34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23</xdr:row>
      <xdr:rowOff>95250</xdr:rowOff>
    </xdr:from>
    <xdr:to>
      <xdr:col>9</xdr:col>
      <xdr:colOff>639664</xdr:colOff>
      <xdr:row>103</xdr:row>
      <xdr:rowOff>179489</xdr:rowOff>
    </xdr:to>
    <xdr:grpSp>
      <xdr:nvGrpSpPr>
        <xdr:cNvPr id="44" name="Group 43"/>
        <xdr:cNvGrpSpPr/>
      </xdr:nvGrpSpPr>
      <xdr:grpSpPr>
        <a:xfrm>
          <a:off x="0" y="5048250"/>
          <a:ext cx="13314264" cy="15324239"/>
          <a:chOff x="27214" y="3349853"/>
          <a:chExt cx="13279216" cy="15558034"/>
        </a:xfrm>
      </xdr:grpSpPr>
      <xdr:pic>
        <xdr:nvPicPr>
          <xdr:cNvPr id="45" name="Picture 44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6" name="Line Callout 2 (No Border) 45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7" name="Line Callout 2 (No Border) 46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0" name="Rectangle 59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1" name="Rectangle 60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Line Callout 2 (No Border) 61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7" name="Rectangle 66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445</xdr:row>
      <xdr:rowOff>0</xdr:rowOff>
    </xdr:from>
    <xdr:to>
      <xdr:col>9</xdr:col>
      <xdr:colOff>665511</xdr:colOff>
      <xdr:row>502</xdr:row>
      <xdr:rowOff>175235</xdr:rowOff>
    </xdr:to>
    <xdr:grpSp>
      <xdr:nvGrpSpPr>
        <xdr:cNvPr id="68" name="Group 67"/>
        <xdr:cNvGrpSpPr/>
      </xdr:nvGrpSpPr>
      <xdr:grpSpPr>
        <a:xfrm>
          <a:off x="0" y="92913200"/>
          <a:ext cx="13340111" cy="11478235"/>
          <a:chOff x="13607" y="89487375"/>
          <a:chExt cx="13314588" cy="11205473"/>
        </a:xfrm>
      </xdr:grpSpPr>
      <xdr:pic>
        <xdr:nvPicPr>
          <xdr:cNvPr id="69" name="Picture 68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0" name="Line Callout 2 (No Border) 69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1" name="Line Callout 2 (No Border) 70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5" name="Rectangle 74"/>
          <xdr:cNvSpPr>
            <a:spLocks/>
          </xdr:cNvSpPr>
        </xdr:nvSpPr>
        <xdr:spPr>
          <a:xfrm>
            <a:off x="3153422" y="96154534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6" name="Line Callout 2 (No Border) 75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9" name="Line Callout 2 (No Border) 78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0" name="Rectangle 79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1" name="Rectangle 80"/>
          <xdr:cNvSpPr>
            <a:spLocks/>
          </xdr:cNvSpPr>
        </xdr:nvSpPr>
        <xdr:spPr>
          <a:xfrm>
            <a:off x="8340391" y="93598034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Line Callout 2 (No Border) 81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320</xdr:row>
      <xdr:rowOff>190498</xdr:rowOff>
    </xdr:from>
    <xdr:to>
      <xdr:col>1</xdr:col>
      <xdr:colOff>1730993</xdr:colOff>
      <xdr:row>330</xdr:row>
      <xdr:rowOff>27811</xdr:rowOff>
    </xdr:to>
    <xdr:pic>
      <xdr:nvPicPr>
        <xdr:cNvPr id="91" name="Picture 9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8702462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294</xdr:row>
      <xdr:rowOff>190501</xdr:rowOff>
    </xdr:from>
    <xdr:to>
      <xdr:col>1</xdr:col>
      <xdr:colOff>2711358</xdr:colOff>
      <xdr:row>301</xdr:row>
      <xdr:rowOff>90729</xdr:rowOff>
    </xdr:to>
    <xdr:grpSp>
      <xdr:nvGrpSpPr>
        <xdr:cNvPr id="92" name="Group 91"/>
        <xdr:cNvGrpSpPr/>
      </xdr:nvGrpSpPr>
      <xdr:grpSpPr>
        <a:xfrm>
          <a:off x="0" y="61772801"/>
          <a:ext cx="3181258" cy="1322628"/>
          <a:chOff x="5" y="63408179"/>
          <a:chExt cx="3174001" cy="1328978"/>
        </a:xfrm>
      </xdr:grpSpPr>
      <xdr:pic>
        <xdr:nvPicPr>
          <xdr:cNvPr id="93" name="Picture 9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4" name="Rectangle 93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5" name="Rectangle 94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6" name="Rectangle 95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97" name="Picture 9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8" name="Picture 9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282</xdr:row>
      <xdr:rowOff>190501</xdr:rowOff>
    </xdr:from>
    <xdr:to>
      <xdr:col>1</xdr:col>
      <xdr:colOff>1944275</xdr:colOff>
      <xdr:row>290</xdr:row>
      <xdr:rowOff>14612</xdr:rowOff>
    </xdr:to>
    <xdr:pic>
      <xdr:nvPicPr>
        <xdr:cNvPr id="84" name="Picture 8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476822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101600</xdr:rowOff>
    </xdr:from>
    <xdr:to>
      <xdr:col>2</xdr:col>
      <xdr:colOff>780890</xdr:colOff>
      <xdr:row>16</xdr:row>
      <xdr:rowOff>127000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1765300"/>
          <a:ext cx="3968590" cy="1930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152400</xdr:rowOff>
    </xdr:from>
    <xdr:to>
      <xdr:col>2</xdr:col>
      <xdr:colOff>780890</xdr:colOff>
      <xdr:row>127</xdr:row>
      <xdr:rowOff>165100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3558500"/>
          <a:ext cx="3968590" cy="1930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427</xdr:row>
      <xdr:rowOff>114300</xdr:rowOff>
    </xdr:from>
    <xdr:to>
      <xdr:col>2</xdr:col>
      <xdr:colOff>1624511</xdr:colOff>
      <xdr:row>437</xdr:row>
      <xdr:rowOff>139700</xdr:rowOff>
    </xdr:to>
    <xdr:pic>
      <xdr:nvPicPr>
        <xdr:cNvPr id="86" name="Picture 85"/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4207" t="12973" r="4031" b="11352"/>
        <a:stretch/>
      </xdr:blipFill>
      <xdr:spPr>
        <a:xfrm>
          <a:off x="0" y="89522300"/>
          <a:ext cx="4812211" cy="19304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6784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6870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431</xdr:row>
      <xdr:rowOff>201705</xdr:rowOff>
    </xdr:from>
    <xdr:to>
      <xdr:col>9</xdr:col>
      <xdr:colOff>324970</xdr:colOff>
      <xdr:row>432</xdr:row>
      <xdr:rowOff>212911</xdr:rowOff>
    </xdr:to>
    <xdr:sp macro="" textlink="">
      <xdr:nvSpPr>
        <xdr:cNvPr id="5" name="Rectangle 4"/>
        <xdr:cNvSpPr/>
      </xdr:nvSpPr>
      <xdr:spPr>
        <a:xfrm>
          <a:off x="12711954" y="891366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136072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220465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</xdr:colOff>
      <xdr:row>207</xdr:row>
      <xdr:rowOff>0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" y="44495357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313</xdr:row>
      <xdr:rowOff>136071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67001571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420</xdr:row>
      <xdr:rowOff>136071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9358107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0</xdr:colOff>
      <xdr:row>117</xdr:row>
      <xdr:rowOff>136071</xdr:rowOff>
    </xdr:from>
    <xdr:to>
      <xdr:col>2</xdr:col>
      <xdr:colOff>816429</xdr:colOff>
      <xdr:row>127</xdr:row>
      <xdr:rowOff>176892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94142"/>
          <a:ext cx="4000500" cy="19594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122465</xdr:rowOff>
    </xdr:from>
    <xdr:to>
      <xdr:col>2</xdr:col>
      <xdr:colOff>816429</xdr:colOff>
      <xdr:row>16</xdr:row>
      <xdr:rowOff>139627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8929"/>
          <a:ext cx="4000500" cy="192216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</xdr:row>
      <xdr:rowOff>0</xdr:rowOff>
    </xdr:from>
    <xdr:to>
      <xdr:col>12</xdr:col>
      <xdr:colOff>408213</xdr:colOff>
      <xdr:row>5</xdr:row>
      <xdr:rowOff>54428</xdr:rowOff>
    </xdr:to>
    <xdr:sp macro="" textlink="">
      <xdr:nvSpPr>
        <xdr:cNvPr id="21" name="Left Arrow 20">
          <a:hlinkClick xmlns:r="http://schemas.openxmlformats.org/officeDocument/2006/relationships" r:id="rId3"/>
        </xdr:cNvPr>
        <xdr:cNvSpPr/>
      </xdr:nvSpPr>
      <xdr:spPr>
        <a:xfrm>
          <a:off x="14015357" y="544286"/>
          <a:ext cx="1020535" cy="843642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78441</xdr:colOff>
      <xdr:row>217</xdr:row>
      <xdr:rowOff>159982</xdr:rowOff>
    </xdr:from>
    <xdr:to>
      <xdr:col>1</xdr:col>
      <xdr:colOff>2409264</xdr:colOff>
      <xdr:row>226</xdr:row>
      <xdr:rowOff>109073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231</xdr:row>
      <xdr:rowOff>17426</xdr:rowOff>
    </xdr:from>
    <xdr:to>
      <xdr:col>1</xdr:col>
      <xdr:colOff>707572</xdr:colOff>
      <xdr:row>237</xdr:row>
      <xdr:rowOff>5085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241</xdr:row>
      <xdr:rowOff>20401</xdr:rowOff>
    </xdr:from>
    <xdr:to>
      <xdr:col>1</xdr:col>
      <xdr:colOff>2462267</xdr:colOff>
      <xdr:row>248</xdr:row>
      <xdr:rowOff>43532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252</xdr:row>
      <xdr:rowOff>8496</xdr:rowOff>
    </xdr:from>
    <xdr:to>
      <xdr:col>1</xdr:col>
      <xdr:colOff>777156</xdr:colOff>
      <xdr:row>257</xdr:row>
      <xdr:rowOff>179188</xdr:rowOff>
    </xdr:to>
    <xdr:pic>
      <xdr:nvPicPr>
        <xdr:cNvPr id="19" name="Picture 1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261</xdr:row>
      <xdr:rowOff>178903</xdr:rowOff>
    </xdr:from>
    <xdr:to>
      <xdr:col>1</xdr:col>
      <xdr:colOff>2429615</xdr:colOff>
      <xdr:row>268</xdr:row>
      <xdr:rowOff>78706</xdr:rowOff>
    </xdr:to>
    <xdr:pic>
      <xdr:nvPicPr>
        <xdr:cNvPr id="20" name="Picture 1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</xdr:row>
      <xdr:rowOff>5566</xdr:rowOff>
    </xdr:from>
    <xdr:to>
      <xdr:col>1</xdr:col>
      <xdr:colOff>571500</xdr:colOff>
      <xdr:row>277</xdr:row>
      <xdr:rowOff>87829</xdr:rowOff>
    </xdr:to>
    <xdr:pic>
      <xdr:nvPicPr>
        <xdr:cNvPr id="22" name="Picture 2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337</xdr:row>
      <xdr:rowOff>81643</xdr:rowOff>
    </xdr:from>
    <xdr:to>
      <xdr:col>9</xdr:col>
      <xdr:colOff>663555</xdr:colOff>
      <xdr:row>399</xdr:row>
      <xdr:rowOff>81644</xdr:rowOff>
    </xdr:to>
    <xdr:grpSp>
      <xdr:nvGrpSpPr>
        <xdr:cNvPr id="32" name="Group 31"/>
        <xdr:cNvGrpSpPr/>
      </xdr:nvGrpSpPr>
      <xdr:grpSpPr>
        <a:xfrm>
          <a:off x="0" y="70769843"/>
          <a:ext cx="13338155" cy="12585701"/>
          <a:chOff x="22408" y="69215576"/>
          <a:chExt cx="13284180" cy="11811001"/>
        </a:xfrm>
      </xdr:grpSpPr>
      <xdr:pic>
        <xdr:nvPicPr>
          <xdr:cNvPr id="33" name="Picture 3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4" name="Line Callout 2 (No Border) 33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5" name="Line Callout 2 (No Border) 34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22</xdr:row>
      <xdr:rowOff>95250</xdr:rowOff>
    </xdr:from>
    <xdr:to>
      <xdr:col>9</xdr:col>
      <xdr:colOff>639664</xdr:colOff>
      <xdr:row>102</xdr:row>
      <xdr:rowOff>179489</xdr:rowOff>
    </xdr:to>
    <xdr:grpSp>
      <xdr:nvGrpSpPr>
        <xdr:cNvPr id="44" name="Group 43"/>
        <xdr:cNvGrpSpPr/>
      </xdr:nvGrpSpPr>
      <xdr:grpSpPr>
        <a:xfrm>
          <a:off x="0" y="4857750"/>
          <a:ext cx="13314264" cy="15324239"/>
          <a:chOff x="27214" y="3349853"/>
          <a:chExt cx="13279216" cy="15558034"/>
        </a:xfrm>
      </xdr:grpSpPr>
      <xdr:pic>
        <xdr:nvPicPr>
          <xdr:cNvPr id="45" name="Picture 44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6" name="Line Callout 2 (No Border) 45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7" name="Line Callout 2 (No Border) 46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0" name="Rectangle 59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1" name="Rectangle 60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Line Callout 2 (No Border) 61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7" name="Rectangle 66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439</xdr:row>
      <xdr:rowOff>0</xdr:rowOff>
    </xdr:from>
    <xdr:to>
      <xdr:col>9</xdr:col>
      <xdr:colOff>665511</xdr:colOff>
      <xdr:row>496</xdr:row>
      <xdr:rowOff>148021</xdr:rowOff>
    </xdr:to>
    <xdr:grpSp>
      <xdr:nvGrpSpPr>
        <xdr:cNvPr id="68" name="Group 67"/>
        <xdr:cNvGrpSpPr/>
      </xdr:nvGrpSpPr>
      <xdr:grpSpPr>
        <a:xfrm>
          <a:off x="0" y="91757500"/>
          <a:ext cx="13340111" cy="11451021"/>
          <a:chOff x="13607" y="89487375"/>
          <a:chExt cx="13314588" cy="11205473"/>
        </a:xfrm>
      </xdr:grpSpPr>
      <xdr:pic>
        <xdr:nvPicPr>
          <xdr:cNvPr id="69" name="Picture 68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0" name="Line Callout 2 (No Border) 69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1" name="Line Callout 2 (No Border) 70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5" name="Rectangle 74"/>
          <xdr:cNvSpPr>
            <a:spLocks/>
          </xdr:cNvSpPr>
        </xdr:nvSpPr>
        <xdr:spPr>
          <a:xfrm>
            <a:off x="3153422" y="96101546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6" name="Line Callout 2 (No Border) 75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9" name="Line Callout 2 (No Border) 78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0" name="Rectangle 79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1" name="Rectangle 80"/>
          <xdr:cNvSpPr>
            <a:spLocks/>
          </xdr:cNvSpPr>
        </xdr:nvSpPr>
        <xdr:spPr>
          <a:xfrm>
            <a:off x="8340391" y="93571539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Line Callout 2 (No Border) 81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426</xdr:row>
      <xdr:rowOff>128908</xdr:rowOff>
    </xdr:from>
    <xdr:to>
      <xdr:col>2</xdr:col>
      <xdr:colOff>1524001</xdr:colOff>
      <xdr:row>436</xdr:row>
      <xdr:rowOff>108857</xdr:rowOff>
    </xdr:to>
    <xdr:pic>
      <xdr:nvPicPr>
        <xdr:cNvPr id="83" name="Picture 8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874" t="12620" r="3992" b="10609"/>
        <a:stretch/>
      </xdr:blipFill>
      <xdr:spPr>
        <a:xfrm>
          <a:off x="0" y="89242087"/>
          <a:ext cx="4708072" cy="18849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319</xdr:row>
      <xdr:rowOff>190498</xdr:rowOff>
    </xdr:from>
    <xdr:to>
      <xdr:col>1</xdr:col>
      <xdr:colOff>1730993</xdr:colOff>
      <xdr:row>329</xdr:row>
      <xdr:rowOff>27811</xdr:rowOff>
    </xdr:to>
    <xdr:pic>
      <xdr:nvPicPr>
        <xdr:cNvPr id="91" name="Picture 9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8797712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295</xdr:row>
      <xdr:rowOff>13607</xdr:rowOff>
    </xdr:from>
    <xdr:to>
      <xdr:col>1</xdr:col>
      <xdr:colOff>2711358</xdr:colOff>
      <xdr:row>301</xdr:row>
      <xdr:rowOff>117942</xdr:rowOff>
    </xdr:to>
    <xdr:grpSp>
      <xdr:nvGrpSpPr>
        <xdr:cNvPr id="92" name="Group 91"/>
        <xdr:cNvGrpSpPr/>
      </xdr:nvGrpSpPr>
      <xdr:grpSpPr>
        <a:xfrm>
          <a:off x="0" y="61862607"/>
          <a:ext cx="3181258" cy="1323535"/>
          <a:chOff x="5" y="63408179"/>
          <a:chExt cx="3174001" cy="1328978"/>
        </a:xfrm>
      </xdr:grpSpPr>
      <xdr:pic>
        <xdr:nvPicPr>
          <xdr:cNvPr id="93" name="Picture 9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4" name="Rectangle 93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5" name="Rectangle 94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6" name="Rectangle 95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97" name="Picture 9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8" name="Picture 9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283</xdr:row>
      <xdr:rowOff>13608</xdr:rowOff>
    </xdr:from>
    <xdr:to>
      <xdr:col>1</xdr:col>
      <xdr:colOff>1944275</xdr:colOff>
      <xdr:row>290</xdr:row>
      <xdr:rowOff>41827</xdr:rowOff>
    </xdr:to>
    <xdr:pic>
      <xdr:nvPicPr>
        <xdr:cNvPr id="84" name="Picture 8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572072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6784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6870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431</xdr:row>
      <xdr:rowOff>201705</xdr:rowOff>
    </xdr:from>
    <xdr:to>
      <xdr:col>9</xdr:col>
      <xdr:colOff>324970</xdr:colOff>
      <xdr:row>432</xdr:row>
      <xdr:rowOff>212911</xdr:rowOff>
    </xdr:to>
    <xdr:sp macro="" textlink="">
      <xdr:nvSpPr>
        <xdr:cNvPr id="5" name="Rectangle 4"/>
        <xdr:cNvSpPr/>
      </xdr:nvSpPr>
      <xdr:spPr>
        <a:xfrm>
          <a:off x="12711954" y="891366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149679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23407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</xdr:colOff>
      <xdr:row>206</xdr:row>
      <xdr:rowOff>136072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" y="44468143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314</xdr:row>
      <xdr:rowOff>0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67028786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420</xdr:row>
      <xdr:rowOff>136072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9358108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0</xdr:colOff>
      <xdr:row>117</xdr:row>
      <xdr:rowOff>122464</xdr:rowOff>
    </xdr:from>
    <xdr:to>
      <xdr:col>2</xdr:col>
      <xdr:colOff>816429</xdr:colOff>
      <xdr:row>127</xdr:row>
      <xdr:rowOff>163285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0" y="24043821"/>
          <a:ext cx="4000500" cy="19594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122465</xdr:rowOff>
    </xdr:from>
    <xdr:to>
      <xdr:col>2</xdr:col>
      <xdr:colOff>816429</xdr:colOff>
      <xdr:row>16</xdr:row>
      <xdr:rowOff>139627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0" y="1768929"/>
          <a:ext cx="4000500" cy="1922162"/>
        </a:xfrm>
        <a:prstGeom prst="rect">
          <a:avLst/>
        </a:prstGeom>
      </xdr:spPr>
    </xdr:pic>
    <xdr:clientData/>
  </xdr:twoCellAnchor>
  <xdr:twoCellAnchor>
    <xdr:from>
      <xdr:col>11</xdr:col>
      <xdr:colOff>122463</xdr:colOff>
      <xdr:row>2</xdr:row>
      <xdr:rowOff>0</xdr:rowOff>
    </xdr:from>
    <xdr:to>
      <xdr:col>12</xdr:col>
      <xdr:colOff>530676</xdr:colOff>
      <xdr:row>5</xdr:row>
      <xdr:rowOff>54428</xdr:rowOff>
    </xdr:to>
    <xdr:sp macro="" textlink="">
      <xdr:nvSpPr>
        <xdr:cNvPr id="21" name="Left Arrow 20">
          <a:hlinkClick xmlns:r="http://schemas.openxmlformats.org/officeDocument/2006/relationships" r:id="rId3"/>
        </xdr:cNvPr>
        <xdr:cNvSpPr/>
      </xdr:nvSpPr>
      <xdr:spPr>
        <a:xfrm>
          <a:off x="14137820" y="544286"/>
          <a:ext cx="1020535" cy="843642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78441</xdr:colOff>
      <xdr:row>217</xdr:row>
      <xdr:rowOff>159982</xdr:rowOff>
    </xdr:from>
    <xdr:to>
      <xdr:col>1</xdr:col>
      <xdr:colOff>2409264</xdr:colOff>
      <xdr:row>226</xdr:row>
      <xdr:rowOff>109073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231</xdr:row>
      <xdr:rowOff>17426</xdr:rowOff>
    </xdr:from>
    <xdr:to>
      <xdr:col>1</xdr:col>
      <xdr:colOff>707572</xdr:colOff>
      <xdr:row>237</xdr:row>
      <xdr:rowOff>5085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241</xdr:row>
      <xdr:rowOff>20401</xdr:rowOff>
    </xdr:from>
    <xdr:to>
      <xdr:col>1</xdr:col>
      <xdr:colOff>2462267</xdr:colOff>
      <xdr:row>248</xdr:row>
      <xdr:rowOff>43532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252</xdr:row>
      <xdr:rowOff>8496</xdr:rowOff>
    </xdr:from>
    <xdr:to>
      <xdr:col>1</xdr:col>
      <xdr:colOff>777156</xdr:colOff>
      <xdr:row>257</xdr:row>
      <xdr:rowOff>179188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261</xdr:row>
      <xdr:rowOff>178903</xdr:rowOff>
    </xdr:from>
    <xdr:to>
      <xdr:col>1</xdr:col>
      <xdr:colOff>2429615</xdr:colOff>
      <xdr:row>268</xdr:row>
      <xdr:rowOff>78706</xdr:rowOff>
    </xdr:to>
    <xdr:pic>
      <xdr:nvPicPr>
        <xdr:cNvPr id="18" name="Picture 1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272</xdr:row>
      <xdr:rowOff>5566</xdr:rowOff>
    </xdr:from>
    <xdr:to>
      <xdr:col>1</xdr:col>
      <xdr:colOff>571500</xdr:colOff>
      <xdr:row>276</xdr:row>
      <xdr:rowOff>87829</xdr:rowOff>
    </xdr:to>
    <xdr:pic>
      <xdr:nvPicPr>
        <xdr:cNvPr id="22" name="Picture 2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337</xdr:row>
      <xdr:rowOff>54429</xdr:rowOff>
    </xdr:from>
    <xdr:to>
      <xdr:col>9</xdr:col>
      <xdr:colOff>663555</xdr:colOff>
      <xdr:row>399</xdr:row>
      <xdr:rowOff>54429</xdr:rowOff>
    </xdr:to>
    <xdr:grpSp>
      <xdr:nvGrpSpPr>
        <xdr:cNvPr id="31" name="Group 30"/>
        <xdr:cNvGrpSpPr/>
      </xdr:nvGrpSpPr>
      <xdr:grpSpPr>
        <a:xfrm>
          <a:off x="0" y="70742629"/>
          <a:ext cx="13338155" cy="12585700"/>
          <a:chOff x="22408" y="69215576"/>
          <a:chExt cx="13284180" cy="11811001"/>
        </a:xfrm>
      </xdr:grpSpPr>
      <xdr:pic>
        <xdr:nvPicPr>
          <xdr:cNvPr id="32" name="Picture 31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3" name="Line Callout 2 (No Border) 32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4" name="Line Callout 2 (No Border) 33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5" name="Line Callout 2 (No Border) 34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22</xdr:row>
      <xdr:rowOff>27214</xdr:rowOff>
    </xdr:from>
    <xdr:to>
      <xdr:col>9</xdr:col>
      <xdr:colOff>639664</xdr:colOff>
      <xdr:row>102</xdr:row>
      <xdr:rowOff>111453</xdr:rowOff>
    </xdr:to>
    <xdr:grpSp>
      <xdr:nvGrpSpPr>
        <xdr:cNvPr id="43" name="Group 42"/>
        <xdr:cNvGrpSpPr/>
      </xdr:nvGrpSpPr>
      <xdr:grpSpPr>
        <a:xfrm>
          <a:off x="0" y="4789714"/>
          <a:ext cx="13314264" cy="15324239"/>
          <a:chOff x="27214" y="3349853"/>
          <a:chExt cx="13279216" cy="15558034"/>
        </a:xfrm>
      </xdr:grpSpPr>
      <xdr:pic>
        <xdr:nvPicPr>
          <xdr:cNvPr id="44" name="Picture 4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5" name="Line Callout 2 (No Border) 44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6" name="Line Callout 2 (No Border) 45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7" name="Line Callout 2 (No Border) 46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9" name="Rectangle 58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0" name="Rectangle 59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1" name="Line Callout 2 (No Border) 60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2" name="Line Callout 2 (No Border) 61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6" name="Rectangle 65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442</xdr:row>
      <xdr:rowOff>299357</xdr:rowOff>
    </xdr:from>
    <xdr:to>
      <xdr:col>9</xdr:col>
      <xdr:colOff>665511</xdr:colOff>
      <xdr:row>500</xdr:row>
      <xdr:rowOff>39165</xdr:rowOff>
    </xdr:to>
    <xdr:grpSp>
      <xdr:nvGrpSpPr>
        <xdr:cNvPr id="67" name="Group 66"/>
        <xdr:cNvGrpSpPr/>
      </xdr:nvGrpSpPr>
      <xdr:grpSpPr>
        <a:xfrm>
          <a:off x="0" y="92666457"/>
          <a:ext cx="13340111" cy="11487308"/>
          <a:chOff x="13607" y="89487375"/>
          <a:chExt cx="13314588" cy="11205473"/>
        </a:xfrm>
      </xdr:grpSpPr>
      <xdr:pic>
        <xdr:nvPicPr>
          <xdr:cNvPr id="68" name="Picture 6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9" name="Line Callout 2 (No Border) 68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0" name="Line Callout 2 (No Border) 69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1" name="Line Callout 2 (No Border) 70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4" name="Rectangle 73"/>
          <xdr:cNvSpPr>
            <a:spLocks/>
          </xdr:cNvSpPr>
        </xdr:nvSpPr>
        <xdr:spPr>
          <a:xfrm>
            <a:off x="3153422" y="96141287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5" name="Line Callout 2 (No Border) 74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6" name="Line Callout 2 (No Border) 75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9" name="Rectangle 78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0" name="Rectangle 79"/>
          <xdr:cNvSpPr>
            <a:spLocks/>
          </xdr:cNvSpPr>
        </xdr:nvSpPr>
        <xdr:spPr>
          <a:xfrm>
            <a:off x="8340391" y="93571539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1" name="Line Callout 2 (No Border) 80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426</xdr:row>
      <xdr:rowOff>123643</xdr:rowOff>
    </xdr:from>
    <xdr:to>
      <xdr:col>2</xdr:col>
      <xdr:colOff>1537607</xdr:colOff>
      <xdr:row>436</xdr:row>
      <xdr:rowOff>95250</xdr:rowOff>
    </xdr:to>
    <xdr:pic>
      <xdr:nvPicPr>
        <xdr:cNvPr id="82" name="Picture 81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681" t="12568" r="3925" b="10451"/>
        <a:stretch/>
      </xdr:blipFill>
      <xdr:spPr>
        <a:xfrm flipH="1">
          <a:off x="0" y="91019357"/>
          <a:ext cx="4721678" cy="18766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320</xdr:row>
      <xdr:rowOff>13605</xdr:rowOff>
    </xdr:from>
    <xdr:to>
      <xdr:col>1</xdr:col>
      <xdr:colOff>1730993</xdr:colOff>
      <xdr:row>329</xdr:row>
      <xdr:rowOff>41418</xdr:rowOff>
    </xdr:to>
    <xdr:pic>
      <xdr:nvPicPr>
        <xdr:cNvPr id="90" name="Picture 8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8579998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294</xdr:row>
      <xdr:rowOff>13607</xdr:rowOff>
    </xdr:from>
    <xdr:to>
      <xdr:col>1</xdr:col>
      <xdr:colOff>2711358</xdr:colOff>
      <xdr:row>300</xdr:row>
      <xdr:rowOff>117942</xdr:rowOff>
    </xdr:to>
    <xdr:grpSp>
      <xdr:nvGrpSpPr>
        <xdr:cNvPr id="91" name="Group 90"/>
        <xdr:cNvGrpSpPr/>
      </xdr:nvGrpSpPr>
      <xdr:grpSpPr>
        <a:xfrm>
          <a:off x="0" y="61659407"/>
          <a:ext cx="3181258" cy="1323535"/>
          <a:chOff x="5" y="63408179"/>
          <a:chExt cx="3174001" cy="1328978"/>
        </a:xfrm>
      </xdr:grpSpPr>
      <xdr:pic>
        <xdr:nvPicPr>
          <xdr:cNvPr id="92" name="Picture 91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3" name="Rectangle 92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4" name="Rectangle 93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5" name="Rectangle 94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96" name="Picture 9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7" name="Picture 9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282</xdr:row>
      <xdr:rowOff>0</xdr:rowOff>
    </xdr:from>
    <xdr:to>
      <xdr:col>1</xdr:col>
      <xdr:colOff>1944275</xdr:colOff>
      <xdr:row>289</xdr:row>
      <xdr:rowOff>28219</xdr:rowOff>
    </xdr:to>
    <xdr:pic>
      <xdr:nvPicPr>
        <xdr:cNvPr id="83" name="Picture 8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354357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142856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42856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432</xdr:row>
      <xdr:rowOff>201705</xdr:rowOff>
    </xdr:from>
    <xdr:to>
      <xdr:col>9</xdr:col>
      <xdr:colOff>324970</xdr:colOff>
      <xdr:row>433</xdr:row>
      <xdr:rowOff>212911</xdr:rowOff>
    </xdr:to>
    <xdr:sp macro="" textlink="">
      <xdr:nvSpPr>
        <xdr:cNvPr id="5" name="Rectangle 4"/>
        <xdr:cNvSpPr/>
      </xdr:nvSpPr>
      <xdr:spPr>
        <a:xfrm>
          <a:off x="12711954" y="891366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136072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220465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</xdr:colOff>
      <xdr:row>207</xdr:row>
      <xdr:rowOff>149679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" y="4461782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315</xdr:row>
      <xdr:rowOff>0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67164857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421</xdr:row>
      <xdr:rowOff>149679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9507786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0</xdr:colOff>
      <xdr:row>6</xdr:row>
      <xdr:rowOff>122464</xdr:rowOff>
    </xdr:from>
    <xdr:to>
      <xdr:col>2</xdr:col>
      <xdr:colOff>1462553</xdr:colOff>
      <xdr:row>16</xdr:row>
      <xdr:rowOff>95250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8928"/>
          <a:ext cx="4646624" cy="18777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136071</xdr:rowOff>
    </xdr:from>
    <xdr:to>
      <xdr:col>2</xdr:col>
      <xdr:colOff>1462553</xdr:colOff>
      <xdr:row>127</xdr:row>
      <xdr:rowOff>163285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57428"/>
          <a:ext cx="4646624" cy="1945822"/>
        </a:xfrm>
        <a:prstGeom prst="rect">
          <a:avLst/>
        </a:prstGeom>
      </xdr:spPr>
    </xdr:pic>
    <xdr:clientData/>
  </xdr:twoCellAnchor>
  <xdr:twoCellAnchor>
    <xdr:from>
      <xdr:col>11</xdr:col>
      <xdr:colOff>190498</xdr:colOff>
      <xdr:row>2</xdr:row>
      <xdr:rowOff>0</xdr:rowOff>
    </xdr:from>
    <xdr:to>
      <xdr:col>12</xdr:col>
      <xdr:colOff>598711</xdr:colOff>
      <xdr:row>5</xdr:row>
      <xdr:rowOff>54428</xdr:rowOff>
    </xdr:to>
    <xdr:sp macro="" textlink="">
      <xdr:nvSpPr>
        <xdr:cNvPr id="21" name="Left Arrow 20">
          <a:hlinkClick xmlns:r="http://schemas.openxmlformats.org/officeDocument/2006/relationships" r:id="rId3"/>
        </xdr:cNvPr>
        <xdr:cNvSpPr/>
      </xdr:nvSpPr>
      <xdr:spPr>
        <a:xfrm>
          <a:off x="14205855" y="544286"/>
          <a:ext cx="1020535" cy="843642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15718</xdr:colOff>
      <xdr:row>304</xdr:row>
      <xdr:rowOff>13804</xdr:rowOff>
    </xdr:from>
    <xdr:to>
      <xdr:col>1</xdr:col>
      <xdr:colOff>458615</xdr:colOff>
      <xdr:row>309</xdr:row>
      <xdr:rowOff>97365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15718" y="63374104"/>
          <a:ext cx="909622" cy="683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109072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5085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249</xdr:row>
      <xdr:rowOff>43532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8496</xdr:rowOff>
    </xdr:from>
    <xdr:to>
      <xdr:col>1</xdr:col>
      <xdr:colOff>777156</xdr:colOff>
      <xdr:row>258</xdr:row>
      <xdr:rowOff>179188</xdr:rowOff>
    </xdr:to>
    <xdr:pic>
      <xdr:nvPicPr>
        <xdr:cNvPr id="19" name="Picture 1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262</xdr:row>
      <xdr:rowOff>178903</xdr:rowOff>
    </xdr:from>
    <xdr:to>
      <xdr:col>1</xdr:col>
      <xdr:colOff>2429615</xdr:colOff>
      <xdr:row>269</xdr:row>
      <xdr:rowOff>78706</xdr:rowOff>
    </xdr:to>
    <xdr:pic>
      <xdr:nvPicPr>
        <xdr:cNvPr id="20" name="Picture 1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</xdr:row>
      <xdr:rowOff>5566</xdr:rowOff>
    </xdr:from>
    <xdr:to>
      <xdr:col>1</xdr:col>
      <xdr:colOff>571500</xdr:colOff>
      <xdr:row>277</xdr:row>
      <xdr:rowOff>87828</xdr:rowOff>
    </xdr:to>
    <xdr:pic>
      <xdr:nvPicPr>
        <xdr:cNvPr id="23" name="Picture 2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339</xdr:row>
      <xdr:rowOff>13607</xdr:rowOff>
    </xdr:from>
    <xdr:to>
      <xdr:col>9</xdr:col>
      <xdr:colOff>663555</xdr:colOff>
      <xdr:row>401</xdr:row>
      <xdr:rowOff>13609</xdr:rowOff>
    </xdr:to>
    <xdr:grpSp>
      <xdr:nvGrpSpPr>
        <xdr:cNvPr id="32" name="Group 31"/>
        <xdr:cNvGrpSpPr/>
      </xdr:nvGrpSpPr>
      <xdr:grpSpPr>
        <a:xfrm>
          <a:off x="0" y="71044707"/>
          <a:ext cx="13338155" cy="12585702"/>
          <a:chOff x="22408" y="69215576"/>
          <a:chExt cx="13284180" cy="11811001"/>
        </a:xfrm>
      </xdr:grpSpPr>
      <xdr:pic>
        <xdr:nvPicPr>
          <xdr:cNvPr id="33" name="Picture 3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4" name="Line Callout 2 (No Border) 33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5" name="Line Callout 2 (No Border) 34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19</xdr:row>
      <xdr:rowOff>0</xdr:rowOff>
    </xdr:from>
    <xdr:to>
      <xdr:col>9</xdr:col>
      <xdr:colOff>639664</xdr:colOff>
      <xdr:row>99</xdr:row>
      <xdr:rowOff>84239</xdr:rowOff>
    </xdr:to>
    <xdr:grpSp>
      <xdr:nvGrpSpPr>
        <xdr:cNvPr id="44" name="Group 43"/>
        <xdr:cNvGrpSpPr/>
      </xdr:nvGrpSpPr>
      <xdr:grpSpPr>
        <a:xfrm>
          <a:off x="0" y="4191000"/>
          <a:ext cx="13314264" cy="15324239"/>
          <a:chOff x="27214" y="3349853"/>
          <a:chExt cx="13279216" cy="15558034"/>
        </a:xfrm>
      </xdr:grpSpPr>
      <xdr:pic>
        <xdr:nvPicPr>
          <xdr:cNvPr id="45" name="Picture 44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6" name="Line Callout 2 (No Border) 45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7" name="Line Callout 2 (No Border) 46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0" name="Rectangle 59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1" name="Rectangle 60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Line Callout 2 (No Border) 61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7" name="Rectangle 66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445</xdr:row>
      <xdr:rowOff>95251</xdr:rowOff>
    </xdr:from>
    <xdr:to>
      <xdr:col>9</xdr:col>
      <xdr:colOff>665511</xdr:colOff>
      <xdr:row>503</xdr:row>
      <xdr:rowOff>39165</xdr:rowOff>
    </xdr:to>
    <xdr:grpSp>
      <xdr:nvGrpSpPr>
        <xdr:cNvPr id="68" name="Group 67"/>
        <xdr:cNvGrpSpPr/>
      </xdr:nvGrpSpPr>
      <xdr:grpSpPr>
        <a:xfrm>
          <a:off x="0" y="93008451"/>
          <a:ext cx="13340111" cy="11450114"/>
          <a:chOff x="13607" y="89487375"/>
          <a:chExt cx="13314588" cy="11205473"/>
        </a:xfrm>
      </xdr:grpSpPr>
      <xdr:pic>
        <xdr:nvPicPr>
          <xdr:cNvPr id="69" name="Picture 68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0" name="Line Callout 2 (No Border) 69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1" name="Line Callout 2 (No Border) 70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5" name="Rectangle 74"/>
          <xdr:cNvSpPr>
            <a:spLocks/>
          </xdr:cNvSpPr>
        </xdr:nvSpPr>
        <xdr:spPr>
          <a:xfrm>
            <a:off x="3153422" y="96167782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6" name="Line Callout 2 (No Border) 75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9" name="Line Callout 2 (No Border) 78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0" name="Rectangle 79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1" name="Rectangle 80"/>
          <xdr:cNvSpPr>
            <a:spLocks/>
          </xdr:cNvSpPr>
        </xdr:nvSpPr>
        <xdr:spPr>
          <a:xfrm>
            <a:off x="8340391" y="93584787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Line Callout 2 (No Border) 81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427</xdr:row>
      <xdr:rowOff>126755</xdr:rowOff>
    </xdr:from>
    <xdr:to>
      <xdr:col>2</xdr:col>
      <xdr:colOff>2408465</xdr:colOff>
      <xdr:row>437</xdr:row>
      <xdr:rowOff>95250</xdr:rowOff>
    </xdr:to>
    <xdr:pic>
      <xdr:nvPicPr>
        <xdr:cNvPr id="83" name="Picture 8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331" t="12766" r="3269" b="10372"/>
        <a:stretch/>
      </xdr:blipFill>
      <xdr:spPr>
        <a:xfrm>
          <a:off x="0" y="90750326"/>
          <a:ext cx="5592536" cy="18734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320</xdr:row>
      <xdr:rowOff>190498</xdr:rowOff>
    </xdr:from>
    <xdr:to>
      <xdr:col>1</xdr:col>
      <xdr:colOff>1730993</xdr:colOff>
      <xdr:row>330</xdr:row>
      <xdr:rowOff>27811</xdr:rowOff>
    </xdr:to>
    <xdr:pic>
      <xdr:nvPicPr>
        <xdr:cNvPr id="91" name="Picture 9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8702462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292</xdr:row>
      <xdr:rowOff>176892</xdr:rowOff>
    </xdr:from>
    <xdr:to>
      <xdr:col>1</xdr:col>
      <xdr:colOff>2711358</xdr:colOff>
      <xdr:row>299</xdr:row>
      <xdr:rowOff>77120</xdr:rowOff>
    </xdr:to>
    <xdr:grpSp>
      <xdr:nvGrpSpPr>
        <xdr:cNvPr id="92" name="Group 91"/>
        <xdr:cNvGrpSpPr/>
      </xdr:nvGrpSpPr>
      <xdr:grpSpPr>
        <a:xfrm>
          <a:off x="0" y="61352792"/>
          <a:ext cx="3181258" cy="1322628"/>
          <a:chOff x="5" y="63408179"/>
          <a:chExt cx="3174001" cy="1328978"/>
        </a:xfrm>
      </xdr:grpSpPr>
      <xdr:pic>
        <xdr:nvPicPr>
          <xdr:cNvPr id="93" name="Picture 9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4" name="Rectangle 93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5" name="Rectangle 94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6" name="Rectangle 95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97" name="Picture 9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8" name="Picture 9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281</xdr:row>
      <xdr:rowOff>190500</xdr:rowOff>
    </xdr:from>
    <xdr:to>
      <xdr:col>1</xdr:col>
      <xdr:colOff>1934750</xdr:colOff>
      <xdr:row>289</xdr:row>
      <xdr:rowOff>14612</xdr:rowOff>
    </xdr:to>
    <xdr:pic>
      <xdr:nvPicPr>
        <xdr:cNvPr id="84" name="Picture 8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272714"/>
          <a:ext cx="2397393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6784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6870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432</xdr:row>
      <xdr:rowOff>201705</xdr:rowOff>
    </xdr:from>
    <xdr:to>
      <xdr:col>9</xdr:col>
      <xdr:colOff>324970</xdr:colOff>
      <xdr:row>433</xdr:row>
      <xdr:rowOff>212911</xdr:rowOff>
    </xdr:to>
    <xdr:sp macro="" textlink="">
      <xdr:nvSpPr>
        <xdr:cNvPr id="5" name="Rectangle 4"/>
        <xdr:cNvSpPr/>
      </xdr:nvSpPr>
      <xdr:spPr>
        <a:xfrm>
          <a:off x="12711954" y="891366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149679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23407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</xdr:colOff>
      <xdr:row>208</xdr:row>
      <xdr:rowOff>0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" y="44590607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314</xdr:row>
      <xdr:rowOff>136071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67096821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421</xdr:row>
      <xdr:rowOff>136072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9603036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0</xdr:colOff>
      <xdr:row>6</xdr:row>
      <xdr:rowOff>122465</xdr:rowOff>
    </xdr:from>
    <xdr:to>
      <xdr:col>2</xdr:col>
      <xdr:colOff>1483179</xdr:colOff>
      <xdr:row>16</xdr:row>
      <xdr:rowOff>115203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8929"/>
          <a:ext cx="4667250" cy="18977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108857</xdr:rowOff>
    </xdr:from>
    <xdr:to>
      <xdr:col>2</xdr:col>
      <xdr:colOff>1483179</xdr:colOff>
      <xdr:row>127</xdr:row>
      <xdr:rowOff>163286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30214"/>
          <a:ext cx="4667250" cy="2013858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</xdr:row>
      <xdr:rowOff>0</xdr:rowOff>
    </xdr:from>
    <xdr:to>
      <xdr:col>12</xdr:col>
      <xdr:colOff>408213</xdr:colOff>
      <xdr:row>5</xdr:row>
      <xdr:rowOff>54428</xdr:rowOff>
    </xdr:to>
    <xdr:sp macro="" textlink="">
      <xdr:nvSpPr>
        <xdr:cNvPr id="21" name="Left Arrow 20">
          <a:hlinkClick xmlns:r="http://schemas.openxmlformats.org/officeDocument/2006/relationships" r:id="rId3"/>
        </xdr:cNvPr>
        <xdr:cNvSpPr/>
      </xdr:nvSpPr>
      <xdr:spPr>
        <a:xfrm>
          <a:off x="14015357" y="544286"/>
          <a:ext cx="1020535" cy="843642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15718</xdr:colOff>
      <xdr:row>306</xdr:row>
      <xdr:rowOff>13804</xdr:rowOff>
    </xdr:from>
    <xdr:to>
      <xdr:col>1</xdr:col>
      <xdr:colOff>458615</xdr:colOff>
      <xdr:row>311</xdr:row>
      <xdr:rowOff>97364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15718" y="63374104"/>
          <a:ext cx="909622" cy="683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109073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5085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249</xdr:row>
      <xdr:rowOff>43532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8496</xdr:rowOff>
    </xdr:from>
    <xdr:to>
      <xdr:col>1</xdr:col>
      <xdr:colOff>777156</xdr:colOff>
      <xdr:row>258</xdr:row>
      <xdr:rowOff>179188</xdr:rowOff>
    </xdr:to>
    <xdr:pic>
      <xdr:nvPicPr>
        <xdr:cNvPr id="19" name="Picture 1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262</xdr:row>
      <xdr:rowOff>178903</xdr:rowOff>
    </xdr:from>
    <xdr:to>
      <xdr:col>1</xdr:col>
      <xdr:colOff>2429615</xdr:colOff>
      <xdr:row>269</xdr:row>
      <xdr:rowOff>78706</xdr:rowOff>
    </xdr:to>
    <xdr:pic>
      <xdr:nvPicPr>
        <xdr:cNvPr id="20" name="Picture 1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274</xdr:row>
      <xdr:rowOff>5566</xdr:rowOff>
    </xdr:from>
    <xdr:to>
      <xdr:col>1</xdr:col>
      <xdr:colOff>571500</xdr:colOff>
      <xdr:row>278</xdr:row>
      <xdr:rowOff>87829</xdr:rowOff>
    </xdr:to>
    <xdr:pic>
      <xdr:nvPicPr>
        <xdr:cNvPr id="23" name="Picture 2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338</xdr:row>
      <xdr:rowOff>81642</xdr:rowOff>
    </xdr:from>
    <xdr:to>
      <xdr:col>9</xdr:col>
      <xdr:colOff>663555</xdr:colOff>
      <xdr:row>400</xdr:row>
      <xdr:rowOff>81643</xdr:rowOff>
    </xdr:to>
    <xdr:grpSp>
      <xdr:nvGrpSpPr>
        <xdr:cNvPr id="32" name="Group 31"/>
        <xdr:cNvGrpSpPr/>
      </xdr:nvGrpSpPr>
      <xdr:grpSpPr>
        <a:xfrm>
          <a:off x="0" y="71364202"/>
          <a:ext cx="15121235" cy="12588241"/>
          <a:chOff x="22408" y="69215576"/>
          <a:chExt cx="13284180" cy="11811001"/>
        </a:xfrm>
      </xdr:grpSpPr>
      <xdr:pic>
        <xdr:nvPicPr>
          <xdr:cNvPr id="33" name="Picture 3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4" name="Line Callout 2 (No Border) 33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5" name="Line Callout 2 (No Border) 34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19</xdr:row>
      <xdr:rowOff>0</xdr:rowOff>
    </xdr:from>
    <xdr:to>
      <xdr:col>9</xdr:col>
      <xdr:colOff>639664</xdr:colOff>
      <xdr:row>99</xdr:row>
      <xdr:rowOff>84239</xdr:rowOff>
    </xdr:to>
    <xdr:grpSp>
      <xdr:nvGrpSpPr>
        <xdr:cNvPr id="44" name="Group 43"/>
        <xdr:cNvGrpSpPr/>
      </xdr:nvGrpSpPr>
      <xdr:grpSpPr>
        <a:xfrm>
          <a:off x="0" y="4206240"/>
          <a:ext cx="15097344" cy="15527439"/>
          <a:chOff x="27214" y="3349853"/>
          <a:chExt cx="13279216" cy="15558034"/>
        </a:xfrm>
      </xdr:grpSpPr>
      <xdr:pic>
        <xdr:nvPicPr>
          <xdr:cNvPr id="45" name="Picture 44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6" name="Line Callout 2 (No Border) 45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7" name="Line Callout 2 (No Border) 46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0" name="Rectangle 59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1" name="Rectangle 60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Line Callout 2 (No Border) 61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7" name="Rectangle 66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441</xdr:row>
      <xdr:rowOff>204104</xdr:rowOff>
    </xdr:from>
    <xdr:to>
      <xdr:col>9</xdr:col>
      <xdr:colOff>665511</xdr:colOff>
      <xdr:row>498</xdr:row>
      <xdr:rowOff>148017</xdr:rowOff>
    </xdr:to>
    <xdr:grpSp>
      <xdr:nvGrpSpPr>
        <xdr:cNvPr id="68" name="Group 67"/>
        <xdr:cNvGrpSpPr/>
      </xdr:nvGrpSpPr>
      <xdr:grpSpPr>
        <a:xfrm>
          <a:off x="0" y="92774404"/>
          <a:ext cx="15123191" cy="11472973"/>
          <a:chOff x="13607" y="89487375"/>
          <a:chExt cx="13314588" cy="11205473"/>
        </a:xfrm>
      </xdr:grpSpPr>
      <xdr:pic>
        <xdr:nvPicPr>
          <xdr:cNvPr id="69" name="Picture 68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0" name="Line Callout 2 (No Border) 69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1" name="Line Callout 2 (No Border) 70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5" name="Rectangle 74"/>
          <xdr:cNvSpPr>
            <a:spLocks/>
          </xdr:cNvSpPr>
        </xdr:nvSpPr>
        <xdr:spPr>
          <a:xfrm>
            <a:off x="3153422" y="96167781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6" name="Line Callout 2 (No Border) 75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9" name="Line Callout 2 (No Border) 78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0" name="Rectangle 79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1" name="Rectangle 80"/>
          <xdr:cNvSpPr>
            <a:spLocks/>
          </xdr:cNvSpPr>
        </xdr:nvSpPr>
        <xdr:spPr>
          <a:xfrm>
            <a:off x="8340391" y="93571540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Line Callout 2 (No Border) 81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427</xdr:row>
      <xdr:rowOff>134426</xdr:rowOff>
    </xdr:from>
    <xdr:to>
      <xdr:col>2</xdr:col>
      <xdr:colOff>2462893</xdr:colOff>
      <xdr:row>437</xdr:row>
      <xdr:rowOff>81644</xdr:rowOff>
    </xdr:to>
    <xdr:pic>
      <xdr:nvPicPr>
        <xdr:cNvPr id="83" name="Picture 8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299" t="13053" r="3177" b="10395"/>
        <a:stretch/>
      </xdr:blipFill>
      <xdr:spPr>
        <a:xfrm>
          <a:off x="0" y="91275069"/>
          <a:ext cx="5646964" cy="18522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320</xdr:row>
      <xdr:rowOff>190498</xdr:rowOff>
    </xdr:from>
    <xdr:to>
      <xdr:col>1</xdr:col>
      <xdr:colOff>1730993</xdr:colOff>
      <xdr:row>330</xdr:row>
      <xdr:rowOff>27811</xdr:rowOff>
    </xdr:to>
    <xdr:pic>
      <xdr:nvPicPr>
        <xdr:cNvPr id="91" name="Picture 9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8661641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295</xdr:row>
      <xdr:rowOff>54429</xdr:rowOff>
    </xdr:from>
    <xdr:to>
      <xdr:col>1</xdr:col>
      <xdr:colOff>2711358</xdr:colOff>
      <xdr:row>301</xdr:row>
      <xdr:rowOff>158764</xdr:rowOff>
    </xdr:to>
    <xdr:grpSp>
      <xdr:nvGrpSpPr>
        <xdr:cNvPr id="92" name="Group 91"/>
        <xdr:cNvGrpSpPr/>
      </xdr:nvGrpSpPr>
      <xdr:grpSpPr>
        <a:xfrm>
          <a:off x="0" y="62325069"/>
          <a:ext cx="3249838" cy="1323535"/>
          <a:chOff x="5" y="63408179"/>
          <a:chExt cx="3174001" cy="1328978"/>
        </a:xfrm>
      </xdr:grpSpPr>
      <xdr:pic>
        <xdr:nvPicPr>
          <xdr:cNvPr id="93" name="Picture 9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4" name="Rectangle 93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5" name="Rectangle 94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6" name="Rectangle 95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97" name="Picture 9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8" name="Picture 9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282</xdr:row>
      <xdr:rowOff>190501</xdr:rowOff>
    </xdr:from>
    <xdr:to>
      <xdr:col>1</xdr:col>
      <xdr:colOff>1944275</xdr:colOff>
      <xdr:row>290</xdr:row>
      <xdr:rowOff>14613</xdr:rowOff>
    </xdr:to>
    <xdr:pic>
      <xdr:nvPicPr>
        <xdr:cNvPr id="84" name="Picture 8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436001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6784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6870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432</xdr:row>
      <xdr:rowOff>201705</xdr:rowOff>
    </xdr:from>
    <xdr:to>
      <xdr:col>9</xdr:col>
      <xdr:colOff>324970</xdr:colOff>
      <xdr:row>433</xdr:row>
      <xdr:rowOff>212911</xdr:rowOff>
    </xdr:to>
    <xdr:sp macro="" textlink="">
      <xdr:nvSpPr>
        <xdr:cNvPr id="3" name="Rectangle 2"/>
        <xdr:cNvSpPr/>
      </xdr:nvSpPr>
      <xdr:spPr>
        <a:xfrm>
          <a:off x="12750054" y="89851005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149679</xdr:rowOff>
    </xdr:from>
    <xdr:ext cx="3110302" cy="1060854"/>
    <xdr:pic>
      <xdr:nvPicPr>
        <xdr:cNvPr id="4" name="Picture 3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184762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</xdr:colOff>
      <xdr:row>208</xdr:row>
      <xdr:rowOff>0</xdr:rowOff>
    </xdr:from>
    <xdr:ext cx="3110302" cy="1060854"/>
    <xdr:pic>
      <xdr:nvPicPr>
        <xdr:cNvPr id="5" name="Picture 4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" y="43681650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314</xdr:row>
      <xdr:rowOff>136071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65420421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421</xdr:row>
      <xdr:rowOff>136072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7165997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0</xdr:colOff>
      <xdr:row>2</xdr:row>
      <xdr:rowOff>0</xdr:rowOff>
    </xdr:from>
    <xdr:to>
      <xdr:col>12</xdr:col>
      <xdr:colOff>408213</xdr:colOff>
      <xdr:row>5</xdr:row>
      <xdr:rowOff>54428</xdr:rowOff>
    </xdr:to>
    <xdr:sp macro="" textlink="">
      <xdr:nvSpPr>
        <xdr:cNvPr id="10" name="Left Arrow 9">
          <a:hlinkClick xmlns:r="http://schemas.openxmlformats.org/officeDocument/2006/relationships" r:id="rId2"/>
        </xdr:cNvPr>
        <xdr:cNvSpPr/>
      </xdr:nvSpPr>
      <xdr:spPr>
        <a:xfrm>
          <a:off x="14039850" y="542925"/>
          <a:ext cx="1017813" cy="845003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15718</xdr:colOff>
      <xdr:row>307</xdr:row>
      <xdr:rowOff>27410</xdr:rowOff>
    </xdr:from>
    <xdr:to>
      <xdr:col>1</xdr:col>
      <xdr:colOff>458615</xdr:colOff>
      <xdr:row>312</xdr:row>
      <xdr:rowOff>110971</xdr:rowOff>
    </xdr:to>
    <xdr:pic>
      <xdr:nvPicPr>
        <xdr:cNvPr id="11" name="Picture 1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15718" y="64375589"/>
          <a:ext cx="905540" cy="1104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109073</xdr:rowOff>
    </xdr:to>
    <xdr:pic>
      <xdr:nvPicPr>
        <xdr:cNvPr id="12" name="Picture 1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318132"/>
          <a:ext cx="2797548" cy="1682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884464</xdr:colOff>
      <xdr:row>238</xdr:row>
      <xdr:rowOff>5085</xdr:rowOff>
    </xdr:to>
    <xdr:pic>
      <xdr:nvPicPr>
        <xdr:cNvPr id="13" name="Picture 1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9071176"/>
          <a:ext cx="1347107" cy="12123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249</xdr:row>
      <xdr:rowOff>43532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912476"/>
          <a:ext cx="2862316" cy="14137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8496</xdr:rowOff>
    </xdr:from>
    <xdr:to>
      <xdr:col>1</xdr:col>
      <xdr:colOff>777156</xdr:colOff>
      <xdr:row>258</xdr:row>
      <xdr:rowOff>179189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3091321"/>
          <a:ext cx="1243881" cy="11708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262</xdr:row>
      <xdr:rowOff>178903</xdr:rowOff>
    </xdr:from>
    <xdr:to>
      <xdr:col>1</xdr:col>
      <xdr:colOff>2429615</xdr:colOff>
      <xdr:row>269</xdr:row>
      <xdr:rowOff>78706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5061953"/>
          <a:ext cx="2861704" cy="1299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274</xdr:row>
      <xdr:rowOff>5566</xdr:rowOff>
    </xdr:from>
    <xdr:to>
      <xdr:col>1</xdr:col>
      <xdr:colOff>571500</xdr:colOff>
      <xdr:row>278</xdr:row>
      <xdr:rowOff>87829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7288916"/>
          <a:ext cx="1038225" cy="882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338</xdr:row>
      <xdr:rowOff>81642</xdr:rowOff>
    </xdr:from>
    <xdr:to>
      <xdr:col>9</xdr:col>
      <xdr:colOff>663555</xdr:colOff>
      <xdr:row>400</xdr:row>
      <xdr:rowOff>81643</xdr:rowOff>
    </xdr:to>
    <xdr:grpSp>
      <xdr:nvGrpSpPr>
        <xdr:cNvPr id="18" name="Group 17"/>
        <xdr:cNvGrpSpPr/>
      </xdr:nvGrpSpPr>
      <xdr:grpSpPr>
        <a:xfrm>
          <a:off x="0" y="70719042"/>
          <a:ext cx="13338155" cy="12585701"/>
          <a:chOff x="22408" y="69215576"/>
          <a:chExt cx="13284180" cy="11811001"/>
        </a:xfrm>
      </xdr:grpSpPr>
      <xdr:pic>
        <xdr:nvPicPr>
          <xdr:cNvPr id="19" name="Picture 18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0" name="Line Callout 2 (No Border) 19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21" name="Line Callout 2 (No Border) 20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2" name="Line Callout 2 (No Border) 21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3" name="Line Callout 2 (No Border) 22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4" name="Line Callout 2 (No Border) 23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5" name="Line Callout 2 (No Border) 24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6" name="Line Callout 2 (No Border) 25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27" name="Line Callout 2 (No Border) 26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28" name="Line Callout 2 (No Border) 27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9" name="Line Callout 2 (No Border) 28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19</xdr:row>
      <xdr:rowOff>0</xdr:rowOff>
    </xdr:from>
    <xdr:to>
      <xdr:col>9</xdr:col>
      <xdr:colOff>639664</xdr:colOff>
      <xdr:row>99</xdr:row>
      <xdr:rowOff>84239</xdr:rowOff>
    </xdr:to>
    <xdr:grpSp>
      <xdr:nvGrpSpPr>
        <xdr:cNvPr id="30" name="Group 29"/>
        <xdr:cNvGrpSpPr/>
      </xdr:nvGrpSpPr>
      <xdr:grpSpPr>
        <a:xfrm>
          <a:off x="0" y="4191000"/>
          <a:ext cx="13314264" cy="15324239"/>
          <a:chOff x="27214" y="3349853"/>
          <a:chExt cx="13279216" cy="15558034"/>
        </a:xfrm>
      </xdr:grpSpPr>
      <xdr:pic>
        <xdr:nvPicPr>
          <xdr:cNvPr id="31" name="Picture 30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2" name="Line Callout 2 (No Border) 31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3" name="Line Callout 2 (No Border) 32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4" name="Line Callout 2 (No Border) 33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5" name="Line Callout 2 (No Border) 34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4" name="Line Callout 2 (No Border) 43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5" name="Line Callout 2 (No Border) 44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6" name="Rectangle 45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7" name="Rectangle 46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3" name="Rectangle 52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442</xdr:row>
      <xdr:rowOff>4079</xdr:rowOff>
    </xdr:from>
    <xdr:to>
      <xdr:col>9</xdr:col>
      <xdr:colOff>665511</xdr:colOff>
      <xdr:row>498</xdr:row>
      <xdr:rowOff>148017</xdr:rowOff>
    </xdr:to>
    <xdr:grpSp>
      <xdr:nvGrpSpPr>
        <xdr:cNvPr id="54" name="Group 53"/>
        <xdr:cNvGrpSpPr/>
      </xdr:nvGrpSpPr>
      <xdr:grpSpPr>
        <a:xfrm>
          <a:off x="0" y="92117179"/>
          <a:ext cx="13340111" cy="11485038"/>
          <a:chOff x="13607" y="89487375"/>
          <a:chExt cx="13314588" cy="11205473"/>
        </a:xfrm>
      </xdr:grpSpPr>
      <xdr:pic>
        <xdr:nvPicPr>
          <xdr:cNvPr id="55" name="Picture 54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6" name="Line Callout 2 (No Border) 55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1" name="Rectangle 60"/>
          <xdr:cNvSpPr>
            <a:spLocks/>
          </xdr:cNvSpPr>
        </xdr:nvSpPr>
        <xdr:spPr>
          <a:xfrm>
            <a:off x="3153422" y="96167781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Line Callout 2 (No Border) 61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6" name="Rectangle 65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7" name="Rectangle 66"/>
          <xdr:cNvSpPr>
            <a:spLocks/>
          </xdr:cNvSpPr>
        </xdr:nvSpPr>
        <xdr:spPr>
          <a:xfrm>
            <a:off x="8340391" y="93571540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8" name="Line Callout 2 (No Border) 67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320</xdr:row>
      <xdr:rowOff>190498</xdr:rowOff>
    </xdr:from>
    <xdr:to>
      <xdr:col>1</xdr:col>
      <xdr:colOff>1730993</xdr:colOff>
      <xdr:row>330</xdr:row>
      <xdr:rowOff>27811</xdr:rowOff>
    </xdr:to>
    <xdr:pic>
      <xdr:nvPicPr>
        <xdr:cNvPr id="70" name="Picture 6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7151248"/>
          <a:ext cx="2197718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294</xdr:row>
      <xdr:rowOff>54429</xdr:rowOff>
    </xdr:from>
    <xdr:to>
      <xdr:col>1</xdr:col>
      <xdr:colOff>2711358</xdr:colOff>
      <xdr:row>300</xdr:row>
      <xdr:rowOff>158764</xdr:rowOff>
    </xdr:to>
    <xdr:grpSp>
      <xdr:nvGrpSpPr>
        <xdr:cNvPr id="71" name="Group 70"/>
        <xdr:cNvGrpSpPr/>
      </xdr:nvGrpSpPr>
      <xdr:grpSpPr>
        <a:xfrm>
          <a:off x="0" y="61497029"/>
          <a:ext cx="3181258" cy="1323535"/>
          <a:chOff x="5" y="63408179"/>
          <a:chExt cx="3174001" cy="1328978"/>
        </a:xfrm>
      </xdr:grpSpPr>
      <xdr:pic>
        <xdr:nvPicPr>
          <xdr:cNvPr id="72" name="Picture 71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3" name="Rectangle 72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74" name="Rectangle 73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75" name="Rectangle 74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76" name="Picture 7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7" name="Picture 7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281</xdr:row>
      <xdr:rowOff>190501</xdr:rowOff>
    </xdr:from>
    <xdr:to>
      <xdr:col>1</xdr:col>
      <xdr:colOff>1944275</xdr:colOff>
      <xdr:row>289</xdr:row>
      <xdr:rowOff>14613</xdr:rowOff>
    </xdr:to>
    <xdr:pic>
      <xdr:nvPicPr>
        <xdr:cNvPr id="78" name="Picture 7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074051"/>
          <a:ext cx="2411000" cy="1424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136069</xdr:rowOff>
    </xdr:from>
    <xdr:to>
      <xdr:col>2</xdr:col>
      <xdr:colOff>1499386</xdr:colOff>
      <xdr:row>16</xdr:row>
      <xdr:rowOff>122465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1782533"/>
          <a:ext cx="4683457" cy="18913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427</xdr:row>
      <xdr:rowOff>136072</xdr:rowOff>
    </xdr:from>
    <xdr:to>
      <xdr:col>2</xdr:col>
      <xdr:colOff>2250729</xdr:colOff>
      <xdr:row>437</xdr:row>
      <xdr:rowOff>95250</xdr:rowOff>
    </xdr:to>
    <xdr:pic>
      <xdr:nvPicPr>
        <xdr:cNvPr id="81" name="Picture 80"/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3695" t="11584" r="2978" b="9146"/>
        <a:stretch/>
      </xdr:blipFill>
      <xdr:spPr>
        <a:xfrm>
          <a:off x="0" y="89671072"/>
          <a:ext cx="5434800" cy="186417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117</xdr:row>
      <xdr:rowOff>163285</xdr:rowOff>
    </xdr:from>
    <xdr:to>
      <xdr:col>2</xdr:col>
      <xdr:colOff>2136320</xdr:colOff>
      <xdr:row>127</xdr:row>
      <xdr:rowOff>136070</xdr:rowOff>
    </xdr:to>
    <xdr:grpSp>
      <xdr:nvGrpSpPr>
        <xdr:cNvPr id="104" name="Group 103"/>
        <xdr:cNvGrpSpPr/>
      </xdr:nvGrpSpPr>
      <xdr:grpSpPr>
        <a:xfrm>
          <a:off x="0" y="23569385"/>
          <a:ext cx="5324020" cy="1928585"/>
          <a:chOff x="0" y="23540356"/>
          <a:chExt cx="5320391" cy="1932214"/>
        </a:xfrm>
      </xdr:grpSpPr>
      <xdr:pic>
        <xdr:nvPicPr>
          <xdr:cNvPr id="80" name="Picture 79"/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0" y="23553962"/>
            <a:ext cx="4683457" cy="1891396"/>
          </a:xfrm>
          <a:prstGeom prst="rect">
            <a:avLst/>
          </a:prstGeom>
        </xdr:spPr>
      </xdr:pic>
      <xdr:cxnSp macro="">
        <xdr:nvCxnSpPr>
          <xdr:cNvPr id="84" name="Straight Connector 83"/>
          <xdr:cNvCxnSpPr/>
        </xdr:nvCxnSpPr>
        <xdr:spPr>
          <a:xfrm>
            <a:off x="4680856" y="23540356"/>
            <a:ext cx="625928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5" name="Straight Arrow Connector 84"/>
          <xdr:cNvCxnSpPr/>
        </xdr:nvCxnSpPr>
        <xdr:spPr>
          <a:xfrm>
            <a:off x="5238749" y="23553963"/>
            <a:ext cx="0" cy="1918607"/>
          </a:xfrm>
          <a:prstGeom prst="straightConnector1">
            <a:avLst/>
          </a:prstGeom>
          <a:ln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" name="Straight Connector 85"/>
          <xdr:cNvCxnSpPr/>
        </xdr:nvCxnSpPr>
        <xdr:spPr>
          <a:xfrm>
            <a:off x="4680856" y="25458964"/>
            <a:ext cx="625928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" name="Straight Connector 86"/>
          <xdr:cNvCxnSpPr/>
        </xdr:nvCxnSpPr>
        <xdr:spPr>
          <a:xfrm>
            <a:off x="4680856" y="24207106"/>
            <a:ext cx="285750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8" name="Straight Connector 87"/>
          <xdr:cNvCxnSpPr/>
        </xdr:nvCxnSpPr>
        <xdr:spPr>
          <a:xfrm>
            <a:off x="4680856" y="24833035"/>
            <a:ext cx="285750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9" name="Straight Arrow Connector 88"/>
          <xdr:cNvCxnSpPr/>
        </xdr:nvCxnSpPr>
        <xdr:spPr>
          <a:xfrm>
            <a:off x="4925785" y="24220713"/>
            <a:ext cx="0" cy="612322"/>
          </a:xfrm>
          <a:prstGeom prst="straightConnector1">
            <a:avLst/>
          </a:prstGeom>
          <a:ln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0" name="Straight Arrow Connector 89"/>
          <xdr:cNvCxnSpPr/>
        </xdr:nvCxnSpPr>
        <xdr:spPr>
          <a:xfrm>
            <a:off x="4925785" y="23758071"/>
            <a:ext cx="0" cy="421821"/>
          </a:xfrm>
          <a:prstGeom prst="straightConnector1">
            <a:avLst/>
          </a:prstGeom>
          <a:ln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" name="Straight Arrow Connector 90"/>
          <xdr:cNvCxnSpPr/>
        </xdr:nvCxnSpPr>
        <xdr:spPr>
          <a:xfrm>
            <a:off x="4925785" y="24846641"/>
            <a:ext cx="0" cy="421823"/>
          </a:xfrm>
          <a:prstGeom prst="straightConnector1">
            <a:avLst/>
          </a:prstGeom>
          <a:ln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2" name="Rectangle 91"/>
          <xdr:cNvSpPr/>
        </xdr:nvSpPr>
        <xdr:spPr>
          <a:xfrm rot="16200000">
            <a:off x="4626427" y="24846644"/>
            <a:ext cx="421821" cy="34017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400">
                <a:solidFill>
                  <a:sysClr val="windowText" lastClr="000000"/>
                </a:solidFill>
              </a:rPr>
              <a:t>P1</a:t>
            </a:r>
          </a:p>
        </xdr:txBody>
      </xdr:sp>
      <xdr:sp macro="" textlink="">
        <xdr:nvSpPr>
          <xdr:cNvPr id="93" name="Rectangle 92"/>
          <xdr:cNvSpPr/>
        </xdr:nvSpPr>
        <xdr:spPr>
          <a:xfrm rot="16200000">
            <a:off x="4626427" y="24343178"/>
            <a:ext cx="421821" cy="34017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400">
                <a:solidFill>
                  <a:sysClr val="windowText" lastClr="000000"/>
                </a:solidFill>
              </a:rPr>
              <a:t>P2</a:t>
            </a:r>
          </a:p>
        </xdr:txBody>
      </xdr:sp>
      <xdr:sp macro="" textlink="">
        <xdr:nvSpPr>
          <xdr:cNvPr id="94" name="Rectangle 93"/>
          <xdr:cNvSpPr/>
        </xdr:nvSpPr>
        <xdr:spPr>
          <a:xfrm rot="16200000">
            <a:off x="4626427" y="23771678"/>
            <a:ext cx="421821" cy="34017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400">
                <a:solidFill>
                  <a:sysClr val="windowText" lastClr="000000"/>
                </a:solidFill>
              </a:rPr>
              <a:t>P1</a:t>
            </a:r>
          </a:p>
        </xdr:txBody>
      </xdr:sp>
      <xdr:sp macro="" textlink="">
        <xdr:nvSpPr>
          <xdr:cNvPr id="95" name="Rectangle 94"/>
          <xdr:cNvSpPr/>
        </xdr:nvSpPr>
        <xdr:spPr>
          <a:xfrm rot="16200000">
            <a:off x="4939391" y="24343178"/>
            <a:ext cx="421821" cy="34017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400">
                <a:solidFill>
                  <a:sysClr val="windowText" lastClr="000000"/>
                </a:solidFill>
              </a:rPr>
              <a:t>H</a:t>
            </a:r>
          </a:p>
        </xdr:txBody>
      </xdr:sp>
      <xdr:cxnSp macro="">
        <xdr:nvCxnSpPr>
          <xdr:cNvPr id="98" name="Straight Connector 97"/>
          <xdr:cNvCxnSpPr/>
        </xdr:nvCxnSpPr>
        <xdr:spPr>
          <a:xfrm>
            <a:off x="4680856" y="23758070"/>
            <a:ext cx="285750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" name="Straight Connector 100"/>
          <xdr:cNvCxnSpPr/>
        </xdr:nvCxnSpPr>
        <xdr:spPr>
          <a:xfrm>
            <a:off x="4680856" y="25268463"/>
            <a:ext cx="285750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3</xdr:col>
      <xdr:colOff>471554</xdr:colOff>
      <xdr:row>218</xdr:row>
      <xdr:rowOff>140769</xdr:rowOff>
    </xdr:from>
    <xdr:to>
      <xdr:col>5</xdr:col>
      <xdr:colOff>1049859</xdr:colOff>
      <xdr:row>234</xdr:row>
      <xdr:rowOff>83752</xdr:rowOff>
    </xdr:to>
    <xdr:pic>
      <xdr:nvPicPr>
        <xdr:cNvPr id="105" name="Picture 10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484" t="15231" r="53991" b="35586"/>
        <a:stretch/>
      </xdr:blipFill>
      <xdr:spPr bwMode="auto">
        <a:xfrm>
          <a:off x="7737768" y="46432269"/>
          <a:ext cx="1476377" cy="3113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142856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42856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432</xdr:row>
      <xdr:rowOff>201705</xdr:rowOff>
    </xdr:from>
    <xdr:to>
      <xdr:col>9</xdr:col>
      <xdr:colOff>324970</xdr:colOff>
      <xdr:row>433</xdr:row>
      <xdr:rowOff>212911</xdr:rowOff>
    </xdr:to>
    <xdr:sp macro="" textlink="">
      <xdr:nvSpPr>
        <xdr:cNvPr id="5" name="Rectangle 4"/>
        <xdr:cNvSpPr/>
      </xdr:nvSpPr>
      <xdr:spPr>
        <a:xfrm>
          <a:off x="12711954" y="891366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163286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24767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</xdr:colOff>
      <xdr:row>207</xdr:row>
      <xdr:rowOff>149679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" y="4461782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314</xdr:row>
      <xdr:rowOff>136071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6713764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421</xdr:row>
      <xdr:rowOff>149679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9507786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0</xdr:colOff>
      <xdr:row>6</xdr:row>
      <xdr:rowOff>95250</xdr:rowOff>
    </xdr:from>
    <xdr:to>
      <xdr:col>2</xdr:col>
      <xdr:colOff>1482596</xdr:colOff>
      <xdr:row>16</xdr:row>
      <xdr:rowOff>104536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1714"/>
          <a:ext cx="4666667" cy="19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136071</xdr:rowOff>
    </xdr:from>
    <xdr:to>
      <xdr:col>2</xdr:col>
      <xdr:colOff>1482596</xdr:colOff>
      <xdr:row>127</xdr:row>
      <xdr:rowOff>163285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57428"/>
          <a:ext cx="4666667" cy="194582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</xdr:row>
      <xdr:rowOff>0</xdr:rowOff>
    </xdr:from>
    <xdr:to>
      <xdr:col>12</xdr:col>
      <xdr:colOff>408213</xdr:colOff>
      <xdr:row>5</xdr:row>
      <xdr:rowOff>54428</xdr:rowOff>
    </xdr:to>
    <xdr:sp macro="" textlink="">
      <xdr:nvSpPr>
        <xdr:cNvPr id="21" name="Left Arrow 20">
          <a:hlinkClick xmlns:r="http://schemas.openxmlformats.org/officeDocument/2006/relationships" r:id="rId3"/>
        </xdr:cNvPr>
        <xdr:cNvSpPr/>
      </xdr:nvSpPr>
      <xdr:spPr>
        <a:xfrm>
          <a:off x="14015357" y="544286"/>
          <a:ext cx="1020535" cy="843642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15718</xdr:colOff>
      <xdr:row>304</xdr:row>
      <xdr:rowOff>13804</xdr:rowOff>
    </xdr:from>
    <xdr:to>
      <xdr:col>1</xdr:col>
      <xdr:colOff>458615</xdr:colOff>
      <xdr:row>309</xdr:row>
      <xdr:rowOff>97365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15718" y="63374104"/>
          <a:ext cx="909622" cy="683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96372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5085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249</xdr:row>
      <xdr:rowOff>43532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8496</xdr:rowOff>
    </xdr:from>
    <xdr:to>
      <xdr:col>1</xdr:col>
      <xdr:colOff>777156</xdr:colOff>
      <xdr:row>258</xdr:row>
      <xdr:rowOff>179188</xdr:rowOff>
    </xdr:to>
    <xdr:pic>
      <xdr:nvPicPr>
        <xdr:cNvPr id="19" name="Picture 1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262</xdr:row>
      <xdr:rowOff>178903</xdr:rowOff>
    </xdr:from>
    <xdr:to>
      <xdr:col>1</xdr:col>
      <xdr:colOff>2429615</xdr:colOff>
      <xdr:row>269</xdr:row>
      <xdr:rowOff>78706</xdr:rowOff>
    </xdr:to>
    <xdr:pic>
      <xdr:nvPicPr>
        <xdr:cNvPr id="20" name="Picture 1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</xdr:row>
      <xdr:rowOff>5566</xdr:rowOff>
    </xdr:from>
    <xdr:to>
      <xdr:col>1</xdr:col>
      <xdr:colOff>571500</xdr:colOff>
      <xdr:row>277</xdr:row>
      <xdr:rowOff>87828</xdr:rowOff>
    </xdr:to>
    <xdr:pic>
      <xdr:nvPicPr>
        <xdr:cNvPr id="23" name="Picture 2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338</xdr:row>
      <xdr:rowOff>68036</xdr:rowOff>
    </xdr:from>
    <xdr:to>
      <xdr:col>9</xdr:col>
      <xdr:colOff>663555</xdr:colOff>
      <xdr:row>400</xdr:row>
      <xdr:rowOff>68037</xdr:rowOff>
    </xdr:to>
    <xdr:grpSp>
      <xdr:nvGrpSpPr>
        <xdr:cNvPr id="32" name="Group 31"/>
        <xdr:cNvGrpSpPr/>
      </xdr:nvGrpSpPr>
      <xdr:grpSpPr>
        <a:xfrm>
          <a:off x="0" y="71022936"/>
          <a:ext cx="13338155" cy="12585701"/>
          <a:chOff x="22408" y="69215576"/>
          <a:chExt cx="13284180" cy="11811001"/>
        </a:xfrm>
      </xdr:grpSpPr>
      <xdr:pic>
        <xdr:nvPicPr>
          <xdr:cNvPr id="33" name="Picture 3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4" name="Line Callout 2 (No Border) 33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5" name="Line Callout 2 (No Border) 34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21</xdr:row>
      <xdr:rowOff>95250</xdr:rowOff>
    </xdr:from>
    <xdr:to>
      <xdr:col>9</xdr:col>
      <xdr:colOff>639664</xdr:colOff>
      <xdr:row>101</xdr:row>
      <xdr:rowOff>179489</xdr:rowOff>
    </xdr:to>
    <xdr:grpSp>
      <xdr:nvGrpSpPr>
        <xdr:cNvPr id="44" name="Group 43"/>
        <xdr:cNvGrpSpPr/>
      </xdr:nvGrpSpPr>
      <xdr:grpSpPr>
        <a:xfrm>
          <a:off x="0" y="4667250"/>
          <a:ext cx="13314264" cy="15324239"/>
          <a:chOff x="27214" y="3349853"/>
          <a:chExt cx="13279216" cy="15558034"/>
        </a:xfrm>
      </xdr:grpSpPr>
      <xdr:pic>
        <xdr:nvPicPr>
          <xdr:cNvPr id="45" name="Picture 44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6" name="Line Callout 2 (No Border) 45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7" name="Line Callout 2 (No Border) 46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6851924" y="15902868"/>
            <a:ext cx="2150214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0" name="Rectangle 59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1" name="Rectangle 60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Line Callout 2 (No Border) 61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7" name="Rectangle 66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446</xdr:row>
      <xdr:rowOff>0</xdr:rowOff>
    </xdr:from>
    <xdr:to>
      <xdr:col>9</xdr:col>
      <xdr:colOff>665511</xdr:colOff>
      <xdr:row>503</xdr:row>
      <xdr:rowOff>79984</xdr:rowOff>
    </xdr:to>
    <xdr:grpSp>
      <xdr:nvGrpSpPr>
        <xdr:cNvPr id="68" name="Group 67"/>
        <xdr:cNvGrpSpPr/>
      </xdr:nvGrpSpPr>
      <xdr:grpSpPr>
        <a:xfrm>
          <a:off x="0" y="93230700"/>
          <a:ext cx="13340111" cy="11395684"/>
          <a:chOff x="13607" y="89487375"/>
          <a:chExt cx="13314588" cy="11205473"/>
        </a:xfrm>
      </xdr:grpSpPr>
      <xdr:pic>
        <xdr:nvPicPr>
          <xdr:cNvPr id="69" name="Picture 68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0" name="Line Callout 2 (No Border) 69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1" name="Line Callout 2 (No Border) 70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122964"/>
              <a:gd name="adj6" fmla="val 14466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5" name="Rectangle 74"/>
          <xdr:cNvSpPr>
            <a:spLocks/>
          </xdr:cNvSpPr>
        </xdr:nvSpPr>
        <xdr:spPr>
          <a:xfrm>
            <a:off x="3153422" y="96167781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6" name="Line Callout 2 (No Border) 75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9" name="Line Callout 2 (No Border) 78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0" name="Rectangle 79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1" name="Rectangle 80"/>
          <xdr:cNvSpPr>
            <a:spLocks/>
          </xdr:cNvSpPr>
        </xdr:nvSpPr>
        <xdr:spPr>
          <a:xfrm>
            <a:off x="8340391" y="93545045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Line Callout 2 (No Border) 81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427</xdr:row>
      <xdr:rowOff>117108</xdr:rowOff>
    </xdr:from>
    <xdr:to>
      <xdr:col>2</xdr:col>
      <xdr:colOff>2490108</xdr:colOff>
      <xdr:row>437</xdr:row>
      <xdr:rowOff>95250</xdr:rowOff>
    </xdr:to>
    <xdr:pic>
      <xdr:nvPicPr>
        <xdr:cNvPr id="83" name="Picture 8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301" t="13195" r="3484" b="10842"/>
        <a:stretch/>
      </xdr:blipFill>
      <xdr:spPr>
        <a:xfrm>
          <a:off x="0" y="91148894"/>
          <a:ext cx="5674179" cy="18831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320</xdr:row>
      <xdr:rowOff>190498</xdr:rowOff>
    </xdr:from>
    <xdr:to>
      <xdr:col>1</xdr:col>
      <xdr:colOff>1730993</xdr:colOff>
      <xdr:row>330</xdr:row>
      <xdr:rowOff>27811</xdr:rowOff>
    </xdr:to>
    <xdr:pic>
      <xdr:nvPicPr>
        <xdr:cNvPr id="91" name="Picture 9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8702462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292</xdr:row>
      <xdr:rowOff>190500</xdr:rowOff>
    </xdr:from>
    <xdr:to>
      <xdr:col>1</xdr:col>
      <xdr:colOff>2711358</xdr:colOff>
      <xdr:row>299</xdr:row>
      <xdr:rowOff>90728</xdr:rowOff>
    </xdr:to>
    <xdr:grpSp>
      <xdr:nvGrpSpPr>
        <xdr:cNvPr id="92" name="Group 91"/>
        <xdr:cNvGrpSpPr/>
      </xdr:nvGrpSpPr>
      <xdr:grpSpPr>
        <a:xfrm>
          <a:off x="0" y="61417200"/>
          <a:ext cx="3181258" cy="1322628"/>
          <a:chOff x="5" y="63408179"/>
          <a:chExt cx="3174001" cy="1328978"/>
        </a:xfrm>
      </xdr:grpSpPr>
      <xdr:pic>
        <xdr:nvPicPr>
          <xdr:cNvPr id="93" name="Picture 9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4" name="Rectangle 93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5" name="Rectangle 94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6" name="Rectangle 95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97" name="Picture 9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8" name="Picture 9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281</xdr:row>
      <xdr:rowOff>176894</xdr:rowOff>
    </xdr:from>
    <xdr:to>
      <xdr:col>1</xdr:col>
      <xdr:colOff>1944275</xdr:colOff>
      <xdr:row>289</xdr:row>
      <xdr:rowOff>1006</xdr:rowOff>
    </xdr:to>
    <xdr:pic>
      <xdr:nvPicPr>
        <xdr:cNvPr id="84" name="Picture 8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259108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6784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6870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431</xdr:row>
      <xdr:rowOff>201705</xdr:rowOff>
    </xdr:from>
    <xdr:to>
      <xdr:col>9</xdr:col>
      <xdr:colOff>324970</xdr:colOff>
      <xdr:row>432</xdr:row>
      <xdr:rowOff>212911</xdr:rowOff>
    </xdr:to>
    <xdr:sp macro="" textlink="">
      <xdr:nvSpPr>
        <xdr:cNvPr id="5" name="Rectangle 4"/>
        <xdr:cNvSpPr/>
      </xdr:nvSpPr>
      <xdr:spPr>
        <a:xfrm>
          <a:off x="12711954" y="891366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163286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24767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</xdr:colOff>
      <xdr:row>206</xdr:row>
      <xdr:rowOff>149679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" y="44549786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314</xdr:row>
      <xdr:rowOff>1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6709682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420</xdr:row>
      <xdr:rowOff>149679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9439750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0</xdr:colOff>
      <xdr:row>117</xdr:row>
      <xdr:rowOff>136070</xdr:rowOff>
    </xdr:from>
    <xdr:to>
      <xdr:col>2</xdr:col>
      <xdr:colOff>1530215</xdr:colOff>
      <xdr:row>127</xdr:row>
      <xdr:rowOff>122464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57427"/>
          <a:ext cx="4714286" cy="19050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122462</xdr:rowOff>
    </xdr:from>
    <xdr:to>
      <xdr:col>2</xdr:col>
      <xdr:colOff>1530215</xdr:colOff>
      <xdr:row>16</xdr:row>
      <xdr:rowOff>131748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8926"/>
          <a:ext cx="4714286" cy="1914286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</xdr:row>
      <xdr:rowOff>0</xdr:rowOff>
    </xdr:from>
    <xdr:to>
      <xdr:col>12</xdr:col>
      <xdr:colOff>408213</xdr:colOff>
      <xdr:row>5</xdr:row>
      <xdr:rowOff>54428</xdr:rowOff>
    </xdr:to>
    <xdr:sp macro="" textlink="">
      <xdr:nvSpPr>
        <xdr:cNvPr id="21" name="Left Arrow 20">
          <a:hlinkClick xmlns:r="http://schemas.openxmlformats.org/officeDocument/2006/relationships" r:id="rId3"/>
        </xdr:cNvPr>
        <xdr:cNvSpPr/>
      </xdr:nvSpPr>
      <xdr:spPr>
        <a:xfrm>
          <a:off x="14015357" y="544286"/>
          <a:ext cx="1020535" cy="843642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78441</xdr:colOff>
      <xdr:row>217</xdr:row>
      <xdr:rowOff>159982</xdr:rowOff>
    </xdr:from>
    <xdr:to>
      <xdr:col>1</xdr:col>
      <xdr:colOff>2409264</xdr:colOff>
      <xdr:row>226</xdr:row>
      <xdr:rowOff>109073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5085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243</xdr:row>
      <xdr:rowOff>20401</xdr:rowOff>
    </xdr:from>
    <xdr:to>
      <xdr:col>1</xdr:col>
      <xdr:colOff>2462267</xdr:colOff>
      <xdr:row>250</xdr:row>
      <xdr:rowOff>43532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</xdr:row>
      <xdr:rowOff>8496</xdr:rowOff>
    </xdr:from>
    <xdr:to>
      <xdr:col>1</xdr:col>
      <xdr:colOff>777156</xdr:colOff>
      <xdr:row>260</xdr:row>
      <xdr:rowOff>179188</xdr:rowOff>
    </xdr:to>
    <xdr:pic>
      <xdr:nvPicPr>
        <xdr:cNvPr id="19" name="Picture 1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265</xdr:row>
      <xdr:rowOff>178903</xdr:rowOff>
    </xdr:from>
    <xdr:to>
      <xdr:col>1</xdr:col>
      <xdr:colOff>2429615</xdr:colOff>
      <xdr:row>272</xdr:row>
      <xdr:rowOff>78706</xdr:rowOff>
    </xdr:to>
    <xdr:pic>
      <xdr:nvPicPr>
        <xdr:cNvPr id="20" name="Picture 1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277</xdr:row>
      <xdr:rowOff>5566</xdr:rowOff>
    </xdr:from>
    <xdr:to>
      <xdr:col>1</xdr:col>
      <xdr:colOff>571500</xdr:colOff>
      <xdr:row>281</xdr:row>
      <xdr:rowOff>87828</xdr:rowOff>
    </xdr:to>
    <xdr:pic>
      <xdr:nvPicPr>
        <xdr:cNvPr id="23" name="Picture 2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338</xdr:row>
      <xdr:rowOff>81643</xdr:rowOff>
    </xdr:from>
    <xdr:to>
      <xdr:col>9</xdr:col>
      <xdr:colOff>663555</xdr:colOff>
      <xdr:row>400</xdr:row>
      <xdr:rowOff>81644</xdr:rowOff>
    </xdr:to>
    <xdr:grpSp>
      <xdr:nvGrpSpPr>
        <xdr:cNvPr id="32" name="Group 31"/>
        <xdr:cNvGrpSpPr/>
      </xdr:nvGrpSpPr>
      <xdr:grpSpPr>
        <a:xfrm>
          <a:off x="0" y="71036543"/>
          <a:ext cx="13338155" cy="12585701"/>
          <a:chOff x="22408" y="69215576"/>
          <a:chExt cx="13284180" cy="11811001"/>
        </a:xfrm>
      </xdr:grpSpPr>
      <xdr:pic>
        <xdr:nvPicPr>
          <xdr:cNvPr id="33" name="Picture 3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4" name="Line Callout 2 (No Border) 33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5" name="Line Callout 2 (No Border) 34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22</xdr:row>
      <xdr:rowOff>95250</xdr:rowOff>
    </xdr:from>
    <xdr:to>
      <xdr:col>9</xdr:col>
      <xdr:colOff>639664</xdr:colOff>
      <xdr:row>102</xdr:row>
      <xdr:rowOff>179489</xdr:rowOff>
    </xdr:to>
    <xdr:grpSp>
      <xdr:nvGrpSpPr>
        <xdr:cNvPr id="44" name="Group 43"/>
        <xdr:cNvGrpSpPr/>
      </xdr:nvGrpSpPr>
      <xdr:grpSpPr>
        <a:xfrm>
          <a:off x="0" y="4857750"/>
          <a:ext cx="13314264" cy="15324239"/>
          <a:chOff x="27214" y="3349853"/>
          <a:chExt cx="13279216" cy="15558034"/>
        </a:xfrm>
      </xdr:grpSpPr>
      <xdr:pic>
        <xdr:nvPicPr>
          <xdr:cNvPr id="45" name="Picture 44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6" name="Line Callout 2 (No Border) 45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7" name="Line Callout 2 (No Border) 46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0" name="Rectangle 59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1" name="Rectangle 60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Line Callout 2 (No Border) 61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7" name="Rectangle 66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443</xdr:row>
      <xdr:rowOff>122464</xdr:rowOff>
    </xdr:from>
    <xdr:to>
      <xdr:col>9</xdr:col>
      <xdr:colOff>665511</xdr:colOff>
      <xdr:row>501</xdr:row>
      <xdr:rowOff>66378</xdr:rowOff>
    </xdr:to>
    <xdr:grpSp>
      <xdr:nvGrpSpPr>
        <xdr:cNvPr id="68" name="Group 67"/>
        <xdr:cNvGrpSpPr/>
      </xdr:nvGrpSpPr>
      <xdr:grpSpPr>
        <a:xfrm>
          <a:off x="0" y="92756264"/>
          <a:ext cx="13340111" cy="11450114"/>
          <a:chOff x="13607" y="89487375"/>
          <a:chExt cx="13314588" cy="11205473"/>
        </a:xfrm>
      </xdr:grpSpPr>
      <xdr:pic>
        <xdr:nvPicPr>
          <xdr:cNvPr id="69" name="Picture 68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0" name="Line Callout 2 (No Border) 69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1" name="Line Callout 2 (No Border) 70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5" name="Rectangle 74"/>
          <xdr:cNvSpPr>
            <a:spLocks/>
          </xdr:cNvSpPr>
        </xdr:nvSpPr>
        <xdr:spPr>
          <a:xfrm>
            <a:off x="3153422" y="96181029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6" name="Line Callout 2 (No Border) 75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9" name="Line Callout 2 (No Border) 78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0" name="Rectangle 79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1" name="Rectangle 80"/>
          <xdr:cNvSpPr>
            <a:spLocks/>
          </xdr:cNvSpPr>
        </xdr:nvSpPr>
        <xdr:spPr>
          <a:xfrm>
            <a:off x="8340391" y="93624528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Line Callout 2 (No Border) 81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426</xdr:row>
      <xdr:rowOff>179017</xdr:rowOff>
    </xdr:from>
    <xdr:to>
      <xdr:col>2</xdr:col>
      <xdr:colOff>2422073</xdr:colOff>
      <xdr:row>436</xdr:row>
      <xdr:rowOff>40821</xdr:rowOff>
    </xdr:to>
    <xdr:pic>
      <xdr:nvPicPr>
        <xdr:cNvPr id="83" name="Picture 8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286" t="12783" r="3625" b="10517"/>
        <a:stretch/>
      </xdr:blipFill>
      <xdr:spPr>
        <a:xfrm>
          <a:off x="0" y="91142767"/>
          <a:ext cx="5606144" cy="17668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320</xdr:row>
      <xdr:rowOff>0</xdr:rowOff>
    </xdr:from>
    <xdr:to>
      <xdr:col>1</xdr:col>
      <xdr:colOff>1730993</xdr:colOff>
      <xdr:row>329</xdr:row>
      <xdr:rowOff>27813</xdr:rowOff>
    </xdr:to>
    <xdr:pic>
      <xdr:nvPicPr>
        <xdr:cNvPr id="91" name="Picture 9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8865750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300</xdr:row>
      <xdr:rowOff>13608</xdr:rowOff>
    </xdr:from>
    <xdr:to>
      <xdr:col>1</xdr:col>
      <xdr:colOff>2711358</xdr:colOff>
      <xdr:row>306</xdr:row>
      <xdr:rowOff>117943</xdr:rowOff>
    </xdr:to>
    <xdr:grpSp>
      <xdr:nvGrpSpPr>
        <xdr:cNvPr id="92" name="Group 91"/>
        <xdr:cNvGrpSpPr/>
      </xdr:nvGrpSpPr>
      <xdr:grpSpPr>
        <a:xfrm>
          <a:off x="0" y="62942108"/>
          <a:ext cx="3181258" cy="1323535"/>
          <a:chOff x="5" y="63408179"/>
          <a:chExt cx="3174001" cy="1328978"/>
        </a:xfrm>
      </xdr:grpSpPr>
      <xdr:pic>
        <xdr:nvPicPr>
          <xdr:cNvPr id="93" name="Picture 9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4" name="Rectangle 93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5" name="Rectangle 94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6" name="Rectangle 95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97" name="Picture 9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8" name="Picture 9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287</xdr:row>
      <xdr:rowOff>0</xdr:rowOff>
    </xdr:from>
    <xdr:to>
      <xdr:col>1</xdr:col>
      <xdr:colOff>1944275</xdr:colOff>
      <xdr:row>294</xdr:row>
      <xdr:rowOff>28219</xdr:rowOff>
    </xdr:to>
    <xdr:pic>
      <xdr:nvPicPr>
        <xdr:cNvPr id="84" name="Picture 8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60442929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142856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42856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431</xdr:row>
      <xdr:rowOff>201705</xdr:rowOff>
    </xdr:from>
    <xdr:to>
      <xdr:col>9</xdr:col>
      <xdr:colOff>324970</xdr:colOff>
      <xdr:row>432</xdr:row>
      <xdr:rowOff>212911</xdr:rowOff>
    </xdr:to>
    <xdr:sp macro="" textlink="">
      <xdr:nvSpPr>
        <xdr:cNvPr id="5" name="Rectangle 4"/>
        <xdr:cNvSpPr/>
      </xdr:nvSpPr>
      <xdr:spPr>
        <a:xfrm>
          <a:off x="12711954" y="891366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149679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23407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</xdr:colOff>
      <xdr:row>206</xdr:row>
      <xdr:rowOff>149679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" y="4461782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313</xdr:row>
      <xdr:rowOff>149677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65259856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420</xdr:row>
      <xdr:rowOff>149678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6623071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0</xdr:colOff>
      <xdr:row>6</xdr:row>
      <xdr:rowOff>108856</xdr:rowOff>
    </xdr:from>
    <xdr:to>
      <xdr:col>2</xdr:col>
      <xdr:colOff>1578839</xdr:colOff>
      <xdr:row>16</xdr:row>
      <xdr:rowOff>136071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5320"/>
          <a:ext cx="4762910" cy="19322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136070</xdr:rowOff>
    </xdr:from>
    <xdr:to>
      <xdr:col>2</xdr:col>
      <xdr:colOff>1578839</xdr:colOff>
      <xdr:row>127</xdr:row>
      <xdr:rowOff>163285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57427"/>
          <a:ext cx="4762910" cy="1945823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</xdr:row>
      <xdr:rowOff>0</xdr:rowOff>
    </xdr:from>
    <xdr:to>
      <xdr:col>12</xdr:col>
      <xdr:colOff>408213</xdr:colOff>
      <xdr:row>5</xdr:row>
      <xdr:rowOff>54428</xdr:rowOff>
    </xdr:to>
    <xdr:sp macro="" textlink="">
      <xdr:nvSpPr>
        <xdr:cNvPr id="21" name="Left Arrow 20">
          <a:hlinkClick xmlns:r="http://schemas.openxmlformats.org/officeDocument/2006/relationships" r:id="rId3"/>
        </xdr:cNvPr>
        <xdr:cNvSpPr/>
      </xdr:nvSpPr>
      <xdr:spPr>
        <a:xfrm>
          <a:off x="14015357" y="544286"/>
          <a:ext cx="1020535" cy="843642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78441</xdr:colOff>
      <xdr:row>217</xdr:row>
      <xdr:rowOff>159982</xdr:rowOff>
    </xdr:from>
    <xdr:to>
      <xdr:col>1</xdr:col>
      <xdr:colOff>2409264</xdr:colOff>
      <xdr:row>226</xdr:row>
      <xdr:rowOff>109073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231</xdr:row>
      <xdr:rowOff>17426</xdr:rowOff>
    </xdr:from>
    <xdr:to>
      <xdr:col>1</xdr:col>
      <xdr:colOff>707572</xdr:colOff>
      <xdr:row>237</xdr:row>
      <xdr:rowOff>5085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241</xdr:row>
      <xdr:rowOff>20401</xdr:rowOff>
    </xdr:from>
    <xdr:to>
      <xdr:col>1</xdr:col>
      <xdr:colOff>2462267</xdr:colOff>
      <xdr:row>248</xdr:row>
      <xdr:rowOff>43532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252</xdr:row>
      <xdr:rowOff>8496</xdr:rowOff>
    </xdr:from>
    <xdr:to>
      <xdr:col>1</xdr:col>
      <xdr:colOff>777156</xdr:colOff>
      <xdr:row>257</xdr:row>
      <xdr:rowOff>179189</xdr:rowOff>
    </xdr:to>
    <xdr:pic>
      <xdr:nvPicPr>
        <xdr:cNvPr id="19" name="Picture 1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261</xdr:row>
      <xdr:rowOff>178903</xdr:rowOff>
    </xdr:from>
    <xdr:to>
      <xdr:col>1</xdr:col>
      <xdr:colOff>2429615</xdr:colOff>
      <xdr:row>268</xdr:row>
      <xdr:rowOff>78706</xdr:rowOff>
    </xdr:to>
    <xdr:pic>
      <xdr:nvPicPr>
        <xdr:cNvPr id="20" name="Picture 1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</xdr:row>
      <xdr:rowOff>5566</xdr:rowOff>
    </xdr:from>
    <xdr:to>
      <xdr:col>1</xdr:col>
      <xdr:colOff>571500</xdr:colOff>
      <xdr:row>277</xdr:row>
      <xdr:rowOff>87829</xdr:rowOff>
    </xdr:to>
    <xdr:pic>
      <xdr:nvPicPr>
        <xdr:cNvPr id="22" name="Picture 2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340</xdr:row>
      <xdr:rowOff>40822</xdr:rowOff>
    </xdr:from>
    <xdr:to>
      <xdr:col>9</xdr:col>
      <xdr:colOff>663555</xdr:colOff>
      <xdr:row>402</xdr:row>
      <xdr:rowOff>40823</xdr:rowOff>
    </xdr:to>
    <xdr:grpSp>
      <xdr:nvGrpSpPr>
        <xdr:cNvPr id="32" name="Group 31"/>
        <xdr:cNvGrpSpPr/>
      </xdr:nvGrpSpPr>
      <xdr:grpSpPr>
        <a:xfrm>
          <a:off x="0" y="71376722"/>
          <a:ext cx="13338155" cy="12585701"/>
          <a:chOff x="22408" y="69215576"/>
          <a:chExt cx="13284180" cy="11811001"/>
        </a:xfrm>
      </xdr:grpSpPr>
      <xdr:pic>
        <xdr:nvPicPr>
          <xdr:cNvPr id="33" name="Picture 3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4" name="Line Callout 2 (No Border) 33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5" name="Line Callout 2 (No Border) 34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21</xdr:row>
      <xdr:rowOff>54427</xdr:rowOff>
    </xdr:from>
    <xdr:to>
      <xdr:col>9</xdr:col>
      <xdr:colOff>639664</xdr:colOff>
      <xdr:row>101</xdr:row>
      <xdr:rowOff>138666</xdr:rowOff>
    </xdr:to>
    <xdr:grpSp>
      <xdr:nvGrpSpPr>
        <xdr:cNvPr id="44" name="Group 43"/>
        <xdr:cNvGrpSpPr/>
      </xdr:nvGrpSpPr>
      <xdr:grpSpPr>
        <a:xfrm>
          <a:off x="0" y="4626427"/>
          <a:ext cx="13314264" cy="15324239"/>
          <a:chOff x="27214" y="3349853"/>
          <a:chExt cx="13279216" cy="15558034"/>
        </a:xfrm>
      </xdr:grpSpPr>
      <xdr:pic>
        <xdr:nvPicPr>
          <xdr:cNvPr id="45" name="Picture 44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6" name="Line Callout 2 (No Border) 45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7" name="Line Callout 2 (No Border) 46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pPr algn="ct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0" name="Rectangle 59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1" name="Rectangle 60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Line Callout 2 (No Border) 61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7" name="Rectangle 66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445</xdr:row>
      <xdr:rowOff>149678</xdr:rowOff>
    </xdr:from>
    <xdr:to>
      <xdr:col>9</xdr:col>
      <xdr:colOff>665511</xdr:colOff>
      <xdr:row>501</xdr:row>
      <xdr:rowOff>93592</xdr:rowOff>
    </xdr:to>
    <xdr:grpSp>
      <xdr:nvGrpSpPr>
        <xdr:cNvPr id="68" name="Group 67"/>
        <xdr:cNvGrpSpPr/>
      </xdr:nvGrpSpPr>
      <xdr:grpSpPr>
        <a:xfrm>
          <a:off x="0" y="93164478"/>
          <a:ext cx="13340111" cy="11043714"/>
          <a:chOff x="13607" y="89487375"/>
          <a:chExt cx="13314588" cy="11205473"/>
        </a:xfrm>
      </xdr:grpSpPr>
      <xdr:pic>
        <xdr:nvPicPr>
          <xdr:cNvPr id="69" name="Picture 68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0" name="Line Callout 2 (No Border) 69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1" name="Line Callout 2 (No Border) 70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21411"/>
              <a:gd name="adj6" fmla="val 114393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113225"/>
              <a:gd name="adj6" fmla="val 14198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5" name="Rectangle 74"/>
          <xdr:cNvSpPr>
            <a:spLocks/>
          </xdr:cNvSpPr>
        </xdr:nvSpPr>
        <xdr:spPr>
          <a:xfrm>
            <a:off x="3153422" y="96207522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6" name="Line Callout 2 (No Border) 75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9" name="Line Callout 2 (No Border) 78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0" name="Rectangle 79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1" name="Rectangle 80"/>
          <xdr:cNvSpPr>
            <a:spLocks/>
          </xdr:cNvSpPr>
        </xdr:nvSpPr>
        <xdr:spPr>
          <a:xfrm>
            <a:off x="8340391" y="93558293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Line Callout 2 (No Border) 81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426</xdr:row>
      <xdr:rowOff>133503</xdr:rowOff>
    </xdr:from>
    <xdr:to>
      <xdr:col>2</xdr:col>
      <xdr:colOff>2449286</xdr:colOff>
      <xdr:row>436</xdr:row>
      <xdr:rowOff>54429</xdr:rowOff>
    </xdr:to>
    <xdr:pic>
      <xdr:nvPicPr>
        <xdr:cNvPr id="83" name="Picture 8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445" t="12893" r="3300" b="10377"/>
        <a:stretch/>
      </xdr:blipFill>
      <xdr:spPr>
        <a:xfrm>
          <a:off x="0" y="88280574"/>
          <a:ext cx="5633357" cy="18259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319</xdr:row>
      <xdr:rowOff>190498</xdr:rowOff>
    </xdr:from>
    <xdr:to>
      <xdr:col>1</xdr:col>
      <xdr:colOff>1730993</xdr:colOff>
      <xdr:row>329</xdr:row>
      <xdr:rowOff>27811</xdr:rowOff>
    </xdr:to>
    <xdr:pic>
      <xdr:nvPicPr>
        <xdr:cNvPr id="91" name="Picture 9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8865748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294</xdr:row>
      <xdr:rowOff>190500</xdr:rowOff>
    </xdr:from>
    <xdr:to>
      <xdr:col>1</xdr:col>
      <xdr:colOff>2711358</xdr:colOff>
      <xdr:row>301</xdr:row>
      <xdr:rowOff>90728</xdr:rowOff>
    </xdr:to>
    <xdr:grpSp>
      <xdr:nvGrpSpPr>
        <xdr:cNvPr id="92" name="Group 91"/>
        <xdr:cNvGrpSpPr/>
      </xdr:nvGrpSpPr>
      <xdr:grpSpPr>
        <a:xfrm>
          <a:off x="0" y="61899800"/>
          <a:ext cx="3181258" cy="1322628"/>
          <a:chOff x="5" y="63408179"/>
          <a:chExt cx="3174001" cy="1328978"/>
        </a:xfrm>
      </xdr:grpSpPr>
      <xdr:pic>
        <xdr:nvPicPr>
          <xdr:cNvPr id="93" name="Picture 9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4" name="Rectangle 93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5" name="Rectangle 94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6" name="Rectangle 95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97" name="Picture 9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8" name="Picture 9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282</xdr:row>
      <xdr:rowOff>204106</xdr:rowOff>
    </xdr:from>
    <xdr:to>
      <xdr:col>1</xdr:col>
      <xdr:colOff>1944275</xdr:colOff>
      <xdr:row>290</xdr:row>
      <xdr:rowOff>28218</xdr:rowOff>
    </xdr:to>
    <xdr:pic>
      <xdr:nvPicPr>
        <xdr:cNvPr id="84" name="Picture 8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626499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142853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42853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432</xdr:row>
      <xdr:rowOff>201705</xdr:rowOff>
    </xdr:from>
    <xdr:to>
      <xdr:col>9</xdr:col>
      <xdr:colOff>324970</xdr:colOff>
      <xdr:row>433</xdr:row>
      <xdr:rowOff>212911</xdr:rowOff>
    </xdr:to>
    <xdr:sp macro="" textlink="">
      <xdr:nvSpPr>
        <xdr:cNvPr id="5" name="Rectangle 4"/>
        <xdr:cNvSpPr/>
      </xdr:nvSpPr>
      <xdr:spPr>
        <a:xfrm>
          <a:off x="12711954" y="891366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163286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24767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</xdr:colOff>
      <xdr:row>208</xdr:row>
      <xdr:rowOff>0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" y="4444092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314</xdr:row>
      <xdr:rowOff>149679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66960750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421</xdr:row>
      <xdr:rowOff>136072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930367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190498</xdr:colOff>
      <xdr:row>2</xdr:row>
      <xdr:rowOff>0</xdr:rowOff>
    </xdr:from>
    <xdr:to>
      <xdr:col>12</xdr:col>
      <xdr:colOff>598711</xdr:colOff>
      <xdr:row>5</xdr:row>
      <xdr:rowOff>54428</xdr:rowOff>
    </xdr:to>
    <xdr:sp macro="" textlink="">
      <xdr:nvSpPr>
        <xdr:cNvPr id="21" name="Left Arrow 20">
          <a:hlinkClick xmlns:r="http://schemas.openxmlformats.org/officeDocument/2006/relationships" r:id="rId2"/>
        </xdr:cNvPr>
        <xdr:cNvSpPr/>
      </xdr:nvSpPr>
      <xdr:spPr>
        <a:xfrm>
          <a:off x="14192248" y="542925"/>
          <a:ext cx="1017813" cy="845003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>
    <xdr:from>
      <xdr:col>0</xdr:col>
      <xdr:colOff>0</xdr:colOff>
      <xdr:row>6</xdr:row>
      <xdr:rowOff>134071</xdr:rowOff>
    </xdr:from>
    <xdr:to>
      <xdr:col>2</xdr:col>
      <xdr:colOff>2246058</xdr:colOff>
      <xdr:row>16</xdr:row>
      <xdr:rowOff>108857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80535"/>
          <a:ext cx="5430129" cy="1879786"/>
        </a:xfrm>
        <a:prstGeom prst="rect">
          <a:avLst/>
        </a:prstGeom>
      </xdr:spPr>
    </xdr:pic>
    <xdr:clientData/>
  </xdr:twoCellAnchor>
  <xdr:twoCellAnchor editAs="oneCell">
    <xdr:from>
      <xdr:col>0</xdr:col>
      <xdr:colOff>15718</xdr:colOff>
      <xdr:row>306</xdr:row>
      <xdr:rowOff>13804</xdr:rowOff>
    </xdr:from>
    <xdr:to>
      <xdr:col>1</xdr:col>
      <xdr:colOff>458615</xdr:colOff>
      <xdr:row>311</xdr:row>
      <xdr:rowOff>97365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15718" y="63374104"/>
          <a:ext cx="909622" cy="683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109073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5084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249</xdr:row>
      <xdr:rowOff>43533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254</xdr:row>
      <xdr:rowOff>8496</xdr:rowOff>
    </xdr:from>
    <xdr:to>
      <xdr:col>1</xdr:col>
      <xdr:colOff>777156</xdr:colOff>
      <xdr:row>259</xdr:row>
      <xdr:rowOff>179187</xdr:rowOff>
    </xdr:to>
    <xdr:pic>
      <xdr:nvPicPr>
        <xdr:cNvPr id="19" name="Picture 1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263</xdr:row>
      <xdr:rowOff>178903</xdr:rowOff>
    </xdr:from>
    <xdr:to>
      <xdr:col>1</xdr:col>
      <xdr:colOff>2429615</xdr:colOff>
      <xdr:row>270</xdr:row>
      <xdr:rowOff>78707</xdr:rowOff>
    </xdr:to>
    <xdr:pic>
      <xdr:nvPicPr>
        <xdr:cNvPr id="22" name="Picture 2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275</xdr:row>
      <xdr:rowOff>5566</xdr:rowOff>
    </xdr:from>
    <xdr:to>
      <xdr:col>1</xdr:col>
      <xdr:colOff>571500</xdr:colOff>
      <xdr:row>279</xdr:row>
      <xdr:rowOff>87830</xdr:rowOff>
    </xdr:to>
    <xdr:pic>
      <xdr:nvPicPr>
        <xdr:cNvPr id="23" name="Picture 2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341</xdr:row>
      <xdr:rowOff>13608</xdr:rowOff>
    </xdr:from>
    <xdr:to>
      <xdr:col>9</xdr:col>
      <xdr:colOff>663555</xdr:colOff>
      <xdr:row>403</xdr:row>
      <xdr:rowOff>13610</xdr:rowOff>
    </xdr:to>
    <xdr:grpSp>
      <xdr:nvGrpSpPr>
        <xdr:cNvPr id="32" name="Group 31"/>
        <xdr:cNvGrpSpPr/>
      </xdr:nvGrpSpPr>
      <xdr:grpSpPr>
        <a:xfrm>
          <a:off x="0" y="71489208"/>
          <a:ext cx="13249255" cy="12585702"/>
          <a:chOff x="22408" y="69215576"/>
          <a:chExt cx="13284180" cy="11811001"/>
        </a:xfrm>
      </xdr:grpSpPr>
      <xdr:pic>
        <xdr:nvPicPr>
          <xdr:cNvPr id="34" name="Picture 3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5" name="Line Callout 2 (No Border) 34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4" name="Line Callout 2 (No Border) 43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22</xdr:row>
      <xdr:rowOff>122464</xdr:rowOff>
    </xdr:from>
    <xdr:to>
      <xdr:col>9</xdr:col>
      <xdr:colOff>639664</xdr:colOff>
      <xdr:row>103</xdr:row>
      <xdr:rowOff>16203</xdr:rowOff>
    </xdr:to>
    <xdr:grpSp>
      <xdr:nvGrpSpPr>
        <xdr:cNvPr id="45" name="Group 44"/>
        <xdr:cNvGrpSpPr/>
      </xdr:nvGrpSpPr>
      <xdr:grpSpPr>
        <a:xfrm>
          <a:off x="0" y="4884964"/>
          <a:ext cx="13225364" cy="15324239"/>
          <a:chOff x="27214" y="3349853"/>
          <a:chExt cx="13279216" cy="15558034"/>
        </a:xfrm>
      </xdr:grpSpPr>
      <xdr:pic>
        <xdr:nvPicPr>
          <xdr:cNvPr id="46" name="Picture 4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7" name="Line Callout 2 (No Border) 46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3155172" y="18194853"/>
            <a:ext cx="1998514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pPr algn="ct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1" name="Rectangle 60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Rectangle 61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7" name="Line Callout 2 (No Border) 66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8" name="Rectangle 67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444</xdr:row>
      <xdr:rowOff>136072</xdr:rowOff>
    </xdr:from>
    <xdr:to>
      <xdr:col>9</xdr:col>
      <xdr:colOff>665511</xdr:colOff>
      <xdr:row>502</xdr:row>
      <xdr:rowOff>107200</xdr:rowOff>
    </xdr:to>
    <xdr:grpSp>
      <xdr:nvGrpSpPr>
        <xdr:cNvPr id="69" name="Group 68"/>
        <xdr:cNvGrpSpPr/>
      </xdr:nvGrpSpPr>
      <xdr:grpSpPr>
        <a:xfrm>
          <a:off x="0" y="93125472"/>
          <a:ext cx="13251211" cy="11477328"/>
          <a:chOff x="13607" y="89487375"/>
          <a:chExt cx="13314588" cy="11205473"/>
        </a:xfrm>
      </xdr:grpSpPr>
      <xdr:pic>
        <xdr:nvPicPr>
          <xdr:cNvPr id="70" name="Picture 69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1" name="Line Callout 2 (No Border) 70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5" name="Line Callout 2 (No Border) 74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6" name="Rectangle 75"/>
          <xdr:cNvSpPr>
            <a:spLocks/>
          </xdr:cNvSpPr>
        </xdr:nvSpPr>
        <xdr:spPr>
          <a:xfrm>
            <a:off x="3153422" y="96088298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9" name="Line Callout 2 (No Border) 78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0" name="Line Callout 2 (No Border) 79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1" name="Rectangle 80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Rectangle 81"/>
          <xdr:cNvSpPr>
            <a:spLocks/>
          </xdr:cNvSpPr>
        </xdr:nvSpPr>
        <xdr:spPr>
          <a:xfrm>
            <a:off x="8340391" y="93598034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3" name="Line Callout 2 (No Border) 82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320</xdr:row>
      <xdr:rowOff>190498</xdr:rowOff>
    </xdr:from>
    <xdr:to>
      <xdr:col>1</xdr:col>
      <xdr:colOff>1730993</xdr:colOff>
      <xdr:row>330</xdr:row>
      <xdr:rowOff>27811</xdr:rowOff>
    </xdr:to>
    <xdr:pic>
      <xdr:nvPicPr>
        <xdr:cNvPr id="92" name="Picture 9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8743284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40824</xdr:colOff>
      <xdr:row>296</xdr:row>
      <xdr:rowOff>40821</xdr:rowOff>
    </xdr:from>
    <xdr:to>
      <xdr:col>2</xdr:col>
      <xdr:colOff>30754</xdr:colOff>
      <xdr:row>302</xdr:row>
      <xdr:rowOff>145156</xdr:rowOff>
    </xdr:to>
    <xdr:grpSp>
      <xdr:nvGrpSpPr>
        <xdr:cNvPr id="93" name="Group 92"/>
        <xdr:cNvGrpSpPr/>
      </xdr:nvGrpSpPr>
      <xdr:grpSpPr>
        <a:xfrm>
          <a:off x="40824" y="62067621"/>
          <a:ext cx="3177630" cy="1323535"/>
          <a:chOff x="5" y="63408179"/>
          <a:chExt cx="3174001" cy="1328978"/>
        </a:xfrm>
      </xdr:grpSpPr>
      <xdr:pic>
        <xdr:nvPicPr>
          <xdr:cNvPr id="94" name="Picture 9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5" name="Rectangle 94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6" name="Rectangle 95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7" name="Rectangle 96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98" name="Picture 9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9" name="Picture 98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283</xdr:row>
      <xdr:rowOff>190500</xdr:rowOff>
    </xdr:from>
    <xdr:to>
      <xdr:col>1</xdr:col>
      <xdr:colOff>1944275</xdr:colOff>
      <xdr:row>291</xdr:row>
      <xdr:rowOff>14612</xdr:rowOff>
    </xdr:to>
    <xdr:pic>
      <xdr:nvPicPr>
        <xdr:cNvPr id="85" name="Picture 8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721750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117</xdr:row>
      <xdr:rowOff>174892</xdr:rowOff>
    </xdr:from>
    <xdr:to>
      <xdr:col>2</xdr:col>
      <xdr:colOff>2246058</xdr:colOff>
      <xdr:row>127</xdr:row>
      <xdr:rowOff>95249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3551963"/>
          <a:ext cx="5430129" cy="187978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427</xdr:row>
      <xdr:rowOff>149679</xdr:rowOff>
    </xdr:from>
    <xdr:to>
      <xdr:col>2</xdr:col>
      <xdr:colOff>3292929</xdr:colOff>
      <xdr:row>437</xdr:row>
      <xdr:rowOff>88036</xdr:rowOff>
    </xdr:to>
    <xdr:pic>
      <xdr:nvPicPr>
        <xdr:cNvPr id="87" name="Picture 86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944" t="12834" r="2667" b="9567"/>
        <a:stretch/>
      </xdr:blipFill>
      <xdr:spPr>
        <a:xfrm>
          <a:off x="0" y="89820750"/>
          <a:ext cx="6477000" cy="1843357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6784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70070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432</xdr:row>
      <xdr:rowOff>201705</xdr:rowOff>
    </xdr:from>
    <xdr:to>
      <xdr:col>9</xdr:col>
      <xdr:colOff>324970</xdr:colOff>
      <xdr:row>433</xdr:row>
      <xdr:rowOff>212911</xdr:rowOff>
    </xdr:to>
    <xdr:sp macro="" textlink="">
      <xdr:nvSpPr>
        <xdr:cNvPr id="5" name="Rectangle 4"/>
        <xdr:cNvSpPr/>
      </xdr:nvSpPr>
      <xdr:spPr>
        <a:xfrm>
          <a:off x="12711954" y="893271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149679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23407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</xdr:colOff>
      <xdr:row>207</xdr:row>
      <xdr:rowOff>149678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" y="44604214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314</xdr:row>
      <xdr:rowOff>149679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6672942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421</xdr:row>
      <xdr:rowOff>136072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9072358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190498</xdr:colOff>
      <xdr:row>2</xdr:row>
      <xdr:rowOff>0</xdr:rowOff>
    </xdr:from>
    <xdr:to>
      <xdr:col>12</xdr:col>
      <xdr:colOff>598711</xdr:colOff>
      <xdr:row>5</xdr:row>
      <xdr:rowOff>54428</xdr:rowOff>
    </xdr:to>
    <xdr:sp macro="" textlink="">
      <xdr:nvSpPr>
        <xdr:cNvPr id="20" name="Left Arrow 19">
          <a:hlinkClick xmlns:r="http://schemas.openxmlformats.org/officeDocument/2006/relationships" r:id="rId2"/>
        </xdr:cNvPr>
        <xdr:cNvSpPr/>
      </xdr:nvSpPr>
      <xdr:spPr>
        <a:xfrm>
          <a:off x="14192248" y="542925"/>
          <a:ext cx="1017813" cy="845003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>
    <xdr:from>
      <xdr:col>0</xdr:col>
      <xdr:colOff>0</xdr:colOff>
      <xdr:row>6</xdr:row>
      <xdr:rowOff>138551</xdr:rowOff>
    </xdr:from>
    <xdr:to>
      <xdr:col>2</xdr:col>
      <xdr:colOff>2277473</xdr:colOff>
      <xdr:row>16</xdr:row>
      <xdr:rowOff>136072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85015"/>
          <a:ext cx="5461544" cy="190252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117</xdr:row>
      <xdr:rowOff>165764</xdr:rowOff>
    </xdr:from>
    <xdr:to>
      <xdr:col>2</xdr:col>
      <xdr:colOff>2277473</xdr:colOff>
      <xdr:row>127</xdr:row>
      <xdr:rowOff>108857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4087121"/>
          <a:ext cx="5461544" cy="1902522"/>
        </a:xfrm>
        <a:prstGeom prst="rect">
          <a:avLst/>
        </a:prstGeom>
      </xdr:spPr>
    </xdr:pic>
    <xdr:clientData/>
  </xdr:twoCellAnchor>
  <xdr:twoCellAnchor editAs="oneCell">
    <xdr:from>
      <xdr:col>0</xdr:col>
      <xdr:colOff>15718</xdr:colOff>
      <xdr:row>305</xdr:row>
      <xdr:rowOff>13804</xdr:rowOff>
    </xdr:from>
    <xdr:to>
      <xdr:col>1</xdr:col>
      <xdr:colOff>458615</xdr:colOff>
      <xdr:row>310</xdr:row>
      <xdr:rowOff>97366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15718" y="63374104"/>
          <a:ext cx="909622" cy="683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109072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5084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249</xdr:row>
      <xdr:rowOff>43533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8496</xdr:rowOff>
    </xdr:from>
    <xdr:to>
      <xdr:col>1</xdr:col>
      <xdr:colOff>777156</xdr:colOff>
      <xdr:row>258</xdr:row>
      <xdr:rowOff>179187</xdr:rowOff>
    </xdr:to>
    <xdr:pic>
      <xdr:nvPicPr>
        <xdr:cNvPr id="19" name="Picture 1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262</xdr:row>
      <xdr:rowOff>178903</xdr:rowOff>
    </xdr:from>
    <xdr:to>
      <xdr:col>1</xdr:col>
      <xdr:colOff>2429615</xdr:colOff>
      <xdr:row>269</xdr:row>
      <xdr:rowOff>78707</xdr:rowOff>
    </xdr:to>
    <xdr:pic>
      <xdr:nvPicPr>
        <xdr:cNvPr id="21" name="Picture 2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</xdr:row>
      <xdr:rowOff>5566</xdr:rowOff>
    </xdr:from>
    <xdr:to>
      <xdr:col>1</xdr:col>
      <xdr:colOff>571500</xdr:colOff>
      <xdr:row>277</xdr:row>
      <xdr:rowOff>87829</xdr:rowOff>
    </xdr:to>
    <xdr:pic>
      <xdr:nvPicPr>
        <xdr:cNvPr id="22" name="Picture 2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336</xdr:row>
      <xdr:rowOff>136072</xdr:rowOff>
    </xdr:from>
    <xdr:to>
      <xdr:col>9</xdr:col>
      <xdr:colOff>663555</xdr:colOff>
      <xdr:row>398</xdr:row>
      <xdr:rowOff>136073</xdr:rowOff>
    </xdr:to>
    <xdr:grpSp>
      <xdr:nvGrpSpPr>
        <xdr:cNvPr id="33" name="Group 32"/>
        <xdr:cNvGrpSpPr/>
      </xdr:nvGrpSpPr>
      <xdr:grpSpPr>
        <a:xfrm>
          <a:off x="0" y="70544872"/>
          <a:ext cx="13249255" cy="12585701"/>
          <a:chOff x="22408" y="69215576"/>
          <a:chExt cx="13284180" cy="11811001"/>
        </a:xfrm>
      </xdr:grpSpPr>
      <xdr:pic>
        <xdr:nvPicPr>
          <xdr:cNvPr id="34" name="Picture 3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5" name="Line Callout 2 (No Border) 34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4" name="Line Callout 2 (No Border) 43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19</xdr:row>
      <xdr:rowOff>0</xdr:rowOff>
    </xdr:from>
    <xdr:to>
      <xdr:col>9</xdr:col>
      <xdr:colOff>639664</xdr:colOff>
      <xdr:row>99</xdr:row>
      <xdr:rowOff>84239</xdr:rowOff>
    </xdr:to>
    <xdr:grpSp>
      <xdr:nvGrpSpPr>
        <xdr:cNvPr id="45" name="Group 44"/>
        <xdr:cNvGrpSpPr/>
      </xdr:nvGrpSpPr>
      <xdr:grpSpPr>
        <a:xfrm>
          <a:off x="0" y="4191000"/>
          <a:ext cx="13225364" cy="15324239"/>
          <a:chOff x="27214" y="3349853"/>
          <a:chExt cx="13279216" cy="15558034"/>
        </a:xfrm>
      </xdr:grpSpPr>
      <xdr:pic>
        <xdr:nvPicPr>
          <xdr:cNvPr id="46" name="Picture 4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7" name="Line Callout 2 (No Border) 46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3155173" y="18194853"/>
            <a:ext cx="1984696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pPr algn="ct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1" name="Rectangle 60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Rectangle 61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7" name="Line Callout 2 (No Border) 66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8" name="Rectangle 67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443</xdr:row>
      <xdr:rowOff>231318</xdr:rowOff>
    </xdr:from>
    <xdr:to>
      <xdr:col>9</xdr:col>
      <xdr:colOff>665511</xdr:colOff>
      <xdr:row>500</xdr:row>
      <xdr:rowOff>175233</xdr:rowOff>
    </xdr:to>
    <xdr:grpSp>
      <xdr:nvGrpSpPr>
        <xdr:cNvPr id="69" name="Group 68"/>
        <xdr:cNvGrpSpPr/>
      </xdr:nvGrpSpPr>
      <xdr:grpSpPr>
        <a:xfrm>
          <a:off x="0" y="92725418"/>
          <a:ext cx="13251211" cy="11488215"/>
          <a:chOff x="13607" y="89487375"/>
          <a:chExt cx="13314588" cy="11205473"/>
        </a:xfrm>
      </xdr:grpSpPr>
      <xdr:pic>
        <xdr:nvPicPr>
          <xdr:cNvPr id="70" name="Picture 69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1" name="Line Callout 2 (No Border) 70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5" name="Line Callout 2 (No Border) 74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6" name="Rectangle 75"/>
          <xdr:cNvSpPr>
            <a:spLocks/>
          </xdr:cNvSpPr>
        </xdr:nvSpPr>
        <xdr:spPr>
          <a:xfrm>
            <a:off x="3153422" y="96141287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9" name="Line Callout 2 (No Border) 78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0" name="Line Callout 2 (No Border) 79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1" name="Rectangle 80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Rectangle 81"/>
          <xdr:cNvSpPr>
            <a:spLocks/>
          </xdr:cNvSpPr>
        </xdr:nvSpPr>
        <xdr:spPr>
          <a:xfrm>
            <a:off x="8340391" y="93545046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3" name="Line Callout 2 (No Border) 82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3</xdr:colOff>
      <xdr:row>427</xdr:row>
      <xdr:rowOff>153836</xdr:rowOff>
    </xdr:from>
    <xdr:to>
      <xdr:col>2</xdr:col>
      <xdr:colOff>3388180</xdr:colOff>
      <xdr:row>437</xdr:row>
      <xdr:rowOff>81642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2991" t="12876" r="2899" b="11294"/>
        <a:stretch/>
      </xdr:blipFill>
      <xdr:spPr>
        <a:xfrm>
          <a:off x="3" y="90763800"/>
          <a:ext cx="6572248" cy="18328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320</xdr:row>
      <xdr:rowOff>190498</xdr:rowOff>
    </xdr:from>
    <xdr:to>
      <xdr:col>1</xdr:col>
      <xdr:colOff>1730993</xdr:colOff>
      <xdr:row>330</xdr:row>
      <xdr:rowOff>27811</xdr:rowOff>
    </xdr:to>
    <xdr:pic>
      <xdr:nvPicPr>
        <xdr:cNvPr id="91" name="Picture 9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8280641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294</xdr:row>
      <xdr:rowOff>27214</xdr:rowOff>
    </xdr:from>
    <xdr:to>
      <xdr:col>1</xdr:col>
      <xdr:colOff>2711358</xdr:colOff>
      <xdr:row>300</xdr:row>
      <xdr:rowOff>131549</xdr:rowOff>
    </xdr:to>
    <xdr:grpSp>
      <xdr:nvGrpSpPr>
        <xdr:cNvPr id="92" name="Group 91"/>
        <xdr:cNvGrpSpPr/>
      </xdr:nvGrpSpPr>
      <xdr:grpSpPr>
        <a:xfrm>
          <a:off x="0" y="61596814"/>
          <a:ext cx="3181258" cy="1323535"/>
          <a:chOff x="5" y="63408179"/>
          <a:chExt cx="3174001" cy="1328978"/>
        </a:xfrm>
      </xdr:grpSpPr>
      <xdr:pic>
        <xdr:nvPicPr>
          <xdr:cNvPr id="93" name="Picture 9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4" name="Rectangle 93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5" name="Rectangle 94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6" name="Rectangle 95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97" name="Picture 9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8" name="Picture 9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281</xdr:row>
      <xdr:rowOff>190499</xdr:rowOff>
    </xdr:from>
    <xdr:to>
      <xdr:col>1</xdr:col>
      <xdr:colOff>1944275</xdr:colOff>
      <xdr:row>289</xdr:row>
      <xdr:rowOff>14611</xdr:rowOff>
    </xdr:to>
    <xdr:pic>
      <xdr:nvPicPr>
        <xdr:cNvPr id="84" name="Picture 8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259106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142856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42856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432</xdr:row>
      <xdr:rowOff>201705</xdr:rowOff>
    </xdr:from>
    <xdr:to>
      <xdr:col>9</xdr:col>
      <xdr:colOff>324970</xdr:colOff>
      <xdr:row>433</xdr:row>
      <xdr:rowOff>212911</xdr:rowOff>
    </xdr:to>
    <xdr:sp macro="" textlink="">
      <xdr:nvSpPr>
        <xdr:cNvPr id="5" name="Rectangle 4"/>
        <xdr:cNvSpPr/>
      </xdr:nvSpPr>
      <xdr:spPr>
        <a:xfrm>
          <a:off x="12711954" y="893271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136072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220465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</xdr:colOff>
      <xdr:row>208</xdr:row>
      <xdr:rowOff>0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" y="44617821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315</xdr:row>
      <xdr:rowOff>0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67151250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421</xdr:row>
      <xdr:rowOff>149678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9494178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136070</xdr:colOff>
      <xdr:row>2</xdr:row>
      <xdr:rowOff>0</xdr:rowOff>
    </xdr:from>
    <xdr:to>
      <xdr:col>12</xdr:col>
      <xdr:colOff>544283</xdr:colOff>
      <xdr:row>5</xdr:row>
      <xdr:rowOff>54428</xdr:rowOff>
    </xdr:to>
    <xdr:sp macro="" textlink="">
      <xdr:nvSpPr>
        <xdr:cNvPr id="19" name="Left Arrow 18">
          <a:hlinkClick xmlns:r="http://schemas.openxmlformats.org/officeDocument/2006/relationships" r:id="rId2"/>
        </xdr:cNvPr>
        <xdr:cNvSpPr/>
      </xdr:nvSpPr>
      <xdr:spPr>
        <a:xfrm>
          <a:off x="14151427" y="544286"/>
          <a:ext cx="1020535" cy="843642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15718</xdr:colOff>
      <xdr:row>305</xdr:row>
      <xdr:rowOff>13804</xdr:rowOff>
    </xdr:from>
    <xdr:to>
      <xdr:col>1</xdr:col>
      <xdr:colOff>458615</xdr:colOff>
      <xdr:row>310</xdr:row>
      <xdr:rowOff>97366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15718" y="63374104"/>
          <a:ext cx="909622" cy="683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109072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5084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249</xdr:row>
      <xdr:rowOff>43533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8496</xdr:rowOff>
    </xdr:from>
    <xdr:to>
      <xdr:col>1</xdr:col>
      <xdr:colOff>777156</xdr:colOff>
      <xdr:row>258</xdr:row>
      <xdr:rowOff>179187</xdr:rowOff>
    </xdr:to>
    <xdr:pic>
      <xdr:nvPicPr>
        <xdr:cNvPr id="22" name="Picture 2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262</xdr:row>
      <xdr:rowOff>178903</xdr:rowOff>
    </xdr:from>
    <xdr:to>
      <xdr:col>1</xdr:col>
      <xdr:colOff>2429615</xdr:colOff>
      <xdr:row>269</xdr:row>
      <xdr:rowOff>78707</xdr:rowOff>
    </xdr:to>
    <xdr:pic>
      <xdr:nvPicPr>
        <xdr:cNvPr id="23" name="Picture 2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274</xdr:row>
      <xdr:rowOff>5566</xdr:rowOff>
    </xdr:from>
    <xdr:to>
      <xdr:col>1</xdr:col>
      <xdr:colOff>571500</xdr:colOff>
      <xdr:row>278</xdr:row>
      <xdr:rowOff>87829</xdr:rowOff>
    </xdr:to>
    <xdr:pic>
      <xdr:nvPicPr>
        <xdr:cNvPr id="24" name="Picture 2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13607</xdr:colOff>
      <xdr:row>336</xdr:row>
      <xdr:rowOff>95251</xdr:rowOff>
    </xdr:from>
    <xdr:to>
      <xdr:col>9</xdr:col>
      <xdr:colOff>677162</xdr:colOff>
      <xdr:row>398</xdr:row>
      <xdr:rowOff>95253</xdr:rowOff>
    </xdr:to>
    <xdr:grpSp>
      <xdr:nvGrpSpPr>
        <xdr:cNvPr id="33" name="Group 32"/>
        <xdr:cNvGrpSpPr/>
      </xdr:nvGrpSpPr>
      <xdr:grpSpPr>
        <a:xfrm>
          <a:off x="13607" y="70504051"/>
          <a:ext cx="13249255" cy="12585702"/>
          <a:chOff x="22408" y="69215576"/>
          <a:chExt cx="13284180" cy="11811001"/>
        </a:xfrm>
      </xdr:grpSpPr>
      <xdr:pic>
        <xdr:nvPicPr>
          <xdr:cNvPr id="34" name="Picture 3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5" name="Line Callout 2 (No Border) 34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4" name="Line Callout 2 (No Border) 43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22</xdr:row>
      <xdr:rowOff>13607</xdr:rowOff>
    </xdr:from>
    <xdr:to>
      <xdr:col>9</xdr:col>
      <xdr:colOff>639664</xdr:colOff>
      <xdr:row>102</xdr:row>
      <xdr:rowOff>97846</xdr:rowOff>
    </xdr:to>
    <xdr:grpSp>
      <xdr:nvGrpSpPr>
        <xdr:cNvPr id="45" name="Group 44"/>
        <xdr:cNvGrpSpPr/>
      </xdr:nvGrpSpPr>
      <xdr:grpSpPr>
        <a:xfrm>
          <a:off x="0" y="4776107"/>
          <a:ext cx="13225364" cy="15324239"/>
          <a:chOff x="27214" y="3349853"/>
          <a:chExt cx="13279216" cy="15558034"/>
        </a:xfrm>
      </xdr:grpSpPr>
      <xdr:pic>
        <xdr:nvPicPr>
          <xdr:cNvPr id="46" name="Picture 4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7" name="Line Callout 2 (No Border) 46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3155173" y="18194853"/>
            <a:ext cx="1984696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pPr algn="ct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1" name="Rectangle 60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Rectangle 61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7" name="Line Callout 2 (No Border) 66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8" name="Rectangle 67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440</xdr:row>
      <xdr:rowOff>0</xdr:rowOff>
    </xdr:from>
    <xdr:to>
      <xdr:col>9</xdr:col>
      <xdr:colOff>665511</xdr:colOff>
      <xdr:row>496</xdr:row>
      <xdr:rowOff>148021</xdr:rowOff>
    </xdr:to>
    <xdr:grpSp>
      <xdr:nvGrpSpPr>
        <xdr:cNvPr id="69" name="Group 68"/>
        <xdr:cNvGrpSpPr/>
      </xdr:nvGrpSpPr>
      <xdr:grpSpPr>
        <a:xfrm>
          <a:off x="0" y="91884500"/>
          <a:ext cx="13251211" cy="11489121"/>
          <a:chOff x="13607" y="89487375"/>
          <a:chExt cx="13314588" cy="11205473"/>
        </a:xfrm>
      </xdr:grpSpPr>
      <xdr:pic>
        <xdr:nvPicPr>
          <xdr:cNvPr id="70" name="Picture 69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1" name="Line Callout 2 (No Border) 70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5" name="Line Callout 2 (No Border) 74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6" name="Rectangle 75"/>
          <xdr:cNvSpPr>
            <a:spLocks/>
          </xdr:cNvSpPr>
        </xdr:nvSpPr>
        <xdr:spPr>
          <a:xfrm>
            <a:off x="3153422" y="96128040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9" name="Line Callout 2 (No Border) 78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0" name="Line Callout 2 (No Border) 79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1" name="Rectangle 80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Rectangle 81"/>
          <xdr:cNvSpPr>
            <a:spLocks/>
          </xdr:cNvSpPr>
        </xdr:nvSpPr>
        <xdr:spPr>
          <a:xfrm>
            <a:off x="8340391" y="93584786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3" name="Line Callout 2 (No Border) 82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320</xdr:row>
      <xdr:rowOff>176894</xdr:rowOff>
    </xdr:from>
    <xdr:to>
      <xdr:col>1</xdr:col>
      <xdr:colOff>1730993</xdr:colOff>
      <xdr:row>330</xdr:row>
      <xdr:rowOff>14207</xdr:rowOff>
    </xdr:to>
    <xdr:pic>
      <xdr:nvPicPr>
        <xdr:cNvPr id="91" name="Picture 9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8675251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295</xdr:row>
      <xdr:rowOff>13607</xdr:rowOff>
    </xdr:from>
    <xdr:to>
      <xdr:col>1</xdr:col>
      <xdr:colOff>2711358</xdr:colOff>
      <xdr:row>301</xdr:row>
      <xdr:rowOff>117942</xdr:rowOff>
    </xdr:to>
    <xdr:grpSp>
      <xdr:nvGrpSpPr>
        <xdr:cNvPr id="92" name="Group 91"/>
        <xdr:cNvGrpSpPr/>
      </xdr:nvGrpSpPr>
      <xdr:grpSpPr>
        <a:xfrm>
          <a:off x="0" y="61786407"/>
          <a:ext cx="3181258" cy="1323535"/>
          <a:chOff x="5" y="63408179"/>
          <a:chExt cx="3174001" cy="1328978"/>
        </a:xfrm>
      </xdr:grpSpPr>
      <xdr:pic>
        <xdr:nvPicPr>
          <xdr:cNvPr id="93" name="Picture 9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4" name="Rectangle 93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5" name="Rectangle 94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6" name="Rectangle 95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97" name="Picture 9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8" name="Picture 9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282</xdr:row>
      <xdr:rowOff>190500</xdr:rowOff>
    </xdr:from>
    <xdr:to>
      <xdr:col>1</xdr:col>
      <xdr:colOff>1944275</xdr:colOff>
      <xdr:row>290</xdr:row>
      <xdr:rowOff>14612</xdr:rowOff>
    </xdr:to>
    <xdr:pic>
      <xdr:nvPicPr>
        <xdr:cNvPr id="84" name="Picture 8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463214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</xdr:row>
      <xdr:rowOff>122465</xdr:rowOff>
    </xdr:from>
    <xdr:to>
      <xdr:col>2</xdr:col>
      <xdr:colOff>2305572</xdr:colOff>
      <xdr:row>16</xdr:row>
      <xdr:rowOff>136072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1768929"/>
          <a:ext cx="5489643" cy="191860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117</xdr:row>
      <xdr:rowOff>163287</xdr:rowOff>
    </xdr:from>
    <xdr:to>
      <xdr:col>2</xdr:col>
      <xdr:colOff>2305572</xdr:colOff>
      <xdr:row>127</xdr:row>
      <xdr:rowOff>122465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3540358"/>
          <a:ext cx="5489643" cy="191860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427</xdr:row>
      <xdr:rowOff>136071</xdr:rowOff>
    </xdr:from>
    <xdr:to>
      <xdr:col>2</xdr:col>
      <xdr:colOff>3251310</xdr:colOff>
      <xdr:row>437</xdr:row>
      <xdr:rowOff>68036</xdr:rowOff>
    </xdr:to>
    <xdr:pic>
      <xdr:nvPicPr>
        <xdr:cNvPr id="87" name="Picture 86"/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2824" t="12626" r="2565" b="10101"/>
        <a:stretch/>
      </xdr:blipFill>
      <xdr:spPr>
        <a:xfrm>
          <a:off x="0" y="89752714"/>
          <a:ext cx="6435381" cy="183696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142856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42856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432</xdr:row>
      <xdr:rowOff>201705</xdr:rowOff>
    </xdr:from>
    <xdr:to>
      <xdr:col>9</xdr:col>
      <xdr:colOff>324970</xdr:colOff>
      <xdr:row>433</xdr:row>
      <xdr:rowOff>212911</xdr:rowOff>
    </xdr:to>
    <xdr:sp macro="" textlink="">
      <xdr:nvSpPr>
        <xdr:cNvPr id="5" name="Rectangle 4"/>
        <xdr:cNvSpPr/>
      </xdr:nvSpPr>
      <xdr:spPr>
        <a:xfrm>
          <a:off x="12711954" y="893271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149679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23407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</xdr:colOff>
      <xdr:row>208</xdr:row>
      <xdr:rowOff>0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" y="44617821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314</xdr:row>
      <xdr:rowOff>149678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6713764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421</xdr:row>
      <xdr:rowOff>149679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949417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122463</xdr:colOff>
      <xdr:row>2</xdr:row>
      <xdr:rowOff>0</xdr:rowOff>
    </xdr:from>
    <xdr:to>
      <xdr:col>12</xdr:col>
      <xdr:colOff>530676</xdr:colOff>
      <xdr:row>5</xdr:row>
      <xdr:rowOff>54428</xdr:rowOff>
    </xdr:to>
    <xdr:sp macro="" textlink="">
      <xdr:nvSpPr>
        <xdr:cNvPr id="19" name="Left Arrow 18">
          <a:hlinkClick xmlns:r="http://schemas.openxmlformats.org/officeDocument/2006/relationships" r:id="rId2"/>
        </xdr:cNvPr>
        <xdr:cNvSpPr/>
      </xdr:nvSpPr>
      <xdr:spPr>
        <a:xfrm>
          <a:off x="14137820" y="544286"/>
          <a:ext cx="1020535" cy="843642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>
    <xdr:from>
      <xdr:col>0</xdr:col>
      <xdr:colOff>0</xdr:colOff>
      <xdr:row>6</xdr:row>
      <xdr:rowOff>133751</xdr:rowOff>
    </xdr:from>
    <xdr:to>
      <xdr:col>2</xdr:col>
      <xdr:colOff>2266888</xdr:colOff>
      <xdr:row>16</xdr:row>
      <xdr:rowOff>122464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80215"/>
          <a:ext cx="5450959" cy="189371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117</xdr:row>
      <xdr:rowOff>147356</xdr:rowOff>
    </xdr:from>
    <xdr:to>
      <xdr:col>2</xdr:col>
      <xdr:colOff>2266888</xdr:colOff>
      <xdr:row>127</xdr:row>
      <xdr:rowOff>81641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4068713"/>
          <a:ext cx="5450959" cy="189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15718</xdr:colOff>
      <xdr:row>307</xdr:row>
      <xdr:rowOff>13804</xdr:rowOff>
    </xdr:from>
    <xdr:to>
      <xdr:col>1</xdr:col>
      <xdr:colOff>458615</xdr:colOff>
      <xdr:row>312</xdr:row>
      <xdr:rowOff>97365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15718" y="63374104"/>
          <a:ext cx="909622" cy="683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109072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5084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249</xdr:row>
      <xdr:rowOff>43533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8496</xdr:rowOff>
    </xdr:from>
    <xdr:to>
      <xdr:col>1</xdr:col>
      <xdr:colOff>777156</xdr:colOff>
      <xdr:row>258</xdr:row>
      <xdr:rowOff>179187</xdr:rowOff>
    </xdr:to>
    <xdr:pic>
      <xdr:nvPicPr>
        <xdr:cNvPr id="20" name="Picture 1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262</xdr:row>
      <xdr:rowOff>178903</xdr:rowOff>
    </xdr:from>
    <xdr:to>
      <xdr:col>1</xdr:col>
      <xdr:colOff>2429615</xdr:colOff>
      <xdr:row>269</xdr:row>
      <xdr:rowOff>78707</xdr:rowOff>
    </xdr:to>
    <xdr:pic>
      <xdr:nvPicPr>
        <xdr:cNvPr id="21" name="Picture 2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274</xdr:row>
      <xdr:rowOff>5566</xdr:rowOff>
    </xdr:from>
    <xdr:to>
      <xdr:col>1</xdr:col>
      <xdr:colOff>571500</xdr:colOff>
      <xdr:row>278</xdr:row>
      <xdr:rowOff>87829</xdr:rowOff>
    </xdr:to>
    <xdr:pic>
      <xdr:nvPicPr>
        <xdr:cNvPr id="22" name="Picture 2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335</xdr:row>
      <xdr:rowOff>40822</xdr:rowOff>
    </xdr:from>
    <xdr:to>
      <xdr:col>9</xdr:col>
      <xdr:colOff>663555</xdr:colOff>
      <xdr:row>397</xdr:row>
      <xdr:rowOff>40824</xdr:rowOff>
    </xdr:to>
    <xdr:grpSp>
      <xdr:nvGrpSpPr>
        <xdr:cNvPr id="33" name="Group 32"/>
        <xdr:cNvGrpSpPr/>
      </xdr:nvGrpSpPr>
      <xdr:grpSpPr>
        <a:xfrm>
          <a:off x="0" y="70246422"/>
          <a:ext cx="13249255" cy="12585702"/>
          <a:chOff x="22408" y="69215576"/>
          <a:chExt cx="13284180" cy="11811001"/>
        </a:xfrm>
      </xdr:grpSpPr>
      <xdr:pic>
        <xdr:nvPicPr>
          <xdr:cNvPr id="34" name="Picture 3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5" name="Line Callout 2 (No Border) 34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4" name="Line Callout 2 (No Border) 43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22</xdr:row>
      <xdr:rowOff>176892</xdr:rowOff>
    </xdr:from>
    <xdr:to>
      <xdr:col>9</xdr:col>
      <xdr:colOff>639664</xdr:colOff>
      <xdr:row>103</xdr:row>
      <xdr:rowOff>70631</xdr:rowOff>
    </xdr:to>
    <xdr:grpSp>
      <xdr:nvGrpSpPr>
        <xdr:cNvPr id="45" name="Group 44"/>
        <xdr:cNvGrpSpPr/>
      </xdr:nvGrpSpPr>
      <xdr:grpSpPr>
        <a:xfrm>
          <a:off x="0" y="4939392"/>
          <a:ext cx="13225364" cy="15324239"/>
          <a:chOff x="27214" y="3349853"/>
          <a:chExt cx="13279216" cy="15558034"/>
        </a:xfrm>
      </xdr:grpSpPr>
      <xdr:pic>
        <xdr:nvPicPr>
          <xdr:cNvPr id="46" name="Picture 4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7" name="Line Callout 2 (No Border) 46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3155172" y="18194853"/>
            <a:ext cx="204979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pPr algn="ct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1" name="Rectangle 60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Rectangle 61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7" name="Line Callout 2 (No Border) 66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8" name="Rectangle 67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443</xdr:row>
      <xdr:rowOff>190500</xdr:rowOff>
    </xdr:from>
    <xdr:to>
      <xdr:col>9</xdr:col>
      <xdr:colOff>665511</xdr:colOff>
      <xdr:row>500</xdr:row>
      <xdr:rowOff>134413</xdr:rowOff>
    </xdr:to>
    <xdr:grpSp>
      <xdr:nvGrpSpPr>
        <xdr:cNvPr id="69" name="Group 68"/>
        <xdr:cNvGrpSpPr/>
      </xdr:nvGrpSpPr>
      <xdr:grpSpPr>
        <a:xfrm>
          <a:off x="0" y="92684600"/>
          <a:ext cx="13251211" cy="11488213"/>
          <a:chOff x="13607" y="89487375"/>
          <a:chExt cx="13314588" cy="11205473"/>
        </a:xfrm>
      </xdr:grpSpPr>
      <xdr:pic>
        <xdr:nvPicPr>
          <xdr:cNvPr id="70" name="Picture 69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1" name="Line Callout 2 (No Border) 70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5" name="Line Callout 2 (No Border) 74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6" name="Rectangle 75"/>
          <xdr:cNvSpPr>
            <a:spLocks/>
          </xdr:cNvSpPr>
        </xdr:nvSpPr>
        <xdr:spPr>
          <a:xfrm>
            <a:off x="3153422" y="96167781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9" name="Line Callout 2 (No Border) 78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0" name="Line Callout 2 (No Border) 79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1" name="Rectangle 80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Rectangle 81"/>
          <xdr:cNvSpPr>
            <a:spLocks/>
          </xdr:cNvSpPr>
        </xdr:nvSpPr>
        <xdr:spPr>
          <a:xfrm>
            <a:off x="8340391" y="93571540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3" name="Line Callout 2 (No Border) 82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2</xdr:colOff>
      <xdr:row>427</xdr:row>
      <xdr:rowOff>122462</xdr:rowOff>
    </xdr:from>
    <xdr:to>
      <xdr:col>2</xdr:col>
      <xdr:colOff>3469822</xdr:colOff>
      <xdr:row>437</xdr:row>
      <xdr:rowOff>68035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3228" t="13680" r="2928" b="10722"/>
        <a:stretch/>
      </xdr:blipFill>
      <xdr:spPr>
        <a:xfrm>
          <a:off x="2" y="91140641"/>
          <a:ext cx="6653891" cy="18505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320</xdr:row>
      <xdr:rowOff>190498</xdr:rowOff>
    </xdr:from>
    <xdr:to>
      <xdr:col>1</xdr:col>
      <xdr:colOff>1730993</xdr:colOff>
      <xdr:row>330</xdr:row>
      <xdr:rowOff>27811</xdr:rowOff>
    </xdr:to>
    <xdr:pic>
      <xdr:nvPicPr>
        <xdr:cNvPr id="91" name="Picture 9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8688855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296</xdr:row>
      <xdr:rowOff>1</xdr:rowOff>
    </xdr:from>
    <xdr:to>
      <xdr:col>1</xdr:col>
      <xdr:colOff>2711358</xdr:colOff>
      <xdr:row>302</xdr:row>
      <xdr:rowOff>104336</xdr:rowOff>
    </xdr:to>
    <xdr:grpSp>
      <xdr:nvGrpSpPr>
        <xdr:cNvPr id="92" name="Group 91"/>
        <xdr:cNvGrpSpPr/>
      </xdr:nvGrpSpPr>
      <xdr:grpSpPr>
        <a:xfrm>
          <a:off x="0" y="61976001"/>
          <a:ext cx="3181258" cy="1323535"/>
          <a:chOff x="5" y="63408179"/>
          <a:chExt cx="3174001" cy="1328978"/>
        </a:xfrm>
      </xdr:grpSpPr>
      <xdr:pic>
        <xdr:nvPicPr>
          <xdr:cNvPr id="93" name="Picture 9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4" name="Rectangle 93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5" name="Rectangle 94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6" name="Rectangle 95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97" name="Picture 9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8" name="Picture 9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283</xdr:row>
      <xdr:rowOff>190500</xdr:rowOff>
    </xdr:from>
    <xdr:to>
      <xdr:col>1</xdr:col>
      <xdr:colOff>1944275</xdr:colOff>
      <xdr:row>291</xdr:row>
      <xdr:rowOff>14611</xdr:rowOff>
    </xdr:to>
    <xdr:pic>
      <xdr:nvPicPr>
        <xdr:cNvPr id="84" name="Picture 8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667321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142856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42856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432</xdr:row>
      <xdr:rowOff>201705</xdr:rowOff>
    </xdr:from>
    <xdr:to>
      <xdr:col>9</xdr:col>
      <xdr:colOff>324970</xdr:colOff>
      <xdr:row>433</xdr:row>
      <xdr:rowOff>212911</xdr:rowOff>
    </xdr:to>
    <xdr:sp macro="" textlink="">
      <xdr:nvSpPr>
        <xdr:cNvPr id="5" name="Rectangle 4"/>
        <xdr:cNvSpPr/>
      </xdr:nvSpPr>
      <xdr:spPr>
        <a:xfrm>
          <a:off x="12711954" y="893271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149679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23407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</xdr:colOff>
      <xdr:row>207</xdr:row>
      <xdr:rowOff>149678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" y="44604214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314</xdr:row>
      <xdr:rowOff>149679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67137643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421</xdr:row>
      <xdr:rowOff>149679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949417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190498</xdr:colOff>
      <xdr:row>2</xdr:row>
      <xdr:rowOff>0</xdr:rowOff>
    </xdr:from>
    <xdr:to>
      <xdr:col>12</xdr:col>
      <xdr:colOff>598711</xdr:colOff>
      <xdr:row>5</xdr:row>
      <xdr:rowOff>54428</xdr:rowOff>
    </xdr:to>
    <xdr:sp macro="" textlink="">
      <xdr:nvSpPr>
        <xdr:cNvPr id="19" name="Left Arrow 18">
          <a:hlinkClick xmlns:r="http://schemas.openxmlformats.org/officeDocument/2006/relationships" r:id="rId2"/>
        </xdr:cNvPr>
        <xdr:cNvSpPr/>
      </xdr:nvSpPr>
      <xdr:spPr>
        <a:xfrm>
          <a:off x="14192248" y="542925"/>
          <a:ext cx="1017813" cy="845003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15718</xdr:colOff>
      <xdr:row>306</xdr:row>
      <xdr:rowOff>13804</xdr:rowOff>
    </xdr:from>
    <xdr:to>
      <xdr:col>1</xdr:col>
      <xdr:colOff>458615</xdr:colOff>
      <xdr:row>311</xdr:row>
      <xdr:rowOff>97366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15718" y="63374104"/>
          <a:ext cx="909622" cy="683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109072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5084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249</xdr:row>
      <xdr:rowOff>43533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8496</xdr:rowOff>
    </xdr:from>
    <xdr:to>
      <xdr:col>1</xdr:col>
      <xdr:colOff>777156</xdr:colOff>
      <xdr:row>258</xdr:row>
      <xdr:rowOff>179187</xdr:rowOff>
    </xdr:to>
    <xdr:pic>
      <xdr:nvPicPr>
        <xdr:cNvPr id="22" name="Picture 2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262</xdr:row>
      <xdr:rowOff>178903</xdr:rowOff>
    </xdr:from>
    <xdr:to>
      <xdr:col>1</xdr:col>
      <xdr:colOff>2429615</xdr:colOff>
      <xdr:row>269</xdr:row>
      <xdr:rowOff>78707</xdr:rowOff>
    </xdr:to>
    <xdr:pic>
      <xdr:nvPicPr>
        <xdr:cNvPr id="23" name="Picture 2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</xdr:row>
      <xdr:rowOff>5566</xdr:rowOff>
    </xdr:from>
    <xdr:to>
      <xdr:col>1</xdr:col>
      <xdr:colOff>571500</xdr:colOff>
      <xdr:row>277</xdr:row>
      <xdr:rowOff>87829</xdr:rowOff>
    </xdr:to>
    <xdr:pic>
      <xdr:nvPicPr>
        <xdr:cNvPr id="24" name="Picture 2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337</xdr:row>
      <xdr:rowOff>40822</xdr:rowOff>
    </xdr:from>
    <xdr:to>
      <xdr:col>9</xdr:col>
      <xdr:colOff>663555</xdr:colOff>
      <xdr:row>399</xdr:row>
      <xdr:rowOff>40824</xdr:rowOff>
    </xdr:to>
    <xdr:grpSp>
      <xdr:nvGrpSpPr>
        <xdr:cNvPr id="33" name="Group 32"/>
        <xdr:cNvGrpSpPr/>
      </xdr:nvGrpSpPr>
      <xdr:grpSpPr>
        <a:xfrm>
          <a:off x="0" y="70652822"/>
          <a:ext cx="13249255" cy="12585702"/>
          <a:chOff x="22408" y="69215576"/>
          <a:chExt cx="13284180" cy="11811001"/>
        </a:xfrm>
      </xdr:grpSpPr>
      <xdr:pic>
        <xdr:nvPicPr>
          <xdr:cNvPr id="34" name="Picture 3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5" name="Line Callout 2 (No Border) 34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4" name="Line Callout 2 (No Border) 43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19</xdr:row>
      <xdr:rowOff>0</xdr:rowOff>
    </xdr:from>
    <xdr:to>
      <xdr:col>9</xdr:col>
      <xdr:colOff>639664</xdr:colOff>
      <xdr:row>99</xdr:row>
      <xdr:rowOff>84239</xdr:rowOff>
    </xdr:to>
    <xdr:grpSp>
      <xdr:nvGrpSpPr>
        <xdr:cNvPr id="45" name="Group 44"/>
        <xdr:cNvGrpSpPr/>
      </xdr:nvGrpSpPr>
      <xdr:grpSpPr>
        <a:xfrm>
          <a:off x="0" y="4191000"/>
          <a:ext cx="13225364" cy="15324239"/>
          <a:chOff x="27214" y="3349853"/>
          <a:chExt cx="13279216" cy="15558034"/>
        </a:xfrm>
      </xdr:grpSpPr>
      <xdr:pic>
        <xdr:nvPicPr>
          <xdr:cNvPr id="46" name="Picture 4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7" name="Line Callout 2 (No Border) 46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3155173" y="18194853"/>
            <a:ext cx="2104439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pPr algn="ct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1" name="Rectangle 60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Rectangle 61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7" name="Line Callout 2 (No Border) 66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8" name="Rectangle 67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444</xdr:row>
      <xdr:rowOff>163286</xdr:rowOff>
    </xdr:from>
    <xdr:to>
      <xdr:col>9</xdr:col>
      <xdr:colOff>665511</xdr:colOff>
      <xdr:row>500</xdr:row>
      <xdr:rowOff>107199</xdr:rowOff>
    </xdr:to>
    <xdr:grpSp>
      <xdr:nvGrpSpPr>
        <xdr:cNvPr id="69" name="Group 68"/>
        <xdr:cNvGrpSpPr/>
      </xdr:nvGrpSpPr>
      <xdr:grpSpPr>
        <a:xfrm>
          <a:off x="0" y="92860586"/>
          <a:ext cx="13251211" cy="11043713"/>
          <a:chOff x="13607" y="89487375"/>
          <a:chExt cx="13314588" cy="11205473"/>
        </a:xfrm>
      </xdr:grpSpPr>
      <xdr:pic>
        <xdr:nvPicPr>
          <xdr:cNvPr id="70" name="Picture 69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1" name="Line Callout 2 (No Border) 70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5" name="Line Callout 2 (No Border) 74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6" name="Rectangle 75"/>
          <xdr:cNvSpPr>
            <a:spLocks/>
          </xdr:cNvSpPr>
        </xdr:nvSpPr>
        <xdr:spPr>
          <a:xfrm>
            <a:off x="3153422" y="96181028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9" name="Line Callout 2 (No Border) 78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0" name="Line Callout 2 (No Border) 79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1" name="Rectangle 80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Rectangle 81"/>
          <xdr:cNvSpPr>
            <a:spLocks/>
          </xdr:cNvSpPr>
        </xdr:nvSpPr>
        <xdr:spPr>
          <a:xfrm>
            <a:off x="8340391" y="93571540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3" name="Line Callout 2 (No Border) 82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321</xdr:row>
      <xdr:rowOff>13607</xdr:rowOff>
    </xdr:from>
    <xdr:to>
      <xdr:col>1</xdr:col>
      <xdr:colOff>1730993</xdr:colOff>
      <xdr:row>330</xdr:row>
      <xdr:rowOff>41420</xdr:rowOff>
    </xdr:to>
    <xdr:pic>
      <xdr:nvPicPr>
        <xdr:cNvPr id="91" name="Picture 9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8702464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1</xdr:col>
      <xdr:colOff>2711358</xdr:colOff>
      <xdr:row>301</xdr:row>
      <xdr:rowOff>104335</xdr:rowOff>
    </xdr:to>
    <xdr:grpSp>
      <xdr:nvGrpSpPr>
        <xdr:cNvPr id="92" name="Group 91"/>
        <xdr:cNvGrpSpPr/>
      </xdr:nvGrpSpPr>
      <xdr:grpSpPr>
        <a:xfrm>
          <a:off x="0" y="61772800"/>
          <a:ext cx="3181258" cy="1323535"/>
          <a:chOff x="5" y="63408179"/>
          <a:chExt cx="3174001" cy="1328978"/>
        </a:xfrm>
      </xdr:grpSpPr>
      <xdr:pic>
        <xdr:nvPicPr>
          <xdr:cNvPr id="93" name="Picture 9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4" name="Rectangle 93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5" name="Rectangle 94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6" name="Rectangle 95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97" name="Picture 9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8" name="Picture 9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283</xdr:row>
      <xdr:rowOff>1</xdr:rowOff>
    </xdr:from>
    <xdr:to>
      <xdr:col>1</xdr:col>
      <xdr:colOff>1944275</xdr:colOff>
      <xdr:row>290</xdr:row>
      <xdr:rowOff>28220</xdr:rowOff>
    </xdr:to>
    <xdr:pic>
      <xdr:nvPicPr>
        <xdr:cNvPr id="84" name="Picture 8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476822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</xdr:row>
      <xdr:rowOff>136071</xdr:rowOff>
    </xdr:from>
    <xdr:to>
      <xdr:col>2</xdr:col>
      <xdr:colOff>2204359</xdr:colOff>
      <xdr:row>16</xdr:row>
      <xdr:rowOff>130082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1782535"/>
          <a:ext cx="5388430" cy="189901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117</xdr:row>
      <xdr:rowOff>163285</xdr:rowOff>
    </xdr:from>
    <xdr:to>
      <xdr:col>2</xdr:col>
      <xdr:colOff>2204359</xdr:colOff>
      <xdr:row>127</xdr:row>
      <xdr:rowOff>102867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3540356"/>
          <a:ext cx="5388430" cy="189901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427</xdr:row>
      <xdr:rowOff>176892</xdr:rowOff>
    </xdr:from>
    <xdr:to>
      <xdr:col>2</xdr:col>
      <xdr:colOff>2789465</xdr:colOff>
      <xdr:row>437</xdr:row>
      <xdr:rowOff>8813</xdr:rowOff>
    </xdr:to>
    <xdr:pic>
      <xdr:nvPicPr>
        <xdr:cNvPr id="87" name="Picture 86"/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2901" t="12346" r="2829" b="9877"/>
        <a:stretch/>
      </xdr:blipFill>
      <xdr:spPr>
        <a:xfrm>
          <a:off x="0" y="89793535"/>
          <a:ext cx="5973536" cy="1736921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142856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42856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432</xdr:row>
      <xdr:rowOff>201705</xdr:rowOff>
    </xdr:from>
    <xdr:to>
      <xdr:col>9</xdr:col>
      <xdr:colOff>324970</xdr:colOff>
      <xdr:row>433</xdr:row>
      <xdr:rowOff>212911</xdr:rowOff>
    </xdr:to>
    <xdr:sp macro="" textlink="">
      <xdr:nvSpPr>
        <xdr:cNvPr id="5" name="Rectangle 4"/>
        <xdr:cNvSpPr/>
      </xdr:nvSpPr>
      <xdr:spPr>
        <a:xfrm>
          <a:off x="12711954" y="893271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163286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24767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</xdr:colOff>
      <xdr:row>207</xdr:row>
      <xdr:rowOff>149679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" y="4442732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314</xdr:row>
      <xdr:rowOff>149678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66552535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421</xdr:row>
      <xdr:rowOff>149680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8909073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136070</xdr:colOff>
      <xdr:row>2</xdr:row>
      <xdr:rowOff>0</xdr:rowOff>
    </xdr:from>
    <xdr:to>
      <xdr:col>12</xdr:col>
      <xdr:colOff>544283</xdr:colOff>
      <xdr:row>5</xdr:row>
      <xdr:rowOff>54428</xdr:rowOff>
    </xdr:to>
    <xdr:sp macro="" textlink="">
      <xdr:nvSpPr>
        <xdr:cNvPr id="20" name="Left Arrow 19">
          <a:hlinkClick xmlns:r="http://schemas.openxmlformats.org/officeDocument/2006/relationships" r:id="rId2"/>
        </xdr:cNvPr>
        <xdr:cNvSpPr/>
      </xdr:nvSpPr>
      <xdr:spPr>
        <a:xfrm>
          <a:off x="14151427" y="544286"/>
          <a:ext cx="1020535" cy="843642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15718</xdr:colOff>
      <xdr:row>305</xdr:row>
      <xdr:rowOff>13804</xdr:rowOff>
    </xdr:from>
    <xdr:to>
      <xdr:col>1</xdr:col>
      <xdr:colOff>458615</xdr:colOff>
      <xdr:row>310</xdr:row>
      <xdr:rowOff>97365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15718" y="63374104"/>
          <a:ext cx="909622" cy="683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109073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5084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249</xdr:row>
      <xdr:rowOff>43533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8496</xdr:rowOff>
    </xdr:from>
    <xdr:to>
      <xdr:col>1</xdr:col>
      <xdr:colOff>777156</xdr:colOff>
      <xdr:row>258</xdr:row>
      <xdr:rowOff>179188</xdr:rowOff>
    </xdr:to>
    <xdr:pic>
      <xdr:nvPicPr>
        <xdr:cNvPr id="22" name="Picture 2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262</xdr:row>
      <xdr:rowOff>178903</xdr:rowOff>
    </xdr:from>
    <xdr:to>
      <xdr:col>1</xdr:col>
      <xdr:colOff>2429615</xdr:colOff>
      <xdr:row>269</xdr:row>
      <xdr:rowOff>78707</xdr:rowOff>
    </xdr:to>
    <xdr:pic>
      <xdr:nvPicPr>
        <xdr:cNvPr id="23" name="Picture 2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</xdr:row>
      <xdr:rowOff>5566</xdr:rowOff>
    </xdr:from>
    <xdr:to>
      <xdr:col>1</xdr:col>
      <xdr:colOff>571500</xdr:colOff>
      <xdr:row>277</xdr:row>
      <xdr:rowOff>87830</xdr:rowOff>
    </xdr:to>
    <xdr:pic>
      <xdr:nvPicPr>
        <xdr:cNvPr id="24" name="Picture 2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339</xdr:row>
      <xdr:rowOff>13607</xdr:rowOff>
    </xdr:from>
    <xdr:to>
      <xdr:col>9</xdr:col>
      <xdr:colOff>663555</xdr:colOff>
      <xdr:row>401</xdr:row>
      <xdr:rowOff>13610</xdr:rowOff>
    </xdr:to>
    <xdr:grpSp>
      <xdr:nvGrpSpPr>
        <xdr:cNvPr id="33" name="Group 32"/>
        <xdr:cNvGrpSpPr/>
      </xdr:nvGrpSpPr>
      <xdr:grpSpPr>
        <a:xfrm>
          <a:off x="0" y="71082807"/>
          <a:ext cx="13249255" cy="12585703"/>
          <a:chOff x="22408" y="69215576"/>
          <a:chExt cx="13284180" cy="11811001"/>
        </a:xfrm>
      </xdr:grpSpPr>
      <xdr:pic>
        <xdr:nvPicPr>
          <xdr:cNvPr id="34" name="Picture 3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5" name="Line Callout 2 (No Border) 34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4" name="Line Callout 2 (No Border) 43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20</xdr:row>
      <xdr:rowOff>136071</xdr:rowOff>
    </xdr:from>
    <xdr:to>
      <xdr:col>9</xdr:col>
      <xdr:colOff>639664</xdr:colOff>
      <xdr:row>101</xdr:row>
      <xdr:rowOff>29810</xdr:rowOff>
    </xdr:to>
    <xdr:grpSp>
      <xdr:nvGrpSpPr>
        <xdr:cNvPr id="45" name="Group 44"/>
        <xdr:cNvGrpSpPr/>
      </xdr:nvGrpSpPr>
      <xdr:grpSpPr>
        <a:xfrm>
          <a:off x="0" y="4517571"/>
          <a:ext cx="13225364" cy="15324239"/>
          <a:chOff x="27214" y="3349853"/>
          <a:chExt cx="13279216" cy="15558034"/>
        </a:xfrm>
      </xdr:grpSpPr>
      <xdr:pic>
        <xdr:nvPicPr>
          <xdr:cNvPr id="46" name="Picture 4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7" name="Line Callout 2 (No Border) 46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3155173" y="18194853"/>
            <a:ext cx="215051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pPr algn="ct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1" name="Rectangle 60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Rectangle 61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7" name="Line Callout 2 (No Border) 66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8" name="Rectangle 67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440</xdr:row>
      <xdr:rowOff>0</xdr:rowOff>
    </xdr:from>
    <xdr:to>
      <xdr:col>9</xdr:col>
      <xdr:colOff>665511</xdr:colOff>
      <xdr:row>496</xdr:row>
      <xdr:rowOff>148021</xdr:rowOff>
    </xdr:to>
    <xdr:grpSp>
      <xdr:nvGrpSpPr>
        <xdr:cNvPr id="69" name="Group 68"/>
        <xdr:cNvGrpSpPr/>
      </xdr:nvGrpSpPr>
      <xdr:grpSpPr>
        <a:xfrm>
          <a:off x="0" y="91935300"/>
          <a:ext cx="13251211" cy="11489121"/>
          <a:chOff x="13607" y="89487375"/>
          <a:chExt cx="13314588" cy="11205473"/>
        </a:xfrm>
      </xdr:grpSpPr>
      <xdr:pic>
        <xdr:nvPicPr>
          <xdr:cNvPr id="70" name="Picture 69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1" name="Line Callout 2 (No Border) 70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5" name="Line Callout 2 (No Border) 74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6" name="Rectangle 75"/>
          <xdr:cNvSpPr>
            <a:spLocks/>
          </xdr:cNvSpPr>
        </xdr:nvSpPr>
        <xdr:spPr>
          <a:xfrm>
            <a:off x="3153422" y="96141287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9" name="Line Callout 2 (No Border) 78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0" name="Line Callout 2 (No Border) 79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1" name="Rectangle 80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Rectangle 81"/>
          <xdr:cNvSpPr>
            <a:spLocks/>
          </xdr:cNvSpPr>
        </xdr:nvSpPr>
        <xdr:spPr>
          <a:xfrm>
            <a:off x="8340391" y="93558293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3" name="Line Callout 2 (No Border) 82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13608</xdr:colOff>
      <xdr:row>117</xdr:row>
      <xdr:rowOff>163287</xdr:rowOff>
    </xdr:from>
    <xdr:to>
      <xdr:col>2</xdr:col>
      <xdr:colOff>2340431</xdr:colOff>
      <xdr:row>127</xdr:row>
      <xdr:rowOff>71852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608" y="24084644"/>
          <a:ext cx="5510894" cy="1867994"/>
        </a:xfrm>
        <a:prstGeom prst="rect">
          <a:avLst/>
        </a:prstGeom>
      </xdr:spPr>
    </xdr:pic>
    <xdr:clientData/>
  </xdr:twoCellAnchor>
  <xdr:twoCellAnchor editAs="oneCell">
    <xdr:from>
      <xdr:col>0</xdr:col>
      <xdr:colOff>27216</xdr:colOff>
      <xdr:row>6</xdr:row>
      <xdr:rowOff>122464</xdr:rowOff>
    </xdr:from>
    <xdr:to>
      <xdr:col>2</xdr:col>
      <xdr:colOff>2764981</xdr:colOff>
      <xdr:row>16</xdr:row>
      <xdr:rowOff>89098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216" y="1768928"/>
          <a:ext cx="5921836" cy="1871634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427</xdr:row>
      <xdr:rowOff>136070</xdr:rowOff>
    </xdr:from>
    <xdr:to>
      <xdr:col>2</xdr:col>
      <xdr:colOff>3265715</xdr:colOff>
      <xdr:row>437</xdr:row>
      <xdr:rowOff>54428</xdr:rowOff>
    </xdr:to>
    <xdr:pic>
      <xdr:nvPicPr>
        <xdr:cNvPr id="12" name="Picture 11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2990" t="13814" r="2820" b="8395"/>
        <a:stretch/>
      </xdr:blipFill>
      <xdr:spPr>
        <a:xfrm>
          <a:off x="2" y="90569141"/>
          <a:ext cx="6449784" cy="18233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321</xdr:row>
      <xdr:rowOff>13607</xdr:rowOff>
    </xdr:from>
    <xdr:to>
      <xdr:col>1</xdr:col>
      <xdr:colOff>1730993</xdr:colOff>
      <xdr:row>330</xdr:row>
      <xdr:rowOff>41420</xdr:rowOff>
    </xdr:to>
    <xdr:pic>
      <xdr:nvPicPr>
        <xdr:cNvPr id="92" name="Picture 9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8348678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293</xdr:row>
      <xdr:rowOff>176893</xdr:rowOff>
    </xdr:from>
    <xdr:to>
      <xdr:col>1</xdr:col>
      <xdr:colOff>2711358</xdr:colOff>
      <xdr:row>300</xdr:row>
      <xdr:rowOff>77121</xdr:rowOff>
    </xdr:to>
    <xdr:grpSp>
      <xdr:nvGrpSpPr>
        <xdr:cNvPr id="93" name="Group 92"/>
        <xdr:cNvGrpSpPr/>
      </xdr:nvGrpSpPr>
      <xdr:grpSpPr>
        <a:xfrm>
          <a:off x="0" y="61594093"/>
          <a:ext cx="3181258" cy="1322628"/>
          <a:chOff x="5" y="63408179"/>
          <a:chExt cx="3174001" cy="1328978"/>
        </a:xfrm>
      </xdr:grpSpPr>
      <xdr:pic>
        <xdr:nvPicPr>
          <xdr:cNvPr id="94" name="Picture 9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5" name="Rectangle 94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6" name="Rectangle 95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7" name="Rectangle 96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98" name="Picture 9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9" name="Picture 98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281</xdr:row>
      <xdr:rowOff>190500</xdr:rowOff>
    </xdr:from>
    <xdr:to>
      <xdr:col>1</xdr:col>
      <xdr:colOff>1944275</xdr:colOff>
      <xdr:row>289</xdr:row>
      <xdr:rowOff>14612</xdr:rowOff>
    </xdr:to>
    <xdr:pic>
      <xdr:nvPicPr>
        <xdr:cNvPr id="84" name="Picture 8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313536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142853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42853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432</xdr:row>
      <xdr:rowOff>201705</xdr:rowOff>
    </xdr:from>
    <xdr:to>
      <xdr:col>9</xdr:col>
      <xdr:colOff>324970</xdr:colOff>
      <xdr:row>433</xdr:row>
      <xdr:rowOff>212911</xdr:rowOff>
    </xdr:to>
    <xdr:sp macro="" textlink="">
      <xdr:nvSpPr>
        <xdr:cNvPr id="3" name="Rectangle 2"/>
        <xdr:cNvSpPr/>
      </xdr:nvSpPr>
      <xdr:spPr>
        <a:xfrm>
          <a:off x="12664329" y="8995578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163286</xdr:rowOff>
    </xdr:from>
    <xdr:ext cx="3110302" cy="1060854"/>
    <xdr:pic>
      <xdr:nvPicPr>
        <xdr:cNvPr id="4" name="Picture 3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1861236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</xdr:colOff>
      <xdr:row>208</xdr:row>
      <xdr:rowOff>0</xdr:rowOff>
    </xdr:from>
    <xdr:ext cx="3110302" cy="1060854"/>
    <xdr:pic>
      <xdr:nvPicPr>
        <xdr:cNvPr id="5" name="Picture 4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" y="43748325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314</xdr:row>
      <xdr:rowOff>149679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65500704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421</xdr:row>
      <xdr:rowOff>136072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727077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190498</xdr:colOff>
      <xdr:row>2</xdr:row>
      <xdr:rowOff>0</xdr:rowOff>
    </xdr:from>
    <xdr:to>
      <xdr:col>12</xdr:col>
      <xdr:colOff>598711</xdr:colOff>
      <xdr:row>5</xdr:row>
      <xdr:rowOff>54428</xdr:rowOff>
    </xdr:to>
    <xdr:sp macro="" textlink="">
      <xdr:nvSpPr>
        <xdr:cNvPr id="8" name="Left Arrow 7">
          <a:hlinkClick xmlns:r="http://schemas.openxmlformats.org/officeDocument/2006/relationships" r:id="rId2"/>
        </xdr:cNvPr>
        <xdr:cNvSpPr/>
      </xdr:nvSpPr>
      <xdr:spPr>
        <a:xfrm>
          <a:off x="14144623" y="542925"/>
          <a:ext cx="1017813" cy="845003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109073</xdr:rowOff>
    </xdr:to>
    <xdr:pic>
      <xdr:nvPicPr>
        <xdr:cNvPr id="10" name="Picture 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384807"/>
          <a:ext cx="2797548" cy="1682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5084</xdr:rowOff>
    </xdr:to>
    <xdr:pic>
      <xdr:nvPicPr>
        <xdr:cNvPr id="11" name="Picture 1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975926"/>
          <a:ext cx="1174297" cy="1187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249</xdr:row>
      <xdr:rowOff>43533</xdr:rowOff>
    </xdr:to>
    <xdr:pic>
      <xdr:nvPicPr>
        <xdr:cNvPr id="12" name="Picture 1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979151"/>
          <a:ext cx="2862316" cy="14137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254</xdr:row>
      <xdr:rowOff>8496</xdr:rowOff>
    </xdr:from>
    <xdr:to>
      <xdr:col>1</xdr:col>
      <xdr:colOff>777156</xdr:colOff>
      <xdr:row>259</xdr:row>
      <xdr:rowOff>179187</xdr:rowOff>
    </xdr:to>
    <xdr:pic>
      <xdr:nvPicPr>
        <xdr:cNvPr id="13" name="Picture 1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3358021"/>
          <a:ext cx="1243881" cy="1170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263</xdr:row>
      <xdr:rowOff>178903</xdr:rowOff>
    </xdr:from>
    <xdr:to>
      <xdr:col>1</xdr:col>
      <xdr:colOff>2429615</xdr:colOff>
      <xdr:row>270</xdr:row>
      <xdr:rowOff>78707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5328653"/>
          <a:ext cx="2861704" cy="129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275</xdr:row>
      <xdr:rowOff>5566</xdr:rowOff>
    </xdr:from>
    <xdr:to>
      <xdr:col>1</xdr:col>
      <xdr:colOff>571500</xdr:colOff>
      <xdr:row>279</xdr:row>
      <xdr:rowOff>87830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7555616"/>
          <a:ext cx="1038225" cy="882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341</xdr:row>
      <xdr:rowOff>13608</xdr:rowOff>
    </xdr:from>
    <xdr:to>
      <xdr:col>9</xdr:col>
      <xdr:colOff>663555</xdr:colOff>
      <xdr:row>403</xdr:row>
      <xdr:rowOff>13610</xdr:rowOff>
    </xdr:to>
    <xdr:grpSp>
      <xdr:nvGrpSpPr>
        <xdr:cNvPr id="16" name="Group 15"/>
        <xdr:cNvGrpSpPr/>
      </xdr:nvGrpSpPr>
      <xdr:grpSpPr>
        <a:xfrm>
          <a:off x="0" y="71489208"/>
          <a:ext cx="13249255" cy="12585702"/>
          <a:chOff x="22408" y="69215576"/>
          <a:chExt cx="13284180" cy="11811001"/>
        </a:xfrm>
      </xdr:grpSpPr>
      <xdr:pic>
        <xdr:nvPicPr>
          <xdr:cNvPr id="17" name="Picture 1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8" name="Line Callout 2 (No Border) 17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19" name="Line Callout 2 (No Border) 18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0" name="Line Callout 2 (No Border) 19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1" name="Line Callout 2 (No Border) 20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2" name="Line Callout 2 (No Border) 21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3" name="Line Callout 2 (No Border) 22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4" name="Line Callout 2 (No Border) 23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25" name="Line Callout 2 (No Border) 24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26" name="Line Callout 2 (No Border) 25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7" name="Line Callout 2 (No Border) 26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22</xdr:row>
      <xdr:rowOff>122464</xdr:rowOff>
    </xdr:from>
    <xdr:to>
      <xdr:col>9</xdr:col>
      <xdr:colOff>639664</xdr:colOff>
      <xdr:row>103</xdr:row>
      <xdr:rowOff>16203</xdr:rowOff>
    </xdr:to>
    <xdr:grpSp>
      <xdr:nvGrpSpPr>
        <xdr:cNvPr id="28" name="Group 27"/>
        <xdr:cNvGrpSpPr/>
      </xdr:nvGrpSpPr>
      <xdr:grpSpPr>
        <a:xfrm>
          <a:off x="0" y="4884964"/>
          <a:ext cx="13225364" cy="15324239"/>
          <a:chOff x="27214" y="3349853"/>
          <a:chExt cx="13279216" cy="15558034"/>
        </a:xfrm>
      </xdr:grpSpPr>
      <xdr:pic>
        <xdr:nvPicPr>
          <xdr:cNvPr id="29" name="Picture 28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0" name="Line Callout 2 (No Border) 29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1" name="Line Callout 2 (No Border) 30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2" name="Line Callout 2 (No Border) 31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3" name="Line Callout 2 (No Border) 32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4" name="Line Callout 2 (No Border) 33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5" name="Line Callout 2 (No Border) 34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3155172" y="18194853"/>
            <a:ext cx="1998514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pPr algn="ct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4" name="Rectangle 43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5" name="Rectangle 44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6" name="Line Callout 2 (No Border) 45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7" name="Line Callout 2 (No Border) 46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Rectangle 50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444</xdr:row>
      <xdr:rowOff>136072</xdr:rowOff>
    </xdr:from>
    <xdr:to>
      <xdr:col>9</xdr:col>
      <xdr:colOff>665511</xdr:colOff>
      <xdr:row>502</xdr:row>
      <xdr:rowOff>107200</xdr:rowOff>
    </xdr:to>
    <xdr:grpSp>
      <xdr:nvGrpSpPr>
        <xdr:cNvPr id="52" name="Group 51"/>
        <xdr:cNvGrpSpPr/>
      </xdr:nvGrpSpPr>
      <xdr:grpSpPr>
        <a:xfrm>
          <a:off x="0" y="93125472"/>
          <a:ext cx="13251211" cy="11477328"/>
          <a:chOff x="13607" y="89487375"/>
          <a:chExt cx="13314588" cy="11205473"/>
        </a:xfrm>
      </xdr:grpSpPr>
      <xdr:pic>
        <xdr:nvPicPr>
          <xdr:cNvPr id="53" name="Picture 5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4" name="Line Callout 2 (No Border) 53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9" name="Rectangle 58"/>
          <xdr:cNvSpPr>
            <a:spLocks/>
          </xdr:cNvSpPr>
        </xdr:nvSpPr>
        <xdr:spPr>
          <a:xfrm>
            <a:off x="3153422" y="96088298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1" name="Line Callout 2 (No Border) 60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2" name="Line Callout 2 (No Border) 61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Rectangle 63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5" name="Rectangle 64"/>
          <xdr:cNvSpPr>
            <a:spLocks/>
          </xdr:cNvSpPr>
        </xdr:nvSpPr>
        <xdr:spPr>
          <a:xfrm>
            <a:off x="8340391" y="93598034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320</xdr:row>
      <xdr:rowOff>190498</xdr:rowOff>
    </xdr:from>
    <xdr:to>
      <xdr:col>1</xdr:col>
      <xdr:colOff>1730993</xdr:colOff>
      <xdr:row>330</xdr:row>
      <xdr:rowOff>27811</xdr:rowOff>
    </xdr:to>
    <xdr:pic>
      <xdr:nvPicPr>
        <xdr:cNvPr id="67" name="Picture 6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7217923"/>
          <a:ext cx="2197718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40824</xdr:colOff>
      <xdr:row>296</xdr:row>
      <xdr:rowOff>40821</xdr:rowOff>
    </xdr:from>
    <xdr:to>
      <xdr:col>2</xdr:col>
      <xdr:colOff>30754</xdr:colOff>
      <xdr:row>302</xdr:row>
      <xdr:rowOff>145156</xdr:rowOff>
    </xdr:to>
    <xdr:grpSp>
      <xdr:nvGrpSpPr>
        <xdr:cNvPr id="68" name="Group 67"/>
        <xdr:cNvGrpSpPr/>
      </xdr:nvGrpSpPr>
      <xdr:grpSpPr>
        <a:xfrm>
          <a:off x="40824" y="62067621"/>
          <a:ext cx="3177630" cy="1323535"/>
          <a:chOff x="5" y="63408179"/>
          <a:chExt cx="3174001" cy="1328978"/>
        </a:xfrm>
      </xdr:grpSpPr>
      <xdr:pic>
        <xdr:nvPicPr>
          <xdr:cNvPr id="69" name="Picture 68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0" name="Rectangle 69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71" name="Rectangle 70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72" name="Rectangle 71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73" name="Picture 7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4" name="Picture 7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283</xdr:row>
      <xdr:rowOff>190500</xdr:rowOff>
    </xdr:from>
    <xdr:to>
      <xdr:col>1</xdr:col>
      <xdr:colOff>1944275</xdr:colOff>
      <xdr:row>291</xdr:row>
      <xdr:rowOff>14612</xdr:rowOff>
    </xdr:to>
    <xdr:pic>
      <xdr:nvPicPr>
        <xdr:cNvPr id="75" name="Picture 7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340750"/>
          <a:ext cx="2411000" cy="1424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114300</xdr:rowOff>
    </xdr:from>
    <xdr:to>
      <xdr:col>2</xdr:col>
      <xdr:colOff>2154649</xdr:colOff>
      <xdr:row>16</xdr:row>
      <xdr:rowOff>101600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flipH="1">
          <a:off x="0" y="1778000"/>
          <a:ext cx="5342349" cy="1892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190500</xdr:rowOff>
    </xdr:from>
    <xdr:to>
      <xdr:col>2</xdr:col>
      <xdr:colOff>2154649</xdr:colOff>
      <xdr:row>127</xdr:row>
      <xdr:rowOff>127000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flipH="1">
          <a:off x="0" y="23596600"/>
          <a:ext cx="5342349" cy="1892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427</xdr:row>
      <xdr:rowOff>152400</xdr:rowOff>
    </xdr:from>
    <xdr:to>
      <xdr:col>2</xdr:col>
      <xdr:colOff>3174124</xdr:colOff>
      <xdr:row>437</xdr:row>
      <xdr:rowOff>101600</xdr:rowOff>
    </xdr:to>
    <xdr:pic>
      <xdr:nvPicPr>
        <xdr:cNvPr id="78" name="Picture 77"/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2616" t="12751" r="2771" b="9396"/>
        <a:stretch/>
      </xdr:blipFill>
      <xdr:spPr>
        <a:xfrm flipH="1">
          <a:off x="0" y="89598500"/>
          <a:ext cx="6361824" cy="18542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142853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42853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432</xdr:row>
      <xdr:rowOff>201705</xdr:rowOff>
    </xdr:from>
    <xdr:to>
      <xdr:col>9</xdr:col>
      <xdr:colOff>324970</xdr:colOff>
      <xdr:row>433</xdr:row>
      <xdr:rowOff>212911</xdr:rowOff>
    </xdr:to>
    <xdr:sp macro="" textlink="">
      <xdr:nvSpPr>
        <xdr:cNvPr id="3" name="Rectangle 2"/>
        <xdr:cNvSpPr/>
      </xdr:nvSpPr>
      <xdr:spPr>
        <a:xfrm>
          <a:off x="12664329" y="8995578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163286</xdr:rowOff>
    </xdr:from>
    <xdr:ext cx="3110302" cy="1060854"/>
    <xdr:pic>
      <xdr:nvPicPr>
        <xdr:cNvPr id="4" name="Picture 3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1861236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</xdr:colOff>
      <xdr:row>208</xdr:row>
      <xdr:rowOff>0</xdr:rowOff>
    </xdr:from>
    <xdr:ext cx="3110302" cy="1060854"/>
    <xdr:pic>
      <xdr:nvPicPr>
        <xdr:cNvPr id="5" name="Picture 4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" y="43748325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314</xdr:row>
      <xdr:rowOff>149679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65500704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421</xdr:row>
      <xdr:rowOff>136072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727077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190498</xdr:colOff>
      <xdr:row>2</xdr:row>
      <xdr:rowOff>0</xdr:rowOff>
    </xdr:from>
    <xdr:to>
      <xdr:col>12</xdr:col>
      <xdr:colOff>598711</xdr:colOff>
      <xdr:row>5</xdr:row>
      <xdr:rowOff>54428</xdr:rowOff>
    </xdr:to>
    <xdr:sp macro="" textlink="">
      <xdr:nvSpPr>
        <xdr:cNvPr id="8" name="Left Arrow 7">
          <a:hlinkClick xmlns:r="http://schemas.openxmlformats.org/officeDocument/2006/relationships" r:id="rId2"/>
        </xdr:cNvPr>
        <xdr:cNvSpPr/>
      </xdr:nvSpPr>
      <xdr:spPr>
        <a:xfrm>
          <a:off x="14144623" y="542925"/>
          <a:ext cx="1017813" cy="845003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109073</xdr:rowOff>
    </xdr:to>
    <xdr:pic>
      <xdr:nvPicPr>
        <xdr:cNvPr id="11" name="Picture 1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384807"/>
          <a:ext cx="2797548" cy="1682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5084</xdr:rowOff>
    </xdr:to>
    <xdr:pic>
      <xdr:nvPicPr>
        <xdr:cNvPr id="12" name="Picture 1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975926"/>
          <a:ext cx="1174297" cy="1187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249</xdr:row>
      <xdr:rowOff>43533</xdr:rowOff>
    </xdr:to>
    <xdr:pic>
      <xdr:nvPicPr>
        <xdr:cNvPr id="13" name="Picture 1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979151"/>
          <a:ext cx="2862316" cy="14137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254</xdr:row>
      <xdr:rowOff>8496</xdr:rowOff>
    </xdr:from>
    <xdr:to>
      <xdr:col>1</xdr:col>
      <xdr:colOff>777156</xdr:colOff>
      <xdr:row>259</xdr:row>
      <xdr:rowOff>179187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3358021"/>
          <a:ext cx="1243881" cy="1170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263</xdr:row>
      <xdr:rowOff>178903</xdr:rowOff>
    </xdr:from>
    <xdr:to>
      <xdr:col>1</xdr:col>
      <xdr:colOff>2429615</xdr:colOff>
      <xdr:row>270</xdr:row>
      <xdr:rowOff>78707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5328653"/>
          <a:ext cx="2861704" cy="129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275</xdr:row>
      <xdr:rowOff>5566</xdr:rowOff>
    </xdr:from>
    <xdr:to>
      <xdr:col>1</xdr:col>
      <xdr:colOff>571500</xdr:colOff>
      <xdr:row>279</xdr:row>
      <xdr:rowOff>87830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7555616"/>
          <a:ext cx="1038225" cy="882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341</xdr:row>
      <xdr:rowOff>13608</xdr:rowOff>
    </xdr:from>
    <xdr:to>
      <xdr:col>9</xdr:col>
      <xdr:colOff>663555</xdr:colOff>
      <xdr:row>403</xdr:row>
      <xdr:rowOff>13610</xdr:rowOff>
    </xdr:to>
    <xdr:grpSp>
      <xdr:nvGrpSpPr>
        <xdr:cNvPr id="17" name="Group 16"/>
        <xdr:cNvGrpSpPr/>
      </xdr:nvGrpSpPr>
      <xdr:grpSpPr>
        <a:xfrm>
          <a:off x="0" y="71489208"/>
          <a:ext cx="13249255" cy="12585702"/>
          <a:chOff x="22408" y="69215576"/>
          <a:chExt cx="13284180" cy="11811001"/>
        </a:xfrm>
      </xdr:grpSpPr>
      <xdr:pic>
        <xdr:nvPicPr>
          <xdr:cNvPr id="18" name="Picture 1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9" name="Line Callout 2 (No Border) 18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20" name="Line Callout 2 (No Border) 19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1" name="Line Callout 2 (No Border) 20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2" name="Line Callout 2 (No Border) 21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3" name="Line Callout 2 (No Border) 22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4" name="Line Callout 2 (No Border) 23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5" name="Line Callout 2 (No Border) 24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26" name="Line Callout 2 (No Border) 25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27" name="Line Callout 2 (No Border) 26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8" name="Line Callout 2 (No Border) 27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22</xdr:row>
      <xdr:rowOff>122464</xdr:rowOff>
    </xdr:from>
    <xdr:to>
      <xdr:col>9</xdr:col>
      <xdr:colOff>639664</xdr:colOff>
      <xdr:row>103</xdr:row>
      <xdr:rowOff>16203</xdr:rowOff>
    </xdr:to>
    <xdr:grpSp>
      <xdr:nvGrpSpPr>
        <xdr:cNvPr id="29" name="Group 28"/>
        <xdr:cNvGrpSpPr/>
      </xdr:nvGrpSpPr>
      <xdr:grpSpPr>
        <a:xfrm>
          <a:off x="0" y="4884964"/>
          <a:ext cx="13225364" cy="15324239"/>
          <a:chOff x="27214" y="3349853"/>
          <a:chExt cx="13279216" cy="15558034"/>
        </a:xfrm>
      </xdr:grpSpPr>
      <xdr:pic>
        <xdr:nvPicPr>
          <xdr:cNvPr id="30" name="Picture 29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1" name="Line Callout 2 (No Border) 30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2" name="Line Callout 2 (No Border) 31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3" name="Line Callout 2 (No Border) 32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4" name="Line Callout 2 (No Border) 33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5" name="Line Callout 2 (No Border) 34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3155172" y="18194853"/>
            <a:ext cx="1998514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pPr algn="ct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4" name="Line Callout 2 (No Border) 43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5" name="Rectangle 44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6" name="Rectangle 45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7" name="Line Callout 2 (No Border) 46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Rectangle 51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444</xdr:row>
      <xdr:rowOff>136072</xdr:rowOff>
    </xdr:from>
    <xdr:to>
      <xdr:col>9</xdr:col>
      <xdr:colOff>665511</xdr:colOff>
      <xdr:row>502</xdr:row>
      <xdr:rowOff>107200</xdr:rowOff>
    </xdr:to>
    <xdr:grpSp>
      <xdr:nvGrpSpPr>
        <xdr:cNvPr id="53" name="Group 52"/>
        <xdr:cNvGrpSpPr/>
      </xdr:nvGrpSpPr>
      <xdr:grpSpPr>
        <a:xfrm>
          <a:off x="0" y="93125472"/>
          <a:ext cx="13251211" cy="11477328"/>
          <a:chOff x="13607" y="89487375"/>
          <a:chExt cx="13314588" cy="11205473"/>
        </a:xfrm>
      </xdr:grpSpPr>
      <xdr:pic>
        <xdr:nvPicPr>
          <xdr:cNvPr id="54" name="Picture 5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5" name="Line Callout 2 (No Border) 54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0" name="Rectangle 59"/>
          <xdr:cNvSpPr>
            <a:spLocks/>
          </xdr:cNvSpPr>
        </xdr:nvSpPr>
        <xdr:spPr>
          <a:xfrm>
            <a:off x="3153422" y="96088298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1" name="Line Callout 2 (No Border) 60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2" name="Line Callout 2 (No Border) 61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Rectangle 64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6" name="Rectangle 65"/>
          <xdr:cNvSpPr>
            <a:spLocks/>
          </xdr:cNvSpPr>
        </xdr:nvSpPr>
        <xdr:spPr>
          <a:xfrm>
            <a:off x="8340391" y="93598034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7" name="Line Callout 2 (No Border) 66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320</xdr:row>
      <xdr:rowOff>190498</xdr:rowOff>
    </xdr:from>
    <xdr:to>
      <xdr:col>1</xdr:col>
      <xdr:colOff>1730993</xdr:colOff>
      <xdr:row>330</xdr:row>
      <xdr:rowOff>27811</xdr:rowOff>
    </xdr:to>
    <xdr:pic>
      <xdr:nvPicPr>
        <xdr:cNvPr id="68" name="Picture 6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7217923"/>
          <a:ext cx="2197718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40824</xdr:colOff>
      <xdr:row>296</xdr:row>
      <xdr:rowOff>40821</xdr:rowOff>
    </xdr:from>
    <xdr:to>
      <xdr:col>2</xdr:col>
      <xdr:colOff>30754</xdr:colOff>
      <xdr:row>302</xdr:row>
      <xdr:rowOff>145156</xdr:rowOff>
    </xdr:to>
    <xdr:grpSp>
      <xdr:nvGrpSpPr>
        <xdr:cNvPr id="69" name="Group 68"/>
        <xdr:cNvGrpSpPr/>
      </xdr:nvGrpSpPr>
      <xdr:grpSpPr>
        <a:xfrm>
          <a:off x="40824" y="62067621"/>
          <a:ext cx="3177630" cy="1323535"/>
          <a:chOff x="5" y="63408179"/>
          <a:chExt cx="3174001" cy="1328978"/>
        </a:xfrm>
      </xdr:grpSpPr>
      <xdr:pic>
        <xdr:nvPicPr>
          <xdr:cNvPr id="70" name="Picture 69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1" name="Rectangle 70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72" name="Rectangle 71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73" name="Rectangle 72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74" name="Picture 7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5" name="Picture 74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283</xdr:row>
      <xdr:rowOff>190500</xdr:rowOff>
    </xdr:from>
    <xdr:to>
      <xdr:col>1</xdr:col>
      <xdr:colOff>1944275</xdr:colOff>
      <xdr:row>291</xdr:row>
      <xdr:rowOff>14612</xdr:rowOff>
    </xdr:to>
    <xdr:pic>
      <xdr:nvPicPr>
        <xdr:cNvPr id="76" name="Picture 7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340750"/>
          <a:ext cx="2411000" cy="1424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114300</xdr:rowOff>
    </xdr:from>
    <xdr:to>
      <xdr:col>2</xdr:col>
      <xdr:colOff>2154649</xdr:colOff>
      <xdr:row>16</xdr:row>
      <xdr:rowOff>101600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778000"/>
          <a:ext cx="5342349" cy="1892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190500</xdr:rowOff>
    </xdr:from>
    <xdr:to>
      <xdr:col>2</xdr:col>
      <xdr:colOff>2154649</xdr:colOff>
      <xdr:row>127</xdr:row>
      <xdr:rowOff>127000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23596600"/>
          <a:ext cx="5342349" cy="1892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427</xdr:row>
      <xdr:rowOff>152400</xdr:rowOff>
    </xdr:from>
    <xdr:to>
      <xdr:col>2</xdr:col>
      <xdr:colOff>3174124</xdr:colOff>
      <xdr:row>437</xdr:row>
      <xdr:rowOff>101600</xdr:rowOff>
    </xdr:to>
    <xdr:pic>
      <xdr:nvPicPr>
        <xdr:cNvPr id="81" name="Picture 80"/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2616" t="12751" r="2771" b="9396"/>
        <a:stretch/>
      </xdr:blipFill>
      <xdr:spPr>
        <a:xfrm>
          <a:off x="0" y="89598500"/>
          <a:ext cx="6361824" cy="18542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140729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4072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430</xdr:row>
      <xdr:rowOff>201705</xdr:rowOff>
    </xdr:from>
    <xdr:to>
      <xdr:col>9</xdr:col>
      <xdr:colOff>324970</xdr:colOff>
      <xdr:row>431</xdr:row>
      <xdr:rowOff>212911</xdr:rowOff>
    </xdr:to>
    <xdr:sp macro="" textlink="">
      <xdr:nvSpPr>
        <xdr:cNvPr id="3" name="Rectangle 2"/>
        <xdr:cNvSpPr/>
      </xdr:nvSpPr>
      <xdr:spPr>
        <a:xfrm>
          <a:off x="12664329" y="89889105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148827</xdr:rowOff>
    </xdr:from>
    <xdr:ext cx="3110302" cy="1060854"/>
    <xdr:pic>
      <xdr:nvPicPr>
        <xdr:cNvPr id="4" name="Picture 3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1846777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11056</xdr:colOff>
      <xdr:row>208</xdr:row>
      <xdr:rowOff>0</xdr:rowOff>
    </xdr:from>
    <xdr:ext cx="3110302" cy="1060854"/>
    <xdr:pic>
      <xdr:nvPicPr>
        <xdr:cNvPr id="5" name="Picture 4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1056" y="43681650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314</xdr:row>
      <xdr:rowOff>148828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65433178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419</xdr:row>
      <xdr:rowOff>148827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721685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136070</xdr:colOff>
      <xdr:row>2</xdr:row>
      <xdr:rowOff>0</xdr:rowOff>
    </xdr:from>
    <xdr:to>
      <xdr:col>12</xdr:col>
      <xdr:colOff>544283</xdr:colOff>
      <xdr:row>5</xdr:row>
      <xdr:rowOff>54428</xdr:rowOff>
    </xdr:to>
    <xdr:sp macro="" textlink="">
      <xdr:nvSpPr>
        <xdr:cNvPr id="8" name="Left Arrow 7">
          <a:hlinkClick xmlns:r="http://schemas.openxmlformats.org/officeDocument/2006/relationships" r:id="rId2"/>
        </xdr:cNvPr>
        <xdr:cNvSpPr/>
      </xdr:nvSpPr>
      <xdr:spPr>
        <a:xfrm>
          <a:off x="14090195" y="542925"/>
          <a:ext cx="1017813" cy="845003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15718</xdr:colOff>
      <xdr:row>307</xdr:row>
      <xdr:rowOff>13804</xdr:rowOff>
    </xdr:from>
    <xdr:to>
      <xdr:col>1</xdr:col>
      <xdr:colOff>458615</xdr:colOff>
      <xdr:row>312</xdr:row>
      <xdr:rowOff>97365</xdr:rowOff>
    </xdr:to>
    <xdr:pic>
      <xdr:nvPicPr>
        <xdr:cNvPr id="11" name="Picture 1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15718" y="63897979"/>
          <a:ext cx="909622" cy="1083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96373</xdr:rowOff>
    </xdr:to>
    <xdr:pic>
      <xdr:nvPicPr>
        <xdr:cNvPr id="12" name="Picture 1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318132"/>
          <a:ext cx="2797548" cy="1682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5086</xdr:rowOff>
    </xdr:to>
    <xdr:pic>
      <xdr:nvPicPr>
        <xdr:cNvPr id="13" name="Picture 1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909251"/>
          <a:ext cx="1174297" cy="1187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249</xdr:row>
      <xdr:rowOff>43533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912476"/>
          <a:ext cx="2862316" cy="14137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8496</xdr:rowOff>
    </xdr:from>
    <xdr:to>
      <xdr:col>1</xdr:col>
      <xdr:colOff>777156</xdr:colOff>
      <xdr:row>258</xdr:row>
      <xdr:rowOff>179188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3091321"/>
          <a:ext cx="1243881" cy="11708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262</xdr:row>
      <xdr:rowOff>178903</xdr:rowOff>
    </xdr:from>
    <xdr:to>
      <xdr:col>1</xdr:col>
      <xdr:colOff>2429615</xdr:colOff>
      <xdr:row>269</xdr:row>
      <xdr:rowOff>78706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5061953"/>
          <a:ext cx="2861704" cy="1299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274</xdr:row>
      <xdr:rowOff>5566</xdr:rowOff>
    </xdr:from>
    <xdr:to>
      <xdr:col>1</xdr:col>
      <xdr:colOff>571500</xdr:colOff>
      <xdr:row>278</xdr:row>
      <xdr:rowOff>87828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7288916"/>
          <a:ext cx="1038225" cy="882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339</xdr:row>
      <xdr:rowOff>89297</xdr:rowOff>
    </xdr:from>
    <xdr:to>
      <xdr:col>9</xdr:col>
      <xdr:colOff>700125</xdr:colOff>
      <xdr:row>404</xdr:row>
      <xdr:rowOff>154357</xdr:rowOff>
    </xdr:to>
    <xdr:grpSp>
      <xdr:nvGrpSpPr>
        <xdr:cNvPr id="18" name="Group 17"/>
        <xdr:cNvGrpSpPr/>
      </xdr:nvGrpSpPr>
      <xdr:grpSpPr>
        <a:xfrm>
          <a:off x="0" y="71209297"/>
          <a:ext cx="13285825" cy="13260360"/>
          <a:chOff x="22408" y="69215576"/>
          <a:chExt cx="13284180" cy="11811001"/>
        </a:xfrm>
      </xdr:grpSpPr>
      <xdr:pic>
        <xdr:nvPicPr>
          <xdr:cNvPr id="19" name="Picture 18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0" name="Line Callout 2 (No Border) 19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21" name="Line Callout 2 (No Border) 20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2" name="Line Callout 2 (No Border) 21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3" name="Line Callout 2 (No Border) 22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4" name="Line Callout 2 (No Border) 23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5" name="Line Callout 2 (No Border) 24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6" name="Line Callout 2 (No Border) 25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27" name="Line Callout 2 (No Border) 26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28" name="Line Callout 2 (No Border) 27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9" name="Line Callout 2 (No Border) 28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21</xdr:row>
      <xdr:rowOff>178594</xdr:rowOff>
    </xdr:from>
    <xdr:to>
      <xdr:col>9</xdr:col>
      <xdr:colOff>676234</xdr:colOff>
      <xdr:row>101</xdr:row>
      <xdr:rowOff>24708</xdr:rowOff>
    </xdr:to>
    <xdr:grpSp>
      <xdr:nvGrpSpPr>
        <xdr:cNvPr id="30" name="Group 29"/>
        <xdr:cNvGrpSpPr/>
      </xdr:nvGrpSpPr>
      <xdr:grpSpPr>
        <a:xfrm>
          <a:off x="0" y="4750594"/>
          <a:ext cx="13261934" cy="15086114"/>
          <a:chOff x="27214" y="3349853"/>
          <a:chExt cx="13279216" cy="15558034"/>
        </a:xfrm>
      </xdr:grpSpPr>
      <xdr:pic>
        <xdr:nvPicPr>
          <xdr:cNvPr id="31" name="Picture 30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2" name="Line Callout 2 (No Border) 31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3" name="Line Callout 2 (No Border) 32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4" name="Line Callout 2 (No Border) 33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5" name="Line Callout 2 (No Border) 34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3155172" y="18194853"/>
            <a:ext cx="2205320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pPr algn="ct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4" name="Line Callout 2 (No Border) 43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5" name="Line Callout 2 (No Border) 44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6" name="Rectangle 45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7" name="Rectangle 46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3" name="Rectangle 52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438</xdr:row>
      <xdr:rowOff>0</xdr:rowOff>
    </xdr:from>
    <xdr:to>
      <xdr:col>9</xdr:col>
      <xdr:colOff>702081</xdr:colOff>
      <xdr:row>495</xdr:row>
      <xdr:rowOff>50219</xdr:rowOff>
    </xdr:to>
    <xdr:grpSp>
      <xdr:nvGrpSpPr>
        <xdr:cNvPr id="54" name="Group 53"/>
        <xdr:cNvGrpSpPr/>
      </xdr:nvGrpSpPr>
      <xdr:grpSpPr>
        <a:xfrm>
          <a:off x="0" y="91579700"/>
          <a:ext cx="13287781" cy="11353219"/>
          <a:chOff x="13607" y="89487375"/>
          <a:chExt cx="13314588" cy="11205473"/>
        </a:xfrm>
      </xdr:grpSpPr>
      <xdr:pic>
        <xdr:nvPicPr>
          <xdr:cNvPr id="55" name="Picture 54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6" name="Line Callout 2 (No Border) 55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1" name="Rectangle 60"/>
          <xdr:cNvSpPr>
            <a:spLocks/>
          </xdr:cNvSpPr>
        </xdr:nvSpPr>
        <xdr:spPr>
          <a:xfrm>
            <a:off x="3153422" y="96158674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Line Callout 2 (No Border) 61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6" name="Rectangle 65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7" name="Rectangle 66"/>
          <xdr:cNvSpPr>
            <a:spLocks/>
          </xdr:cNvSpPr>
        </xdr:nvSpPr>
        <xdr:spPr>
          <a:xfrm>
            <a:off x="8340391" y="93574852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8" name="Line Callout 2 (No Border) 67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321</xdr:row>
      <xdr:rowOff>14885</xdr:rowOff>
    </xdr:from>
    <xdr:to>
      <xdr:col>1</xdr:col>
      <xdr:colOff>1732269</xdr:colOff>
      <xdr:row>330</xdr:row>
      <xdr:rowOff>15909</xdr:rowOff>
    </xdr:to>
    <xdr:pic>
      <xdr:nvPicPr>
        <xdr:cNvPr id="70" name="Picture 6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7166135"/>
          <a:ext cx="2198994" cy="1715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296</xdr:row>
      <xdr:rowOff>44648</xdr:rowOff>
    </xdr:from>
    <xdr:to>
      <xdr:col>2</xdr:col>
      <xdr:colOff>3962</xdr:colOff>
      <xdr:row>303</xdr:row>
      <xdr:rowOff>19290</xdr:rowOff>
    </xdr:to>
    <xdr:grpSp>
      <xdr:nvGrpSpPr>
        <xdr:cNvPr id="71" name="Group 70"/>
        <xdr:cNvGrpSpPr/>
      </xdr:nvGrpSpPr>
      <xdr:grpSpPr>
        <a:xfrm>
          <a:off x="0" y="62046048"/>
          <a:ext cx="3191662" cy="1397042"/>
          <a:chOff x="5" y="63408179"/>
          <a:chExt cx="3174001" cy="1328978"/>
        </a:xfrm>
      </xdr:grpSpPr>
      <xdr:pic>
        <xdr:nvPicPr>
          <xdr:cNvPr id="72" name="Picture 71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3" name="Rectangle 72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74" name="Rectangle 73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75" name="Rectangle 74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76" name="Picture 7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7" name="Picture 7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284</xdr:row>
      <xdr:rowOff>14882</xdr:rowOff>
    </xdr:from>
    <xdr:to>
      <xdr:col>1</xdr:col>
      <xdr:colOff>1945551</xdr:colOff>
      <xdr:row>291</xdr:row>
      <xdr:rowOff>117515</xdr:rowOff>
    </xdr:to>
    <xdr:pic>
      <xdr:nvPicPr>
        <xdr:cNvPr id="78" name="Picture 7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298482"/>
          <a:ext cx="2412276" cy="1502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177800</xdr:rowOff>
    </xdr:from>
    <xdr:to>
      <xdr:col>2</xdr:col>
      <xdr:colOff>2489200</xdr:colOff>
      <xdr:row>127</xdr:row>
      <xdr:rowOff>135629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3583900"/>
          <a:ext cx="5676900" cy="19136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127000</xdr:rowOff>
    </xdr:from>
    <xdr:to>
      <xdr:col>2</xdr:col>
      <xdr:colOff>2489200</xdr:colOff>
      <xdr:row>16</xdr:row>
      <xdr:rowOff>135629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1790700"/>
          <a:ext cx="5676900" cy="19136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426</xdr:row>
      <xdr:rowOff>12701</xdr:rowOff>
    </xdr:from>
    <xdr:to>
      <xdr:col>2</xdr:col>
      <xdr:colOff>3018511</xdr:colOff>
      <xdr:row>435</xdr:row>
      <xdr:rowOff>25400</xdr:rowOff>
    </xdr:to>
    <xdr:pic>
      <xdr:nvPicPr>
        <xdr:cNvPr id="83" name="Picture 82"/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2685" t="12610" r="2461" b="9079"/>
        <a:stretch/>
      </xdr:blipFill>
      <xdr:spPr>
        <a:xfrm>
          <a:off x="0" y="89281001"/>
          <a:ext cx="6206211" cy="1727199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140729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4072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432</xdr:row>
      <xdr:rowOff>201705</xdr:rowOff>
    </xdr:from>
    <xdr:to>
      <xdr:col>9</xdr:col>
      <xdr:colOff>324970</xdr:colOff>
      <xdr:row>433</xdr:row>
      <xdr:rowOff>212911</xdr:rowOff>
    </xdr:to>
    <xdr:sp macro="" textlink="">
      <xdr:nvSpPr>
        <xdr:cNvPr id="5" name="Rectangle 4"/>
        <xdr:cNvSpPr/>
      </xdr:nvSpPr>
      <xdr:spPr>
        <a:xfrm>
          <a:off x="12711954" y="893271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148827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547460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11056</xdr:colOff>
      <xdr:row>208</xdr:row>
      <xdr:rowOff>0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1056" y="4449960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314</xdr:row>
      <xdr:rowOff>148828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66094570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421</xdr:row>
      <xdr:rowOff>148827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658820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136070</xdr:colOff>
      <xdr:row>2</xdr:row>
      <xdr:rowOff>0</xdr:rowOff>
    </xdr:from>
    <xdr:to>
      <xdr:col>12</xdr:col>
      <xdr:colOff>544283</xdr:colOff>
      <xdr:row>5</xdr:row>
      <xdr:rowOff>54428</xdr:rowOff>
    </xdr:to>
    <xdr:sp macro="" textlink="">
      <xdr:nvSpPr>
        <xdr:cNvPr id="20" name="Left Arrow 19">
          <a:hlinkClick xmlns:r="http://schemas.openxmlformats.org/officeDocument/2006/relationships" r:id="rId2"/>
        </xdr:cNvPr>
        <xdr:cNvSpPr/>
      </xdr:nvSpPr>
      <xdr:spPr>
        <a:xfrm>
          <a:off x="14137820" y="542925"/>
          <a:ext cx="1017813" cy="845003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>
    <xdr:from>
      <xdr:col>0</xdr:col>
      <xdr:colOff>8164</xdr:colOff>
      <xdr:row>117</xdr:row>
      <xdr:rowOff>178714</xdr:rowOff>
    </xdr:from>
    <xdr:to>
      <xdr:col>2</xdr:col>
      <xdr:colOff>2470547</xdr:colOff>
      <xdr:row>127</xdr:row>
      <xdr:rowOff>113961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64" y="24422816"/>
          <a:ext cx="5632422" cy="191466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132790</xdr:rowOff>
    </xdr:from>
    <xdr:to>
      <xdr:col>2</xdr:col>
      <xdr:colOff>2849337</xdr:colOff>
      <xdr:row>16</xdr:row>
      <xdr:rowOff>122465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84782"/>
          <a:ext cx="6019376" cy="1924441"/>
        </a:xfrm>
        <a:prstGeom prst="rect">
          <a:avLst/>
        </a:prstGeom>
      </xdr:spPr>
    </xdr:pic>
    <xdr:clientData/>
  </xdr:twoCellAnchor>
  <xdr:twoCellAnchor editAs="oneCell">
    <xdr:from>
      <xdr:col>0</xdr:col>
      <xdr:colOff>15718</xdr:colOff>
      <xdr:row>307</xdr:row>
      <xdr:rowOff>13804</xdr:rowOff>
    </xdr:from>
    <xdr:to>
      <xdr:col>1</xdr:col>
      <xdr:colOff>458615</xdr:colOff>
      <xdr:row>312</xdr:row>
      <xdr:rowOff>97365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15718" y="63374104"/>
          <a:ext cx="909622" cy="683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109073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5086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249</xdr:row>
      <xdr:rowOff>43533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8496</xdr:rowOff>
    </xdr:from>
    <xdr:to>
      <xdr:col>1</xdr:col>
      <xdr:colOff>777156</xdr:colOff>
      <xdr:row>258</xdr:row>
      <xdr:rowOff>179188</xdr:rowOff>
    </xdr:to>
    <xdr:pic>
      <xdr:nvPicPr>
        <xdr:cNvPr id="19" name="Picture 1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262</xdr:row>
      <xdr:rowOff>178903</xdr:rowOff>
    </xdr:from>
    <xdr:to>
      <xdr:col>1</xdr:col>
      <xdr:colOff>2429615</xdr:colOff>
      <xdr:row>269</xdr:row>
      <xdr:rowOff>78706</xdr:rowOff>
    </xdr:to>
    <xdr:pic>
      <xdr:nvPicPr>
        <xdr:cNvPr id="21" name="Picture 2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274</xdr:row>
      <xdr:rowOff>5566</xdr:rowOff>
    </xdr:from>
    <xdr:to>
      <xdr:col>1</xdr:col>
      <xdr:colOff>571500</xdr:colOff>
      <xdr:row>278</xdr:row>
      <xdr:rowOff>87828</xdr:rowOff>
    </xdr:to>
    <xdr:pic>
      <xdr:nvPicPr>
        <xdr:cNvPr id="22" name="Picture 2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339</xdr:row>
      <xdr:rowOff>89297</xdr:rowOff>
    </xdr:from>
    <xdr:to>
      <xdr:col>9</xdr:col>
      <xdr:colOff>700125</xdr:colOff>
      <xdr:row>404</xdr:row>
      <xdr:rowOff>154357</xdr:rowOff>
    </xdr:to>
    <xdr:grpSp>
      <xdr:nvGrpSpPr>
        <xdr:cNvPr id="33" name="Group 32"/>
        <xdr:cNvGrpSpPr/>
      </xdr:nvGrpSpPr>
      <xdr:grpSpPr>
        <a:xfrm>
          <a:off x="0" y="71082297"/>
          <a:ext cx="13285825" cy="13260360"/>
          <a:chOff x="22408" y="69215576"/>
          <a:chExt cx="13284180" cy="11811001"/>
        </a:xfrm>
      </xdr:grpSpPr>
      <xdr:pic>
        <xdr:nvPicPr>
          <xdr:cNvPr id="34" name="Picture 3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5" name="Line Callout 2 (No Border) 34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4" name="Line Callout 2 (No Border) 43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21</xdr:row>
      <xdr:rowOff>178594</xdr:rowOff>
    </xdr:from>
    <xdr:to>
      <xdr:col>9</xdr:col>
      <xdr:colOff>676234</xdr:colOff>
      <xdr:row>101</xdr:row>
      <xdr:rowOff>24708</xdr:rowOff>
    </xdr:to>
    <xdr:grpSp>
      <xdr:nvGrpSpPr>
        <xdr:cNvPr id="45" name="Group 44"/>
        <xdr:cNvGrpSpPr/>
      </xdr:nvGrpSpPr>
      <xdr:grpSpPr>
        <a:xfrm>
          <a:off x="0" y="4750594"/>
          <a:ext cx="13261934" cy="15086114"/>
          <a:chOff x="27214" y="3349853"/>
          <a:chExt cx="13279216" cy="15558034"/>
        </a:xfrm>
      </xdr:grpSpPr>
      <xdr:pic>
        <xdr:nvPicPr>
          <xdr:cNvPr id="46" name="Picture 4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7" name="Line Callout 2 (No Border) 46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3155172" y="18194853"/>
            <a:ext cx="2205320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pPr algn="ct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1" name="Rectangle 60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Rectangle 61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7" name="Line Callout 2 (No Border) 66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8" name="Rectangle 67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440</xdr:row>
      <xdr:rowOff>0</xdr:rowOff>
    </xdr:from>
    <xdr:to>
      <xdr:col>9</xdr:col>
      <xdr:colOff>702081</xdr:colOff>
      <xdr:row>497</xdr:row>
      <xdr:rowOff>50219</xdr:rowOff>
    </xdr:to>
    <xdr:grpSp>
      <xdr:nvGrpSpPr>
        <xdr:cNvPr id="69" name="Group 68"/>
        <xdr:cNvGrpSpPr/>
      </xdr:nvGrpSpPr>
      <xdr:grpSpPr>
        <a:xfrm>
          <a:off x="0" y="91859100"/>
          <a:ext cx="13287781" cy="11353219"/>
          <a:chOff x="13607" y="89487375"/>
          <a:chExt cx="13314588" cy="11205473"/>
        </a:xfrm>
      </xdr:grpSpPr>
      <xdr:pic>
        <xdr:nvPicPr>
          <xdr:cNvPr id="70" name="Picture 69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1" name="Line Callout 2 (No Border) 70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5" name="Line Callout 2 (No Border) 74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6" name="Rectangle 75"/>
          <xdr:cNvSpPr>
            <a:spLocks/>
          </xdr:cNvSpPr>
        </xdr:nvSpPr>
        <xdr:spPr>
          <a:xfrm>
            <a:off x="3153422" y="96158674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9" name="Line Callout 2 (No Border) 78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0" name="Line Callout 2 (No Border) 79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1" name="Rectangle 80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Rectangle 81"/>
          <xdr:cNvSpPr>
            <a:spLocks/>
          </xdr:cNvSpPr>
        </xdr:nvSpPr>
        <xdr:spPr>
          <a:xfrm>
            <a:off x="8340391" y="93574852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3" name="Line Callout 2 (No Border) 82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14882</xdr:colOff>
      <xdr:row>428</xdr:row>
      <xdr:rowOff>2</xdr:rowOff>
    </xdr:from>
    <xdr:to>
      <xdr:col>2</xdr:col>
      <xdr:colOff>3155155</xdr:colOff>
      <xdr:row>437</xdr:row>
      <xdr:rowOff>29765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2748" t="13218" r="2214" b="12164"/>
        <a:stretch/>
      </xdr:blipFill>
      <xdr:spPr>
        <a:xfrm>
          <a:off x="14882" y="89475471"/>
          <a:ext cx="6310312" cy="17710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321</xdr:row>
      <xdr:rowOff>14885</xdr:rowOff>
    </xdr:from>
    <xdr:to>
      <xdr:col>1</xdr:col>
      <xdr:colOff>1732269</xdr:colOff>
      <xdr:row>330</xdr:row>
      <xdr:rowOff>15909</xdr:rowOff>
    </xdr:to>
    <xdr:pic>
      <xdr:nvPicPr>
        <xdr:cNvPr id="91" name="Picture 9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7672151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296</xdr:row>
      <xdr:rowOff>44648</xdr:rowOff>
    </xdr:from>
    <xdr:to>
      <xdr:col>2</xdr:col>
      <xdr:colOff>3962</xdr:colOff>
      <xdr:row>303</xdr:row>
      <xdr:rowOff>19290</xdr:rowOff>
    </xdr:to>
    <xdr:grpSp>
      <xdr:nvGrpSpPr>
        <xdr:cNvPr id="92" name="Group 91"/>
        <xdr:cNvGrpSpPr/>
      </xdr:nvGrpSpPr>
      <xdr:grpSpPr>
        <a:xfrm>
          <a:off x="0" y="61995248"/>
          <a:ext cx="3191662" cy="1397042"/>
          <a:chOff x="5" y="63408179"/>
          <a:chExt cx="3174001" cy="1328978"/>
        </a:xfrm>
      </xdr:grpSpPr>
      <xdr:pic>
        <xdr:nvPicPr>
          <xdr:cNvPr id="93" name="Picture 9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4" name="Rectangle 93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5" name="Rectangle 94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6" name="Rectangle 95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97" name="Picture 9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8" name="Picture 9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284</xdr:row>
      <xdr:rowOff>14882</xdr:rowOff>
    </xdr:from>
    <xdr:to>
      <xdr:col>1</xdr:col>
      <xdr:colOff>1945551</xdr:colOff>
      <xdr:row>291</xdr:row>
      <xdr:rowOff>117515</xdr:rowOff>
    </xdr:to>
    <xdr:pic>
      <xdr:nvPicPr>
        <xdr:cNvPr id="84" name="Picture 8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382421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155612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5561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431</xdr:row>
      <xdr:rowOff>201705</xdr:rowOff>
    </xdr:from>
    <xdr:to>
      <xdr:col>9</xdr:col>
      <xdr:colOff>324970</xdr:colOff>
      <xdr:row>432</xdr:row>
      <xdr:rowOff>212911</xdr:rowOff>
    </xdr:to>
    <xdr:sp macro="" textlink="">
      <xdr:nvSpPr>
        <xdr:cNvPr id="4" name="Rectangle 3"/>
        <xdr:cNvSpPr/>
      </xdr:nvSpPr>
      <xdr:spPr>
        <a:xfrm>
          <a:off x="12473829" y="877269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163710</xdr:rowOff>
    </xdr:from>
    <xdr:ext cx="3110302" cy="1060854"/>
    <xdr:pic>
      <xdr:nvPicPr>
        <xdr:cNvPr id="5" name="Picture 4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562343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11056</xdr:colOff>
      <xdr:row>207</xdr:row>
      <xdr:rowOff>0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1056" y="44440078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12331</xdr:colOff>
      <xdr:row>314</xdr:row>
      <xdr:rowOff>0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2331" y="6604992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421</xdr:row>
      <xdr:rowOff>1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751093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136070</xdr:colOff>
      <xdr:row>2</xdr:row>
      <xdr:rowOff>0</xdr:rowOff>
    </xdr:from>
    <xdr:to>
      <xdr:col>12</xdr:col>
      <xdr:colOff>544283</xdr:colOff>
      <xdr:row>5</xdr:row>
      <xdr:rowOff>54428</xdr:rowOff>
    </xdr:to>
    <xdr:sp macro="" textlink="">
      <xdr:nvSpPr>
        <xdr:cNvPr id="9" name="Left Arrow 8">
          <a:hlinkClick xmlns:r="http://schemas.openxmlformats.org/officeDocument/2006/relationships" r:id="rId2"/>
        </xdr:cNvPr>
        <xdr:cNvSpPr/>
      </xdr:nvSpPr>
      <xdr:spPr>
        <a:xfrm>
          <a:off x="13899695" y="542925"/>
          <a:ext cx="1017813" cy="845003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78441</xdr:colOff>
      <xdr:row>217</xdr:row>
      <xdr:rowOff>159982</xdr:rowOff>
    </xdr:from>
    <xdr:to>
      <xdr:col>1</xdr:col>
      <xdr:colOff>2409264</xdr:colOff>
      <xdr:row>226</xdr:row>
      <xdr:rowOff>109073</xdr:rowOff>
    </xdr:to>
    <xdr:pic>
      <xdr:nvPicPr>
        <xdr:cNvPr id="13" name="Picture 1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5622807"/>
          <a:ext cx="2797548" cy="1682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231</xdr:row>
      <xdr:rowOff>17426</xdr:rowOff>
    </xdr:from>
    <xdr:to>
      <xdr:col>1</xdr:col>
      <xdr:colOff>707572</xdr:colOff>
      <xdr:row>237</xdr:row>
      <xdr:rowOff>5085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213926"/>
          <a:ext cx="1174297" cy="11878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241</xdr:row>
      <xdr:rowOff>20401</xdr:rowOff>
    </xdr:from>
    <xdr:to>
      <xdr:col>1</xdr:col>
      <xdr:colOff>2462267</xdr:colOff>
      <xdr:row>248</xdr:row>
      <xdr:rowOff>43533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217151"/>
          <a:ext cx="2862316" cy="14137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252</xdr:row>
      <xdr:rowOff>8496</xdr:rowOff>
    </xdr:from>
    <xdr:to>
      <xdr:col>1</xdr:col>
      <xdr:colOff>777156</xdr:colOff>
      <xdr:row>257</xdr:row>
      <xdr:rowOff>179187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395996"/>
          <a:ext cx="1243881" cy="1170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261</xdr:row>
      <xdr:rowOff>178903</xdr:rowOff>
    </xdr:from>
    <xdr:to>
      <xdr:col>1</xdr:col>
      <xdr:colOff>2429615</xdr:colOff>
      <xdr:row>268</xdr:row>
      <xdr:rowOff>78706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366628"/>
          <a:ext cx="2861704" cy="1299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</xdr:row>
      <xdr:rowOff>5566</xdr:rowOff>
    </xdr:from>
    <xdr:to>
      <xdr:col>1</xdr:col>
      <xdr:colOff>571500</xdr:colOff>
      <xdr:row>277</xdr:row>
      <xdr:rowOff>87829</xdr:rowOff>
    </xdr:to>
    <xdr:pic>
      <xdr:nvPicPr>
        <xdr:cNvPr id="18" name="Picture 1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393566"/>
          <a:ext cx="1038225" cy="882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9</xdr:col>
      <xdr:colOff>700125</xdr:colOff>
      <xdr:row>398</xdr:row>
      <xdr:rowOff>65060</xdr:rowOff>
    </xdr:to>
    <xdr:grpSp>
      <xdr:nvGrpSpPr>
        <xdr:cNvPr id="27" name="Group 26"/>
        <xdr:cNvGrpSpPr/>
      </xdr:nvGrpSpPr>
      <xdr:grpSpPr>
        <a:xfrm>
          <a:off x="0" y="69938900"/>
          <a:ext cx="13362025" cy="13260360"/>
          <a:chOff x="22408" y="69215576"/>
          <a:chExt cx="13284180" cy="11811001"/>
        </a:xfrm>
      </xdr:grpSpPr>
      <xdr:pic>
        <xdr:nvPicPr>
          <xdr:cNvPr id="28" name="Picture 2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9" name="Line Callout 2 (No Border) 28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0" name="Line Callout 2 (No Border) 29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1" name="Line Callout 2 (No Border) 30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2" name="Line Callout 2 (No Border) 31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3" name="Line Callout 2 (No Border) 32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4" name="Line Callout 2 (No Border) 33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5" name="Line Callout 2 (No Border) 34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19</xdr:row>
      <xdr:rowOff>0</xdr:rowOff>
    </xdr:from>
    <xdr:to>
      <xdr:col>9</xdr:col>
      <xdr:colOff>676234</xdr:colOff>
      <xdr:row>98</xdr:row>
      <xdr:rowOff>39591</xdr:rowOff>
    </xdr:to>
    <xdr:grpSp>
      <xdr:nvGrpSpPr>
        <xdr:cNvPr id="39" name="Group 38"/>
        <xdr:cNvGrpSpPr/>
      </xdr:nvGrpSpPr>
      <xdr:grpSpPr>
        <a:xfrm>
          <a:off x="0" y="4191000"/>
          <a:ext cx="13338134" cy="15089091"/>
          <a:chOff x="27214" y="3349853"/>
          <a:chExt cx="13279216" cy="15558034"/>
        </a:xfrm>
      </xdr:grpSpPr>
      <xdr:pic>
        <xdr:nvPicPr>
          <xdr:cNvPr id="40" name="Picture 39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1" name="Line Callout 2 (No Border) 40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4" name="Line Callout 2 (No Border) 43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5" name="Line Callout 2 (No Border) 44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6" name="Line Callout 2 (No Border) 45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7" name="Line Callout 2 (No Border) 46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Rectangle 54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6" name="Rectangle 55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1" name="Line Callout 2 (No Border) 60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2" name="Rectangle 61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439</xdr:row>
      <xdr:rowOff>0</xdr:rowOff>
    </xdr:from>
    <xdr:to>
      <xdr:col>9</xdr:col>
      <xdr:colOff>702081</xdr:colOff>
      <xdr:row>496</xdr:row>
      <xdr:rowOff>50219</xdr:rowOff>
    </xdr:to>
    <xdr:grpSp>
      <xdr:nvGrpSpPr>
        <xdr:cNvPr id="63" name="Group 62"/>
        <xdr:cNvGrpSpPr/>
      </xdr:nvGrpSpPr>
      <xdr:grpSpPr>
        <a:xfrm>
          <a:off x="0" y="91821000"/>
          <a:ext cx="13363981" cy="11353219"/>
          <a:chOff x="13607" y="89487375"/>
          <a:chExt cx="13314588" cy="11205473"/>
        </a:xfrm>
      </xdr:grpSpPr>
      <xdr:pic>
        <xdr:nvPicPr>
          <xdr:cNvPr id="64" name="Picture 6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5" name="Line Callout 2 (No Border) 64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7" name="Line Callout 2 (No Border) 66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8" name="Line Callout 2 (No Border) 67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9" name="Line Callout 2 (No Border) 68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0" name="Rectangle 69"/>
          <xdr:cNvSpPr>
            <a:spLocks/>
          </xdr:cNvSpPr>
        </xdr:nvSpPr>
        <xdr:spPr>
          <a:xfrm>
            <a:off x="3153422" y="96158674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1" name="Line Callout 2 (No Border) 70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5" name="Rectangle 74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6" name="Rectangle 75"/>
          <xdr:cNvSpPr>
            <a:spLocks/>
          </xdr:cNvSpPr>
        </xdr:nvSpPr>
        <xdr:spPr>
          <a:xfrm>
            <a:off x="8340391" y="93574852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1</xdr:colOff>
      <xdr:row>117</xdr:row>
      <xdr:rowOff>178592</xdr:rowOff>
    </xdr:from>
    <xdr:to>
      <xdr:col>2</xdr:col>
      <xdr:colOff>2470548</xdr:colOff>
      <xdr:row>127</xdr:row>
      <xdr:rowOff>121848</xdr:rowOff>
    </xdr:to>
    <xdr:pic>
      <xdr:nvPicPr>
        <xdr:cNvPr id="50176" name="Picture 50175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24422694"/>
          <a:ext cx="5640586" cy="19375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119059</xdr:rowOff>
    </xdr:from>
    <xdr:to>
      <xdr:col>2</xdr:col>
      <xdr:colOff>2470547</xdr:colOff>
      <xdr:row>16</xdr:row>
      <xdr:rowOff>121845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771051"/>
          <a:ext cx="5640586" cy="19375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426</xdr:row>
      <xdr:rowOff>104181</xdr:rowOff>
    </xdr:from>
    <xdr:to>
      <xdr:col>2</xdr:col>
      <xdr:colOff>3750470</xdr:colOff>
      <xdr:row>436</xdr:row>
      <xdr:rowOff>106757</xdr:rowOff>
    </xdr:to>
    <xdr:pic>
      <xdr:nvPicPr>
        <xdr:cNvPr id="82" name="Picture 81"/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2346" t="12450" r="2054" b="9638"/>
        <a:stretch/>
      </xdr:blipFill>
      <xdr:spPr>
        <a:xfrm>
          <a:off x="0" y="89133165"/>
          <a:ext cx="6920509" cy="19373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320</xdr:row>
      <xdr:rowOff>29768</xdr:rowOff>
    </xdr:from>
    <xdr:to>
      <xdr:col>1</xdr:col>
      <xdr:colOff>1732269</xdr:colOff>
      <xdr:row>329</xdr:row>
      <xdr:rowOff>30792</xdr:rowOff>
    </xdr:to>
    <xdr:pic>
      <xdr:nvPicPr>
        <xdr:cNvPr id="87" name="Picture 8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7850745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294</xdr:row>
      <xdr:rowOff>163712</xdr:rowOff>
    </xdr:from>
    <xdr:to>
      <xdr:col>2</xdr:col>
      <xdr:colOff>3962</xdr:colOff>
      <xdr:row>301</xdr:row>
      <xdr:rowOff>138354</xdr:rowOff>
    </xdr:to>
    <xdr:grpSp>
      <xdr:nvGrpSpPr>
        <xdr:cNvPr id="88" name="Group 87"/>
        <xdr:cNvGrpSpPr/>
      </xdr:nvGrpSpPr>
      <xdr:grpSpPr>
        <a:xfrm>
          <a:off x="0" y="61873012"/>
          <a:ext cx="3191662" cy="1397042"/>
          <a:chOff x="5" y="63408179"/>
          <a:chExt cx="3174001" cy="1328978"/>
        </a:xfrm>
      </xdr:grpSpPr>
      <xdr:pic>
        <xdr:nvPicPr>
          <xdr:cNvPr id="89" name="Picture 88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0" name="Rectangle 89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1" name="Rectangle 90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2" name="Rectangle 91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93" name="Picture 9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4" name="Picture 9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283</xdr:row>
      <xdr:rowOff>0</xdr:rowOff>
    </xdr:from>
    <xdr:to>
      <xdr:col>1</xdr:col>
      <xdr:colOff>1945551</xdr:colOff>
      <xdr:row>290</xdr:row>
      <xdr:rowOff>102633</xdr:rowOff>
    </xdr:to>
    <xdr:pic>
      <xdr:nvPicPr>
        <xdr:cNvPr id="78" name="Picture 7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8921055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140729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4072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432</xdr:row>
      <xdr:rowOff>201705</xdr:rowOff>
    </xdr:from>
    <xdr:to>
      <xdr:col>9</xdr:col>
      <xdr:colOff>324970</xdr:colOff>
      <xdr:row>433</xdr:row>
      <xdr:rowOff>212911</xdr:rowOff>
    </xdr:to>
    <xdr:sp macro="" textlink="">
      <xdr:nvSpPr>
        <xdr:cNvPr id="5" name="Rectangle 4"/>
        <xdr:cNvSpPr/>
      </xdr:nvSpPr>
      <xdr:spPr>
        <a:xfrm>
          <a:off x="12711954" y="893271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163710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562343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11056</xdr:colOff>
      <xdr:row>208</xdr:row>
      <xdr:rowOff>0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1056" y="4449960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12331</xdr:colOff>
      <xdr:row>314</xdr:row>
      <xdr:rowOff>148828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2331" y="65707617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421</xdr:row>
      <xdr:rowOff>148828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7168633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136070</xdr:colOff>
      <xdr:row>2</xdr:row>
      <xdr:rowOff>0</xdr:rowOff>
    </xdr:from>
    <xdr:to>
      <xdr:col>12</xdr:col>
      <xdr:colOff>544283</xdr:colOff>
      <xdr:row>5</xdr:row>
      <xdr:rowOff>54428</xdr:rowOff>
    </xdr:to>
    <xdr:sp macro="" textlink="">
      <xdr:nvSpPr>
        <xdr:cNvPr id="19" name="Left Arrow 18">
          <a:hlinkClick xmlns:r="http://schemas.openxmlformats.org/officeDocument/2006/relationships" r:id="rId2"/>
        </xdr:cNvPr>
        <xdr:cNvSpPr/>
      </xdr:nvSpPr>
      <xdr:spPr>
        <a:xfrm>
          <a:off x="14137820" y="542925"/>
          <a:ext cx="1017813" cy="845003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>
    <xdr:from>
      <xdr:col>0</xdr:col>
      <xdr:colOff>8164</xdr:colOff>
      <xdr:row>117</xdr:row>
      <xdr:rowOff>163831</xdr:rowOff>
    </xdr:from>
    <xdr:to>
      <xdr:col>2</xdr:col>
      <xdr:colOff>2411016</xdr:colOff>
      <xdr:row>127</xdr:row>
      <xdr:rowOff>99078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8164" y="24407933"/>
          <a:ext cx="5572891" cy="191466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132790</xdr:rowOff>
    </xdr:from>
    <xdr:to>
      <xdr:col>2</xdr:col>
      <xdr:colOff>2849337</xdr:colOff>
      <xdr:row>16</xdr:row>
      <xdr:rowOff>122465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0" y="1784782"/>
          <a:ext cx="6019376" cy="1924441"/>
        </a:xfrm>
        <a:prstGeom prst="rect">
          <a:avLst/>
        </a:prstGeom>
      </xdr:spPr>
    </xdr:pic>
    <xdr:clientData/>
  </xdr:twoCellAnchor>
  <xdr:twoCellAnchor editAs="oneCell">
    <xdr:from>
      <xdr:col>0</xdr:col>
      <xdr:colOff>15718</xdr:colOff>
      <xdr:row>305</xdr:row>
      <xdr:rowOff>13804</xdr:rowOff>
    </xdr:from>
    <xdr:to>
      <xdr:col>1</xdr:col>
      <xdr:colOff>458615</xdr:colOff>
      <xdr:row>310</xdr:row>
      <xdr:rowOff>97365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15718" y="63374104"/>
          <a:ext cx="909622" cy="683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109073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5086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249</xdr:row>
      <xdr:rowOff>43533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8496</xdr:rowOff>
    </xdr:from>
    <xdr:to>
      <xdr:col>1</xdr:col>
      <xdr:colOff>777156</xdr:colOff>
      <xdr:row>258</xdr:row>
      <xdr:rowOff>179188</xdr:rowOff>
    </xdr:to>
    <xdr:pic>
      <xdr:nvPicPr>
        <xdr:cNvPr id="22" name="Picture 2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262</xdr:row>
      <xdr:rowOff>178903</xdr:rowOff>
    </xdr:from>
    <xdr:to>
      <xdr:col>1</xdr:col>
      <xdr:colOff>2429615</xdr:colOff>
      <xdr:row>269</xdr:row>
      <xdr:rowOff>78706</xdr:rowOff>
    </xdr:to>
    <xdr:pic>
      <xdr:nvPicPr>
        <xdr:cNvPr id="23" name="Picture 2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</xdr:row>
      <xdr:rowOff>5566</xdr:rowOff>
    </xdr:from>
    <xdr:to>
      <xdr:col>1</xdr:col>
      <xdr:colOff>571500</xdr:colOff>
      <xdr:row>277</xdr:row>
      <xdr:rowOff>87829</xdr:rowOff>
    </xdr:to>
    <xdr:pic>
      <xdr:nvPicPr>
        <xdr:cNvPr id="24" name="Picture 2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338</xdr:row>
      <xdr:rowOff>148828</xdr:rowOff>
    </xdr:from>
    <xdr:to>
      <xdr:col>9</xdr:col>
      <xdr:colOff>700125</xdr:colOff>
      <xdr:row>404</xdr:row>
      <xdr:rowOff>20411</xdr:rowOff>
    </xdr:to>
    <xdr:grpSp>
      <xdr:nvGrpSpPr>
        <xdr:cNvPr id="33" name="Group 32"/>
        <xdr:cNvGrpSpPr/>
      </xdr:nvGrpSpPr>
      <xdr:grpSpPr>
        <a:xfrm>
          <a:off x="0" y="70938628"/>
          <a:ext cx="13285825" cy="13270083"/>
          <a:chOff x="22408" y="69215576"/>
          <a:chExt cx="13284180" cy="11811001"/>
        </a:xfrm>
      </xdr:grpSpPr>
      <xdr:pic>
        <xdr:nvPicPr>
          <xdr:cNvPr id="34" name="Picture 3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5" name="Line Callout 2 (No Border) 34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4" name="Line Callout 2 (No Border) 43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24</xdr:row>
      <xdr:rowOff>89297</xdr:rowOff>
    </xdr:from>
    <xdr:to>
      <xdr:col>9</xdr:col>
      <xdr:colOff>676234</xdr:colOff>
      <xdr:row>103</xdr:row>
      <xdr:rowOff>128888</xdr:rowOff>
    </xdr:to>
    <xdr:grpSp>
      <xdr:nvGrpSpPr>
        <xdr:cNvPr id="45" name="Group 44"/>
        <xdr:cNvGrpSpPr/>
      </xdr:nvGrpSpPr>
      <xdr:grpSpPr>
        <a:xfrm>
          <a:off x="0" y="5232797"/>
          <a:ext cx="13261934" cy="15089091"/>
          <a:chOff x="27214" y="3349853"/>
          <a:chExt cx="13279216" cy="15558034"/>
        </a:xfrm>
      </xdr:grpSpPr>
      <xdr:pic>
        <xdr:nvPicPr>
          <xdr:cNvPr id="46" name="Picture 4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7" name="Line Callout 2 (No Border) 46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3155173" y="18194853"/>
            <a:ext cx="207224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1" name="Rectangle 60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Rectangle 61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7" name="Line Callout 2 (No Border) 66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8" name="Rectangle 67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443</xdr:row>
      <xdr:rowOff>208359</xdr:rowOff>
    </xdr:from>
    <xdr:to>
      <xdr:col>9</xdr:col>
      <xdr:colOff>702081</xdr:colOff>
      <xdr:row>502</xdr:row>
      <xdr:rowOff>65101</xdr:rowOff>
    </xdr:to>
    <xdr:grpSp>
      <xdr:nvGrpSpPr>
        <xdr:cNvPr id="69" name="Group 68"/>
        <xdr:cNvGrpSpPr/>
      </xdr:nvGrpSpPr>
      <xdr:grpSpPr>
        <a:xfrm>
          <a:off x="0" y="92677059"/>
          <a:ext cx="13287781" cy="11807442"/>
          <a:chOff x="13607" y="89487375"/>
          <a:chExt cx="13314588" cy="11205473"/>
        </a:xfrm>
      </xdr:grpSpPr>
      <xdr:pic>
        <xdr:nvPicPr>
          <xdr:cNvPr id="70" name="Picture 69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1" name="Line Callout 2 (No Border) 70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5" name="Line Callout 2 (No Border) 74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6" name="Rectangle 75"/>
          <xdr:cNvSpPr>
            <a:spLocks/>
          </xdr:cNvSpPr>
        </xdr:nvSpPr>
        <xdr:spPr>
          <a:xfrm>
            <a:off x="3153422" y="96144184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9" name="Line Callout 2 (No Border) 78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0" name="Line Callout 2 (No Border) 79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1" name="Rectangle 80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Rectangle 81"/>
          <xdr:cNvSpPr>
            <a:spLocks/>
          </xdr:cNvSpPr>
        </xdr:nvSpPr>
        <xdr:spPr>
          <a:xfrm>
            <a:off x="8340391" y="93560362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3" name="Line Callout 2 (No Border) 82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14880</xdr:colOff>
      <xdr:row>427</xdr:row>
      <xdr:rowOff>148829</xdr:rowOff>
    </xdr:from>
    <xdr:to>
      <xdr:col>2</xdr:col>
      <xdr:colOff>3482578</xdr:colOff>
      <xdr:row>437</xdr:row>
      <xdr:rowOff>89298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2748" t="13175" r="2672" b="9327"/>
        <a:stretch/>
      </xdr:blipFill>
      <xdr:spPr>
        <a:xfrm>
          <a:off x="14880" y="88850392"/>
          <a:ext cx="6637737" cy="18752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321</xdr:row>
      <xdr:rowOff>29767</xdr:rowOff>
    </xdr:from>
    <xdr:to>
      <xdr:col>1</xdr:col>
      <xdr:colOff>1732269</xdr:colOff>
      <xdr:row>330</xdr:row>
      <xdr:rowOff>30791</xdr:rowOff>
    </xdr:to>
    <xdr:pic>
      <xdr:nvPicPr>
        <xdr:cNvPr id="91" name="Picture 9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7300080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292</xdr:row>
      <xdr:rowOff>178595</xdr:rowOff>
    </xdr:from>
    <xdr:to>
      <xdr:col>2</xdr:col>
      <xdr:colOff>3962</xdr:colOff>
      <xdr:row>299</xdr:row>
      <xdr:rowOff>153237</xdr:rowOff>
    </xdr:to>
    <xdr:grpSp>
      <xdr:nvGrpSpPr>
        <xdr:cNvPr id="92" name="Group 91"/>
        <xdr:cNvGrpSpPr/>
      </xdr:nvGrpSpPr>
      <xdr:grpSpPr>
        <a:xfrm>
          <a:off x="0" y="61316395"/>
          <a:ext cx="3191662" cy="1397042"/>
          <a:chOff x="5" y="63408179"/>
          <a:chExt cx="3174001" cy="1328978"/>
        </a:xfrm>
      </xdr:grpSpPr>
      <xdr:pic>
        <xdr:nvPicPr>
          <xdr:cNvPr id="93" name="Picture 9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4" name="Rectangle 93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5" name="Rectangle 94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6" name="Rectangle 95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97" name="Picture 9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8" name="Picture 9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282</xdr:row>
      <xdr:rowOff>0</xdr:rowOff>
    </xdr:from>
    <xdr:to>
      <xdr:col>1</xdr:col>
      <xdr:colOff>1945551</xdr:colOff>
      <xdr:row>289</xdr:row>
      <xdr:rowOff>102633</xdr:rowOff>
    </xdr:to>
    <xdr:pic>
      <xdr:nvPicPr>
        <xdr:cNvPr id="84" name="Picture 8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8593633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140729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4072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432</xdr:row>
      <xdr:rowOff>201705</xdr:rowOff>
    </xdr:from>
    <xdr:to>
      <xdr:col>9</xdr:col>
      <xdr:colOff>324970</xdr:colOff>
      <xdr:row>433</xdr:row>
      <xdr:rowOff>212911</xdr:rowOff>
    </xdr:to>
    <xdr:sp macro="" textlink="">
      <xdr:nvSpPr>
        <xdr:cNvPr id="5" name="Rectangle 4"/>
        <xdr:cNvSpPr/>
      </xdr:nvSpPr>
      <xdr:spPr>
        <a:xfrm>
          <a:off x="12711954" y="893271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148827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547460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11056</xdr:colOff>
      <xdr:row>207</xdr:row>
      <xdr:rowOff>148828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1056" y="44365664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12331</xdr:colOff>
      <xdr:row>315</xdr:row>
      <xdr:rowOff>14883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2331" y="66005274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421</xdr:row>
      <xdr:rowOff>148828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7436523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136070</xdr:colOff>
      <xdr:row>2</xdr:row>
      <xdr:rowOff>0</xdr:rowOff>
    </xdr:from>
    <xdr:to>
      <xdr:col>12</xdr:col>
      <xdr:colOff>544283</xdr:colOff>
      <xdr:row>5</xdr:row>
      <xdr:rowOff>54428</xdr:rowOff>
    </xdr:to>
    <xdr:sp macro="" textlink="">
      <xdr:nvSpPr>
        <xdr:cNvPr id="19" name="Left Arrow 18">
          <a:hlinkClick xmlns:r="http://schemas.openxmlformats.org/officeDocument/2006/relationships" r:id="rId2"/>
        </xdr:cNvPr>
        <xdr:cNvSpPr/>
      </xdr:nvSpPr>
      <xdr:spPr>
        <a:xfrm>
          <a:off x="14137820" y="542925"/>
          <a:ext cx="1017813" cy="845003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>
    <xdr:from>
      <xdr:col>0</xdr:col>
      <xdr:colOff>0</xdr:colOff>
      <xdr:row>6</xdr:row>
      <xdr:rowOff>136186</xdr:rowOff>
    </xdr:from>
    <xdr:to>
      <xdr:col>2</xdr:col>
      <xdr:colOff>3787438</xdr:colOff>
      <xdr:row>16</xdr:row>
      <xdr:rowOff>119061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88178"/>
          <a:ext cx="6957477" cy="1917641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117</xdr:row>
      <xdr:rowOff>151070</xdr:rowOff>
    </xdr:from>
    <xdr:to>
      <xdr:col>2</xdr:col>
      <xdr:colOff>2470548</xdr:colOff>
      <xdr:row>127</xdr:row>
      <xdr:rowOff>89297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24231461"/>
          <a:ext cx="5640586" cy="1917641"/>
        </a:xfrm>
        <a:prstGeom prst="rect">
          <a:avLst/>
        </a:prstGeom>
      </xdr:spPr>
    </xdr:pic>
    <xdr:clientData/>
  </xdr:twoCellAnchor>
  <xdr:twoCellAnchor editAs="oneCell">
    <xdr:from>
      <xdr:col>0</xdr:col>
      <xdr:colOff>15718</xdr:colOff>
      <xdr:row>305</xdr:row>
      <xdr:rowOff>13804</xdr:rowOff>
    </xdr:from>
    <xdr:to>
      <xdr:col>1</xdr:col>
      <xdr:colOff>458615</xdr:colOff>
      <xdr:row>310</xdr:row>
      <xdr:rowOff>97365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15718" y="63374104"/>
          <a:ext cx="909622" cy="683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109073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5084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249</xdr:row>
      <xdr:rowOff>43533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8496</xdr:rowOff>
    </xdr:from>
    <xdr:to>
      <xdr:col>1</xdr:col>
      <xdr:colOff>777156</xdr:colOff>
      <xdr:row>258</xdr:row>
      <xdr:rowOff>179188</xdr:rowOff>
    </xdr:to>
    <xdr:pic>
      <xdr:nvPicPr>
        <xdr:cNvPr id="20" name="Picture 1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262</xdr:row>
      <xdr:rowOff>178903</xdr:rowOff>
    </xdr:from>
    <xdr:to>
      <xdr:col>1</xdr:col>
      <xdr:colOff>2429615</xdr:colOff>
      <xdr:row>269</xdr:row>
      <xdr:rowOff>78706</xdr:rowOff>
    </xdr:to>
    <xdr:pic>
      <xdr:nvPicPr>
        <xdr:cNvPr id="21" name="Picture 2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274</xdr:row>
      <xdr:rowOff>5566</xdr:rowOff>
    </xdr:from>
    <xdr:to>
      <xdr:col>1</xdr:col>
      <xdr:colOff>571500</xdr:colOff>
      <xdr:row>278</xdr:row>
      <xdr:rowOff>87829</xdr:rowOff>
    </xdr:to>
    <xdr:pic>
      <xdr:nvPicPr>
        <xdr:cNvPr id="22" name="Picture 2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9</xdr:col>
      <xdr:colOff>685242</xdr:colOff>
      <xdr:row>399</xdr:row>
      <xdr:rowOff>65060</xdr:rowOff>
    </xdr:to>
    <xdr:grpSp>
      <xdr:nvGrpSpPr>
        <xdr:cNvPr id="33" name="Group 32"/>
        <xdr:cNvGrpSpPr/>
      </xdr:nvGrpSpPr>
      <xdr:grpSpPr>
        <a:xfrm>
          <a:off x="0" y="70015100"/>
          <a:ext cx="13347142" cy="13260360"/>
          <a:chOff x="22408" y="69215576"/>
          <a:chExt cx="13284180" cy="11811001"/>
        </a:xfrm>
      </xdr:grpSpPr>
      <xdr:pic>
        <xdr:nvPicPr>
          <xdr:cNvPr id="34" name="Picture 3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5" name="Line Callout 2 (No Border) 34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4" name="Line Callout 2 (No Border) 43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19</xdr:row>
      <xdr:rowOff>0</xdr:rowOff>
    </xdr:from>
    <xdr:to>
      <xdr:col>9</xdr:col>
      <xdr:colOff>661351</xdr:colOff>
      <xdr:row>98</xdr:row>
      <xdr:rowOff>39591</xdr:rowOff>
    </xdr:to>
    <xdr:grpSp>
      <xdr:nvGrpSpPr>
        <xdr:cNvPr id="45" name="Group 44"/>
        <xdr:cNvGrpSpPr/>
      </xdr:nvGrpSpPr>
      <xdr:grpSpPr>
        <a:xfrm>
          <a:off x="0" y="4191000"/>
          <a:ext cx="13323251" cy="15089091"/>
          <a:chOff x="27214" y="3349853"/>
          <a:chExt cx="13279216" cy="15558034"/>
        </a:xfrm>
      </xdr:grpSpPr>
      <xdr:pic>
        <xdr:nvPicPr>
          <xdr:cNvPr id="46" name="Picture 4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7" name="Line Callout 2 (No Border) 46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1" name="Rectangle 60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Rectangle 61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7" name="Line Callout 2 (No Border) 66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8" name="Rectangle 67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440</xdr:row>
      <xdr:rowOff>74415</xdr:rowOff>
    </xdr:from>
    <xdr:to>
      <xdr:col>9</xdr:col>
      <xdr:colOff>687198</xdr:colOff>
      <xdr:row>498</xdr:row>
      <xdr:rowOff>124634</xdr:rowOff>
    </xdr:to>
    <xdr:grpSp>
      <xdr:nvGrpSpPr>
        <xdr:cNvPr id="69" name="Group 68"/>
        <xdr:cNvGrpSpPr/>
      </xdr:nvGrpSpPr>
      <xdr:grpSpPr>
        <a:xfrm>
          <a:off x="0" y="91971615"/>
          <a:ext cx="13349098" cy="11797719"/>
          <a:chOff x="13607" y="89487375"/>
          <a:chExt cx="13314588" cy="11205473"/>
        </a:xfrm>
      </xdr:grpSpPr>
      <xdr:pic>
        <xdr:nvPicPr>
          <xdr:cNvPr id="70" name="Picture 69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1" name="Line Callout 2 (No Border) 70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5" name="Line Callout 2 (No Border) 74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6" name="Rectangle 75"/>
          <xdr:cNvSpPr>
            <a:spLocks/>
          </xdr:cNvSpPr>
        </xdr:nvSpPr>
        <xdr:spPr>
          <a:xfrm>
            <a:off x="3153422" y="96144185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9" name="Line Callout 2 (No Border) 78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0" name="Line Callout 2 (No Border) 79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1" name="Rectangle 80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Rectangle 81"/>
          <xdr:cNvSpPr>
            <a:spLocks/>
          </xdr:cNvSpPr>
        </xdr:nvSpPr>
        <xdr:spPr>
          <a:xfrm>
            <a:off x="8340391" y="93603829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3" name="Line Callout 2 (No Border) 82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14882</xdr:colOff>
      <xdr:row>427</xdr:row>
      <xdr:rowOff>119063</xdr:rowOff>
    </xdr:from>
    <xdr:to>
      <xdr:col>2</xdr:col>
      <xdr:colOff>3661173</xdr:colOff>
      <xdr:row>437</xdr:row>
      <xdr:rowOff>89297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2303" t="12399" r="2581" b="9327"/>
        <a:stretch/>
      </xdr:blipFill>
      <xdr:spPr>
        <a:xfrm>
          <a:off x="14882" y="89088516"/>
          <a:ext cx="681633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321</xdr:row>
      <xdr:rowOff>14886</xdr:rowOff>
    </xdr:from>
    <xdr:to>
      <xdr:col>1</xdr:col>
      <xdr:colOff>1732269</xdr:colOff>
      <xdr:row>330</xdr:row>
      <xdr:rowOff>15910</xdr:rowOff>
    </xdr:to>
    <xdr:pic>
      <xdr:nvPicPr>
        <xdr:cNvPr id="91" name="Picture 9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7716800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294</xdr:row>
      <xdr:rowOff>163711</xdr:rowOff>
    </xdr:from>
    <xdr:to>
      <xdr:col>2</xdr:col>
      <xdr:colOff>3962</xdr:colOff>
      <xdr:row>301</xdr:row>
      <xdr:rowOff>138353</xdr:rowOff>
    </xdr:to>
    <xdr:grpSp>
      <xdr:nvGrpSpPr>
        <xdr:cNvPr id="92" name="Group 91"/>
        <xdr:cNvGrpSpPr/>
      </xdr:nvGrpSpPr>
      <xdr:grpSpPr>
        <a:xfrm>
          <a:off x="0" y="61746011"/>
          <a:ext cx="3191662" cy="1397042"/>
          <a:chOff x="5" y="63408179"/>
          <a:chExt cx="3174001" cy="1328978"/>
        </a:xfrm>
      </xdr:grpSpPr>
      <xdr:pic>
        <xdr:nvPicPr>
          <xdr:cNvPr id="93" name="Picture 9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4" name="Rectangle 93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5" name="Rectangle 94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6" name="Rectangle 95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97" name="Picture 9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8" name="Picture 9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283</xdr:row>
      <xdr:rowOff>0</xdr:rowOff>
    </xdr:from>
    <xdr:to>
      <xdr:col>1</xdr:col>
      <xdr:colOff>1945551</xdr:colOff>
      <xdr:row>290</xdr:row>
      <xdr:rowOff>102633</xdr:rowOff>
    </xdr:to>
    <xdr:pic>
      <xdr:nvPicPr>
        <xdr:cNvPr id="84" name="Picture 8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8831758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140729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4072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432</xdr:row>
      <xdr:rowOff>201705</xdr:rowOff>
    </xdr:from>
    <xdr:to>
      <xdr:col>9</xdr:col>
      <xdr:colOff>324970</xdr:colOff>
      <xdr:row>433</xdr:row>
      <xdr:rowOff>212911</xdr:rowOff>
    </xdr:to>
    <xdr:sp macro="" textlink="">
      <xdr:nvSpPr>
        <xdr:cNvPr id="5" name="Rectangle 4"/>
        <xdr:cNvSpPr/>
      </xdr:nvSpPr>
      <xdr:spPr>
        <a:xfrm>
          <a:off x="12711954" y="893271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148827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3514843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11056</xdr:colOff>
      <xdr:row>207</xdr:row>
      <xdr:rowOff>148828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1056" y="46166484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12331</xdr:colOff>
      <xdr:row>315</xdr:row>
      <xdr:rowOff>0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2331" y="68565117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421</xdr:row>
      <xdr:rowOff>148828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90829805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136070</xdr:colOff>
      <xdr:row>2</xdr:row>
      <xdr:rowOff>0</xdr:rowOff>
    </xdr:from>
    <xdr:to>
      <xdr:col>12</xdr:col>
      <xdr:colOff>544283</xdr:colOff>
      <xdr:row>5</xdr:row>
      <xdr:rowOff>54428</xdr:rowOff>
    </xdr:to>
    <xdr:sp macro="" textlink="">
      <xdr:nvSpPr>
        <xdr:cNvPr id="19" name="Left Arrow 18">
          <a:hlinkClick xmlns:r="http://schemas.openxmlformats.org/officeDocument/2006/relationships" r:id="rId2"/>
        </xdr:cNvPr>
        <xdr:cNvSpPr/>
      </xdr:nvSpPr>
      <xdr:spPr>
        <a:xfrm>
          <a:off x="14137820" y="542925"/>
          <a:ext cx="1017813" cy="845003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>
    <xdr:from>
      <xdr:col>0</xdr:col>
      <xdr:colOff>0</xdr:colOff>
      <xdr:row>117</xdr:row>
      <xdr:rowOff>166267</xdr:rowOff>
    </xdr:from>
    <xdr:to>
      <xdr:col>2</xdr:col>
      <xdr:colOff>2366367</xdr:colOff>
      <xdr:row>127</xdr:row>
      <xdr:rowOff>108231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5377751"/>
          <a:ext cx="5536406" cy="192137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151382</xdr:rowOff>
    </xdr:from>
    <xdr:to>
      <xdr:col>2</xdr:col>
      <xdr:colOff>2797969</xdr:colOff>
      <xdr:row>16</xdr:row>
      <xdr:rowOff>137994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03374"/>
          <a:ext cx="5968008" cy="1921378"/>
        </a:xfrm>
        <a:prstGeom prst="rect">
          <a:avLst/>
        </a:prstGeom>
      </xdr:spPr>
    </xdr:pic>
    <xdr:clientData/>
  </xdr:twoCellAnchor>
  <xdr:twoCellAnchor editAs="oneCell">
    <xdr:from>
      <xdr:col>0</xdr:col>
      <xdr:colOff>15718</xdr:colOff>
      <xdr:row>306</xdr:row>
      <xdr:rowOff>13804</xdr:rowOff>
    </xdr:from>
    <xdr:to>
      <xdr:col>1</xdr:col>
      <xdr:colOff>458615</xdr:colOff>
      <xdr:row>311</xdr:row>
      <xdr:rowOff>97365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15718" y="63374104"/>
          <a:ext cx="909622" cy="683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109073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5084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249</xdr:row>
      <xdr:rowOff>43533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254</xdr:row>
      <xdr:rowOff>8496</xdr:rowOff>
    </xdr:from>
    <xdr:to>
      <xdr:col>1</xdr:col>
      <xdr:colOff>777156</xdr:colOff>
      <xdr:row>259</xdr:row>
      <xdr:rowOff>179189</xdr:rowOff>
    </xdr:to>
    <xdr:pic>
      <xdr:nvPicPr>
        <xdr:cNvPr id="20" name="Picture 1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264</xdr:row>
      <xdr:rowOff>178903</xdr:rowOff>
    </xdr:from>
    <xdr:to>
      <xdr:col>1</xdr:col>
      <xdr:colOff>2429615</xdr:colOff>
      <xdr:row>271</xdr:row>
      <xdr:rowOff>78705</xdr:rowOff>
    </xdr:to>
    <xdr:pic>
      <xdr:nvPicPr>
        <xdr:cNvPr id="21" name="Picture 2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</xdr:row>
      <xdr:rowOff>5566</xdr:rowOff>
    </xdr:from>
    <xdr:to>
      <xdr:col>1</xdr:col>
      <xdr:colOff>571500</xdr:colOff>
      <xdr:row>280</xdr:row>
      <xdr:rowOff>87829</xdr:rowOff>
    </xdr:to>
    <xdr:pic>
      <xdr:nvPicPr>
        <xdr:cNvPr id="22" name="Picture 2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338</xdr:row>
      <xdr:rowOff>178596</xdr:rowOff>
    </xdr:from>
    <xdr:to>
      <xdr:col>9</xdr:col>
      <xdr:colOff>685242</xdr:colOff>
      <xdr:row>404</xdr:row>
      <xdr:rowOff>50179</xdr:rowOff>
    </xdr:to>
    <xdr:grpSp>
      <xdr:nvGrpSpPr>
        <xdr:cNvPr id="33" name="Group 32"/>
        <xdr:cNvGrpSpPr/>
      </xdr:nvGrpSpPr>
      <xdr:grpSpPr>
        <a:xfrm>
          <a:off x="0" y="71006496"/>
          <a:ext cx="13309042" cy="13270083"/>
          <a:chOff x="22408" y="69215576"/>
          <a:chExt cx="13284180" cy="11811001"/>
        </a:xfrm>
      </xdr:grpSpPr>
      <xdr:pic>
        <xdr:nvPicPr>
          <xdr:cNvPr id="34" name="Picture 3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5" name="Line Callout 2 (No Border) 34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4" name="Line Callout 2 (No Border) 43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20</xdr:row>
      <xdr:rowOff>148827</xdr:rowOff>
    </xdr:from>
    <xdr:to>
      <xdr:col>9</xdr:col>
      <xdr:colOff>661351</xdr:colOff>
      <xdr:row>99</xdr:row>
      <xdr:rowOff>188418</xdr:rowOff>
    </xdr:to>
    <xdr:grpSp>
      <xdr:nvGrpSpPr>
        <xdr:cNvPr id="45" name="Group 44"/>
        <xdr:cNvGrpSpPr/>
      </xdr:nvGrpSpPr>
      <xdr:grpSpPr>
        <a:xfrm>
          <a:off x="0" y="4530327"/>
          <a:ext cx="13285151" cy="15089091"/>
          <a:chOff x="27214" y="3349853"/>
          <a:chExt cx="13279216" cy="15558034"/>
        </a:xfrm>
      </xdr:grpSpPr>
      <xdr:pic>
        <xdr:nvPicPr>
          <xdr:cNvPr id="46" name="Picture 4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7" name="Line Callout 2 (No Border) 46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1" name="Rectangle 60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Rectangle 61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7" name="Line Callout 2 (No Border) 66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8" name="Rectangle 67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447</xdr:row>
      <xdr:rowOff>29767</xdr:rowOff>
    </xdr:from>
    <xdr:to>
      <xdr:col>9</xdr:col>
      <xdr:colOff>687198</xdr:colOff>
      <xdr:row>505</xdr:row>
      <xdr:rowOff>79986</xdr:rowOff>
    </xdr:to>
    <xdr:grpSp>
      <xdr:nvGrpSpPr>
        <xdr:cNvPr id="69" name="Group 68"/>
        <xdr:cNvGrpSpPr/>
      </xdr:nvGrpSpPr>
      <xdr:grpSpPr>
        <a:xfrm>
          <a:off x="0" y="93323967"/>
          <a:ext cx="13310998" cy="11581819"/>
          <a:chOff x="13607" y="89487375"/>
          <a:chExt cx="13314588" cy="11205473"/>
        </a:xfrm>
      </xdr:grpSpPr>
      <xdr:pic>
        <xdr:nvPicPr>
          <xdr:cNvPr id="70" name="Picture 69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1" name="Line Callout 2 (No Border) 70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5" name="Line Callout 2 (No Border) 74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6" name="Rectangle 75"/>
          <xdr:cNvSpPr>
            <a:spLocks/>
          </xdr:cNvSpPr>
        </xdr:nvSpPr>
        <xdr:spPr>
          <a:xfrm>
            <a:off x="3153422" y="96173164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9" name="Line Callout 2 (No Border) 78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0" name="Line Callout 2 (No Border) 79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1" name="Rectangle 80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Rectangle 81"/>
          <xdr:cNvSpPr>
            <a:spLocks/>
          </xdr:cNvSpPr>
        </xdr:nvSpPr>
        <xdr:spPr>
          <a:xfrm>
            <a:off x="8340391" y="93574851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3" name="Line Callout 2 (No Border) 82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14882</xdr:colOff>
      <xdr:row>427</xdr:row>
      <xdr:rowOff>178595</xdr:rowOff>
    </xdr:from>
    <xdr:to>
      <xdr:col>2</xdr:col>
      <xdr:colOff>3408165</xdr:colOff>
      <xdr:row>437</xdr:row>
      <xdr:rowOff>74415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2310" t="13175" r="2076" b="11652"/>
        <a:stretch/>
      </xdr:blipFill>
      <xdr:spPr>
        <a:xfrm>
          <a:off x="14882" y="92541329"/>
          <a:ext cx="6563322" cy="18305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321</xdr:row>
      <xdr:rowOff>44651</xdr:rowOff>
    </xdr:from>
    <xdr:to>
      <xdr:col>1</xdr:col>
      <xdr:colOff>1732269</xdr:colOff>
      <xdr:row>330</xdr:row>
      <xdr:rowOff>45675</xdr:rowOff>
    </xdr:to>
    <xdr:pic>
      <xdr:nvPicPr>
        <xdr:cNvPr id="91" name="Picture 9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70380823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295</xdr:row>
      <xdr:rowOff>163711</xdr:rowOff>
    </xdr:from>
    <xdr:to>
      <xdr:col>2</xdr:col>
      <xdr:colOff>3962</xdr:colOff>
      <xdr:row>302</xdr:row>
      <xdr:rowOff>138353</xdr:rowOff>
    </xdr:to>
    <xdr:grpSp>
      <xdr:nvGrpSpPr>
        <xdr:cNvPr id="92" name="Group 91"/>
        <xdr:cNvGrpSpPr/>
      </xdr:nvGrpSpPr>
      <xdr:grpSpPr>
        <a:xfrm>
          <a:off x="0" y="61949211"/>
          <a:ext cx="3191662" cy="1397042"/>
          <a:chOff x="5" y="63408179"/>
          <a:chExt cx="3174001" cy="1328978"/>
        </a:xfrm>
      </xdr:grpSpPr>
      <xdr:pic>
        <xdr:nvPicPr>
          <xdr:cNvPr id="93" name="Picture 9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4" name="Rectangle 93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5" name="Rectangle 94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6" name="Rectangle 95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97" name="Picture 9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8" name="Picture 9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284</xdr:row>
      <xdr:rowOff>0</xdr:rowOff>
    </xdr:from>
    <xdr:to>
      <xdr:col>1</xdr:col>
      <xdr:colOff>1945551</xdr:colOff>
      <xdr:row>291</xdr:row>
      <xdr:rowOff>102633</xdr:rowOff>
    </xdr:to>
    <xdr:pic>
      <xdr:nvPicPr>
        <xdr:cNvPr id="84" name="Picture 8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025234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140729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4072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431</xdr:row>
      <xdr:rowOff>201705</xdr:rowOff>
    </xdr:from>
    <xdr:to>
      <xdr:col>9</xdr:col>
      <xdr:colOff>324970</xdr:colOff>
      <xdr:row>432</xdr:row>
      <xdr:rowOff>212911</xdr:rowOff>
    </xdr:to>
    <xdr:sp macro="" textlink="">
      <xdr:nvSpPr>
        <xdr:cNvPr id="5" name="Rectangle 4"/>
        <xdr:cNvSpPr/>
      </xdr:nvSpPr>
      <xdr:spPr>
        <a:xfrm>
          <a:off x="12711954" y="893271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163710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562343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11056</xdr:colOff>
      <xdr:row>207</xdr:row>
      <xdr:rowOff>0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1056" y="44380547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12331</xdr:colOff>
      <xdr:row>314</xdr:row>
      <xdr:rowOff>0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2331" y="65990391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420</xdr:row>
      <xdr:rowOff>148827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743652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136070</xdr:colOff>
      <xdr:row>2</xdr:row>
      <xdr:rowOff>0</xdr:rowOff>
    </xdr:from>
    <xdr:to>
      <xdr:col>12</xdr:col>
      <xdr:colOff>544283</xdr:colOff>
      <xdr:row>5</xdr:row>
      <xdr:rowOff>54428</xdr:rowOff>
    </xdr:to>
    <xdr:sp macro="" textlink="">
      <xdr:nvSpPr>
        <xdr:cNvPr id="19" name="Left Arrow 18">
          <a:hlinkClick xmlns:r="http://schemas.openxmlformats.org/officeDocument/2006/relationships" r:id="rId2"/>
        </xdr:cNvPr>
        <xdr:cNvSpPr/>
      </xdr:nvSpPr>
      <xdr:spPr>
        <a:xfrm>
          <a:off x="14137820" y="542925"/>
          <a:ext cx="1017813" cy="845003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>
    <xdr:from>
      <xdr:col>0</xdr:col>
      <xdr:colOff>0</xdr:colOff>
      <xdr:row>6</xdr:row>
      <xdr:rowOff>133946</xdr:rowOff>
    </xdr:from>
    <xdr:to>
      <xdr:col>2</xdr:col>
      <xdr:colOff>2797969</xdr:colOff>
      <xdr:row>16</xdr:row>
      <xdr:rowOff>120558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0" y="1785938"/>
          <a:ext cx="5968008" cy="192137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117</xdr:row>
      <xdr:rowOff>163711</xdr:rowOff>
    </xdr:from>
    <xdr:to>
      <xdr:col>2</xdr:col>
      <xdr:colOff>2366367</xdr:colOff>
      <xdr:row>127</xdr:row>
      <xdr:rowOff>105675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0" y="24244102"/>
          <a:ext cx="5536406" cy="1921378"/>
        </a:xfrm>
        <a:prstGeom prst="rect">
          <a:avLst/>
        </a:prstGeom>
      </xdr:spPr>
    </xdr:pic>
    <xdr:clientData/>
  </xdr:twoCellAnchor>
  <xdr:twoCellAnchor editAs="oneCell">
    <xdr:from>
      <xdr:col>0</xdr:col>
      <xdr:colOff>15718</xdr:colOff>
      <xdr:row>305</xdr:row>
      <xdr:rowOff>13804</xdr:rowOff>
    </xdr:from>
    <xdr:to>
      <xdr:col>1</xdr:col>
      <xdr:colOff>458615</xdr:colOff>
      <xdr:row>310</xdr:row>
      <xdr:rowOff>97365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15718" y="63374104"/>
          <a:ext cx="909622" cy="683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78441</xdr:colOff>
      <xdr:row>217</xdr:row>
      <xdr:rowOff>159982</xdr:rowOff>
    </xdr:from>
    <xdr:to>
      <xdr:col>1</xdr:col>
      <xdr:colOff>2409264</xdr:colOff>
      <xdr:row>226</xdr:row>
      <xdr:rowOff>109073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231</xdr:row>
      <xdr:rowOff>17426</xdr:rowOff>
    </xdr:from>
    <xdr:to>
      <xdr:col>1</xdr:col>
      <xdr:colOff>707572</xdr:colOff>
      <xdr:row>237</xdr:row>
      <xdr:rowOff>5084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241</xdr:row>
      <xdr:rowOff>20401</xdr:rowOff>
    </xdr:from>
    <xdr:to>
      <xdr:col>1</xdr:col>
      <xdr:colOff>2462267</xdr:colOff>
      <xdr:row>248</xdr:row>
      <xdr:rowOff>43533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252</xdr:row>
      <xdr:rowOff>8496</xdr:rowOff>
    </xdr:from>
    <xdr:to>
      <xdr:col>1</xdr:col>
      <xdr:colOff>777156</xdr:colOff>
      <xdr:row>257</xdr:row>
      <xdr:rowOff>179187</xdr:rowOff>
    </xdr:to>
    <xdr:pic>
      <xdr:nvPicPr>
        <xdr:cNvPr id="20" name="Picture 1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261</xdr:row>
      <xdr:rowOff>178903</xdr:rowOff>
    </xdr:from>
    <xdr:to>
      <xdr:col>1</xdr:col>
      <xdr:colOff>2429615</xdr:colOff>
      <xdr:row>268</xdr:row>
      <xdr:rowOff>78705</xdr:rowOff>
    </xdr:to>
    <xdr:pic>
      <xdr:nvPicPr>
        <xdr:cNvPr id="21" name="Picture 2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272</xdr:row>
      <xdr:rowOff>5566</xdr:rowOff>
    </xdr:from>
    <xdr:to>
      <xdr:col>1</xdr:col>
      <xdr:colOff>571500</xdr:colOff>
      <xdr:row>276</xdr:row>
      <xdr:rowOff>87829</xdr:rowOff>
    </xdr:to>
    <xdr:pic>
      <xdr:nvPicPr>
        <xdr:cNvPr id="24" name="Picture 2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9</xdr:col>
      <xdr:colOff>685242</xdr:colOff>
      <xdr:row>398</xdr:row>
      <xdr:rowOff>65060</xdr:rowOff>
    </xdr:to>
    <xdr:grpSp>
      <xdr:nvGrpSpPr>
        <xdr:cNvPr id="33" name="Group 32"/>
        <xdr:cNvGrpSpPr/>
      </xdr:nvGrpSpPr>
      <xdr:grpSpPr>
        <a:xfrm>
          <a:off x="0" y="69951600"/>
          <a:ext cx="13309042" cy="13260360"/>
          <a:chOff x="22408" y="69215576"/>
          <a:chExt cx="13284180" cy="11811001"/>
        </a:xfrm>
      </xdr:grpSpPr>
      <xdr:pic>
        <xdr:nvPicPr>
          <xdr:cNvPr id="34" name="Picture 3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5" name="Line Callout 2 (No Border) 34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4" name="Line Callout 2 (No Border) 43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19</xdr:row>
      <xdr:rowOff>0</xdr:rowOff>
    </xdr:from>
    <xdr:to>
      <xdr:col>9</xdr:col>
      <xdr:colOff>661351</xdr:colOff>
      <xdr:row>98</xdr:row>
      <xdr:rowOff>39591</xdr:rowOff>
    </xdr:to>
    <xdr:grpSp>
      <xdr:nvGrpSpPr>
        <xdr:cNvPr id="45" name="Group 44"/>
        <xdr:cNvGrpSpPr/>
      </xdr:nvGrpSpPr>
      <xdr:grpSpPr>
        <a:xfrm>
          <a:off x="0" y="4191000"/>
          <a:ext cx="13285151" cy="15089091"/>
          <a:chOff x="27214" y="3349853"/>
          <a:chExt cx="13279216" cy="15558034"/>
        </a:xfrm>
      </xdr:grpSpPr>
      <xdr:pic>
        <xdr:nvPicPr>
          <xdr:cNvPr id="46" name="Picture 4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7" name="Line Callout 2 (No Border) 46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1" name="Rectangle 60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Rectangle 61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7" name="Line Callout 2 (No Border) 66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8" name="Rectangle 67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439</xdr:row>
      <xdr:rowOff>0</xdr:rowOff>
    </xdr:from>
    <xdr:to>
      <xdr:col>9</xdr:col>
      <xdr:colOff>687198</xdr:colOff>
      <xdr:row>497</xdr:row>
      <xdr:rowOff>50219</xdr:rowOff>
    </xdr:to>
    <xdr:grpSp>
      <xdr:nvGrpSpPr>
        <xdr:cNvPr id="69" name="Group 68"/>
        <xdr:cNvGrpSpPr/>
      </xdr:nvGrpSpPr>
      <xdr:grpSpPr>
        <a:xfrm>
          <a:off x="0" y="91833700"/>
          <a:ext cx="13310998" cy="11797719"/>
          <a:chOff x="13607" y="89487375"/>
          <a:chExt cx="13314588" cy="11205473"/>
        </a:xfrm>
      </xdr:grpSpPr>
      <xdr:pic>
        <xdr:nvPicPr>
          <xdr:cNvPr id="70" name="Picture 69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1" name="Line Callout 2 (No Border) 70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5" name="Line Callout 2 (No Border) 74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6" name="Rectangle 75"/>
          <xdr:cNvSpPr>
            <a:spLocks/>
          </xdr:cNvSpPr>
        </xdr:nvSpPr>
        <xdr:spPr>
          <a:xfrm>
            <a:off x="3153422" y="96202141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9" name="Line Callout 2 (No Border) 78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0" name="Line Callout 2 (No Border) 79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1" name="Rectangle 80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Rectangle 81"/>
          <xdr:cNvSpPr>
            <a:spLocks/>
          </xdr:cNvSpPr>
        </xdr:nvSpPr>
        <xdr:spPr>
          <a:xfrm>
            <a:off x="8340391" y="93574851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3" name="Line Callout 2 (No Border) 82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14882</xdr:colOff>
      <xdr:row>426</xdr:row>
      <xdr:rowOff>163712</xdr:rowOff>
    </xdr:from>
    <xdr:to>
      <xdr:col>2</xdr:col>
      <xdr:colOff>3765352</xdr:colOff>
      <xdr:row>436</xdr:row>
      <xdr:rowOff>104180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2540" t="12360" r="2306" b="9614"/>
        <a:stretch/>
      </xdr:blipFill>
      <xdr:spPr>
        <a:xfrm>
          <a:off x="14882" y="89133165"/>
          <a:ext cx="6920509" cy="18752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320</xdr:row>
      <xdr:rowOff>14886</xdr:rowOff>
    </xdr:from>
    <xdr:to>
      <xdr:col>1</xdr:col>
      <xdr:colOff>1732269</xdr:colOff>
      <xdr:row>329</xdr:row>
      <xdr:rowOff>15910</xdr:rowOff>
    </xdr:to>
    <xdr:pic>
      <xdr:nvPicPr>
        <xdr:cNvPr id="91" name="Picture 9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7716800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292</xdr:row>
      <xdr:rowOff>148828</xdr:rowOff>
    </xdr:from>
    <xdr:to>
      <xdr:col>2</xdr:col>
      <xdr:colOff>3962</xdr:colOff>
      <xdr:row>299</xdr:row>
      <xdr:rowOff>123470</xdr:rowOff>
    </xdr:to>
    <xdr:grpSp>
      <xdr:nvGrpSpPr>
        <xdr:cNvPr id="92" name="Group 91"/>
        <xdr:cNvGrpSpPr/>
      </xdr:nvGrpSpPr>
      <xdr:grpSpPr>
        <a:xfrm>
          <a:off x="0" y="61464428"/>
          <a:ext cx="3191662" cy="1397042"/>
          <a:chOff x="5" y="63408179"/>
          <a:chExt cx="3174001" cy="1328978"/>
        </a:xfrm>
      </xdr:grpSpPr>
      <xdr:pic>
        <xdr:nvPicPr>
          <xdr:cNvPr id="93" name="Picture 9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4" name="Rectangle 93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5" name="Rectangle 94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6" name="Rectangle 95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97" name="Picture 9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8" name="Picture 9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280</xdr:row>
      <xdr:rowOff>178594</xdr:rowOff>
    </xdr:from>
    <xdr:to>
      <xdr:col>1</xdr:col>
      <xdr:colOff>1945551</xdr:colOff>
      <xdr:row>288</xdr:row>
      <xdr:rowOff>87750</xdr:rowOff>
    </xdr:to>
    <xdr:pic>
      <xdr:nvPicPr>
        <xdr:cNvPr id="84" name="Picture 8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233594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155612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5561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432</xdr:row>
      <xdr:rowOff>201705</xdr:rowOff>
    </xdr:from>
    <xdr:to>
      <xdr:col>9</xdr:col>
      <xdr:colOff>324970</xdr:colOff>
      <xdr:row>433</xdr:row>
      <xdr:rowOff>212911</xdr:rowOff>
    </xdr:to>
    <xdr:sp macro="" textlink="">
      <xdr:nvSpPr>
        <xdr:cNvPr id="5" name="Rectangle 4"/>
        <xdr:cNvSpPr/>
      </xdr:nvSpPr>
      <xdr:spPr>
        <a:xfrm>
          <a:off x="12711954" y="893271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163710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175390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11056</xdr:colOff>
      <xdr:row>207</xdr:row>
      <xdr:rowOff>148828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1056" y="43695937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12331</xdr:colOff>
      <xdr:row>315</xdr:row>
      <xdr:rowOff>0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2331" y="64933711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422</xdr:row>
      <xdr:rowOff>0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605242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136070</xdr:colOff>
      <xdr:row>2</xdr:row>
      <xdr:rowOff>0</xdr:rowOff>
    </xdr:from>
    <xdr:to>
      <xdr:col>12</xdr:col>
      <xdr:colOff>544283</xdr:colOff>
      <xdr:row>5</xdr:row>
      <xdr:rowOff>54428</xdr:rowOff>
    </xdr:to>
    <xdr:sp macro="" textlink="">
      <xdr:nvSpPr>
        <xdr:cNvPr id="19" name="Left Arrow 18">
          <a:hlinkClick xmlns:r="http://schemas.openxmlformats.org/officeDocument/2006/relationships" r:id="rId2"/>
        </xdr:cNvPr>
        <xdr:cNvSpPr/>
      </xdr:nvSpPr>
      <xdr:spPr>
        <a:xfrm>
          <a:off x="14137820" y="542925"/>
          <a:ext cx="1017813" cy="845003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>
    <xdr:from>
      <xdr:col>0</xdr:col>
      <xdr:colOff>0</xdr:colOff>
      <xdr:row>6</xdr:row>
      <xdr:rowOff>136186</xdr:rowOff>
    </xdr:from>
    <xdr:to>
      <xdr:col>2</xdr:col>
      <xdr:colOff>3787438</xdr:colOff>
      <xdr:row>16</xdr:row>
      <xdr:rowOff>119061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0" y="1788178"/>
          <a:ext cx="6957477" cy="191764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117</xdr:row>
      <xdr:rowOff>165953</xdr:rowOff>
    </xdr:from>
    <xdr:to>
      <xdr:col>2</xdr:col>
      <xdr:colOff>2425899</xdr:colOff>
      <xdr:row>127</xdr:row>
      <xdr:rowOff>104180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0" y="23859391"/>
          <a:ext cx="5595938" cy="1917641"/>
        </a:xfrm>
        <a:prstGeom prst="rect">
          <a:avLst/>
        </a:prstGeom>
      </xdr:spPr>
    </xdr:pic>
    <xdr:clientData/>
  </xdr:twoCellAnchor>
  <xdr:twoCellAnchor editAs="oneCell">
    <xdr:from>
      <xdr:col>0</xdr:col>
      <xdr:colOff>15718</xdr:colOff>
      <xdr:row>305</xdr:row>
      <xdr:rowOff>13804</xdr:rowOff>
    </xdr:from>
    <xdr:to>
      <xdr:col>1</xdr:col>
      <xdr:colOff>458615</xdr:colOff>
      <xdr:row>310</xdr:row>
      <xdr:rowOff>97365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15718" y="63374104"/>
          <a:ext cx="909622" cy="683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109073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5084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249</xdr:row>
      <xdr:rowOff>43533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8496</xdr:rowOff>
    </xdr:from>
    <xdr:to>
      <xdr:col>1</xdr:col>
      <xdr:colOff>777156</xdr:colOff>
      <xdr:row>258</xdr:row>
      <xdr:rowOff>179188</xdr:rowOff>
    </xdr:to>
    <xdr:pic>
      <xdr:nvPicPr>
        <xdr:cNvPr id="22" name="Picture 2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262</xdr:row>
      <xdr:rowOff>178903</xdr:rowOff>
    </xdr:from>
    <xdr:to>
      <xdr:col>1</xdr:col>
      <xdr:colOff>2429615</xdr:colOff>
      <xdr:row>269</xdr:row>
      <xdr:rowOff>78706</xdr:rowOff>
    </xdr:to>
    <xdr:pic>
      <xdr:nvPicPr>
        <xdr:cNvPr id="23" name="Picture 2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</xdr:row>
      <xdr:rowOff>5566</xdr:rowOff>
    </xdr:from>
    <xdr:to>
      <xdr:col>1</xdr:col>
      <xdr:colOff>571500</xdr:colOff>
      <xdr:row>277</xdr:row>
      <xdr:rowOff>87829</xdr:rowOff>
    </xdr:to>
    <xdr:pic>
      <xdr:nvPicPr>
        <xdr:cNvPr id="24" name="Picture 2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9</xdr:col>
      <xdr:colOff>685242</xdr:colOff>
      <xdr:row>399</xdr:row>
      <xdr:rowOff>65060</xdr:rowOff>
    </xdr:to>
    <xdr:grpSp>
      <xdr:nvGrpSpPr>
        <xdr:cNvPr id="33" name="Group 32"/>
        <xdr:cNvGrpSpPr/>
      </xdr:nvGrpSpPr>
      <xdr:grpSpPr>
        <a:xfrm>
          <a:off x="0" y="70015100"/>
          <a:ext cx="13309042" cy="13260360"/>
          <a:chOff x="22408" y="69215576"/>
          <a:chExt cx="13284180" cy="11811001"/>
        </a:xfrm>
      </xdr:grpSpPr>
      <xdr:pic>
        <xdr:nvPicPr>
          <xdr:cNvPr id="34" name="Picture 3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5" name="Line Callout 2 (No Border) 34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4" name="Line Callout 2 (No Border) 43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19</xdr:row>
      <xdr:rowOff>0</xdr:rowOff>
    </xdr:from>
    <xdr:to>
      <xdr:col>9</xdr:col>
      <xdr:colOff>661351</xdr:colOff>
      <xdr:row>98</xdr:row>
      <xdr:rowOff>39591</xdr:rowOff>
    </xdr:to>
    <xdr:grpSp>
      <xdr:nvGrpSpPr>
        <xdr:cNvPr id="45" name="Group 44"/>
        <xdr:cNvGrpSpPr/>
      </xdr:nvGrpSpPr>
      <xdr:grpSpPr>
        <a:xfrm>
          <a:off x="0" y="4191000"/>
          <a:ext cx="13285151" cy="15089091"/>
          <a:chOff x="27214" y="3349853"/>
          <a:chExt cx="13279216" cy="15558034"/>
        </a:xfrm>
      </xdr:grpSpPr>
      <xdr:pic>
        <xdr:nvPicPr>
          <xdr:cNvPr id="46" name="Picture 4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7" name="Line Callout 2 (No Border) 46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1" name="Rectangle 60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Rectangle 61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7" name="Line Callout 2 (No Border) 66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8" name="Rectangle 67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440</xdr:row>
      <xdr:rowOff>0</xdr:rowOff>
    </xdr:from>
    <xdr:to>
      <xdr:col>9</xdr:col>
      <xdr:colOff>687198</xdr:colOff>
      <xdr:row>498</xdr:row>
      <xdr:rowOff>50219</xdr:rowOff>
    </xdr:to>
    <xdr:grpSp>
      <xdr:nvGrpSpPr>
        <xdr:cNvPr id="69" name="Group 68"/>
        <xdr:cNvGrpSpPr/>
      </xdr:nvGrpSpPr>
      <xdr:grpSpPr>
        <a:xfrm>
          <a:off x="0" y="91897200"/>
          <a:ext cx="13310998" cy="11797719"/>
          <a:chOff x="13607" y="89487375"/>
          <a:chExt cx="13314588" cy="11205473"/>
        </a:xfrm>
      </xdr:grpSpPr>
      <xdr:pic>
        <xdr:nvPicPr>
          <xdr:cNvPr id="70" name="Picture 69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1" name="Line Callout 2 (No Border) 70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5" name="Line Callout 2 (No Border) 74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6" name="Rectangle 75"/>
          <xdr:cNvSpPr>
            <a:spLocks/>
          </xdr:cNvSpPr>
        </xdr:nvSpPr>
        <xdr:spPr>
          <a:xfrm>
            <a:off x="3153422" y="96158674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9" name="Line Callout 2 (No Border) 78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0" name="Line Callout 2 (No Border) 79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1" name="Rectangle 80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Rectangle 81"/>
          <xdr:cNvSpPr>
            <a:spLocks/>
          </xdr:cNvSpPr>
        </xdr:nvSpPr>
        <xdr:spPr>
          <a:xfrm>
            <a:off x="8340391" y="93589339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3" name="Line Callout 2 (No Border) 82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14880</xdr:colOff>
      <xdr:row>427</xdr:row>
      <xdr:rowOff>148754</xdr:rowOff>
    </xdr:from>
    <xdr:to>
      <xdr:col>2</xdr:col>
      <xdr:colOff>3571875</xdr:colOff>
      <xdr:row>437</xdr:row>
      <xdr:rowOff>89298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2534" t="13217" r="1891" b="10593"/>
        <a:stretch/>
      </xdr:blipFill>
      <xdr:spPr>
        <a:xfrm>
          <a:off x="14880" y="87719223"/>
          <a:ext cx="6727034" cy="18753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321</xdr:row>
      <xdr:rowOff>29768</xdr:rowOff>
    </xdr:from>
    <xdr:to>
      <xdr:col>1</xdr:col>
      <xdr:colOff>1732269</xdr:colOff>
      <xdr:row>330</xdr:row>
      <xdr:rowOff>30792</xdr:rowOff>
    </xdr:to>
    <xdr:pic>
      <xdr:nvPicPr>
        <xdr:cNvPr id="91" name="Picture 9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6734534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292</xdr:row>
      <xdr:rowOff>178594</xdr:rowOff>
    </xdr:from>
    <xdr:to>
      <xdr:col>2</xdr:col>
      <xdr:colOff>3962</xdr:colOff>
      <xdr:row>299</xdr:row>
      <xdr:rowOff>153236</xdr:rowOff>
    </xdr:to>
    <xdr:grpSp>
      <xdr:nvGrpSpPr>
        <xdr:cNvPr id="92" name="Group 91"/>
        <xdr:cNvGrpSpPr/>
      </xdr:nvGrpSpPr>
      <xdr:grpSpPr>
        <a:xfrm>
          <a:off x="0" y="61354494"/>
          <a:ext cx="3191662" cy="1397042"/>
          <a:chOff x="5" y="63408179"/>
          <a:chExt cx="3174001" cy="1328978"/>
        </a:xfrm>
      </xdr:grpSpPr>
      <xdr:pic>
        <xdr:nvPicPr>
          <xdr:cNvPr id="93" name="Picture 9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4" name="Rectangle 93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5" name="Rectangle 94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6" name="Rectangle 95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97" name="Picture 9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8" name="Picture 9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281</xdr:row>
      <xdr:rowOff>178594</xdr:rowOff>
    </xdr:from>
    <xdr:to>
      <xdr:col>1</xdr:col>
      <xdr:colOff>1945551</xdr:colOff>
      <xdr:row>289</xdr:row>
      <xdr:rowOff>87751</xdr:rowOff>
    </xdr:to>
    <xdr:pic>
      <xdr:nvPicPr>
        <xdr:cNvPr id="84" name="Picture 8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8623399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140729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4072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432</xdr:row>
      <xdr:rowOff>201705</xdr:rowOff>
    </xdr:from>
    <xdr:to>
      <xdr:col>9</xdr:col>
      <xdr:colOff>324970</xdr:colOff>
      <xdr:row>433</xdr:row>
      <xdr:rowOff>212911</xdr:rowOff>
    </xdr:to>
    <xdr:sp macro="" textlink="">
      <xdr:nvSpPr>
        <xdr:cNvPr id="5" name="Rectangle 4"/>
        <xdr:cNvSpPr/>
      </xdr:nvSpPr>
      <xdr:spPr>
        <a:xfrm>
          <a:off x="12711954" y="893271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148827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160507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11056</xdr:colOff>
      <xdr:row>207</xdr:row>
      <xdr:rowOff>148828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1056" y="43695937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12331</xdr:colOff>
      <xdr:row>315</xdr:row>
      <xdr:rowOff>0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2331" y="64933711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421</xdr:row>
      <xdr:rowOff>148828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603753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136070</xdr:colOff>
      <xdr:row>2</xdr:row>
      <xdr:rowOff>0</xdr:rowOff>
    </xdr:from>
    <xdr:to>
      <xdr:col>12</xdr:col>
      <xdr:colOff>544283</xdr:colOff>
      <xdr:row>5</xdr:row>
      <xdr:rowOff>54428</xdr:rowOff>
    </xdr:to>
    <xdr:sp macro="" textlink="">
      <xdr:nvSpPr>
        <xdr:cNvPr id="19" name="Left Arrow 18">
          <a:hlinkClick xmlns:r="http://schemas.openxmlformats.org/officeDocument/2006/relationships" r:id="rId2"/>
        </xdr:cNvPr>
        <xdr:cNvSpPr/>
      </xdr:nvSpPr>
      <xdr:spPr>
        <a:xfrm>
          <a:off x="14137820" y="542925"/>
          <a:ext cx="1017813" cy="845003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>
    <xdr:from>
      <xdr:col>0</xdr:col>
      <xdr:colOff>1</xdr:colOff>
      <xdr:row>117</xdr:row>
      <xdr:rowOff>166515</xdr:rowOff>
    </xdr:from>
    <xdr:to>
      <xdr:col>2</xdr:col>
      <xdr:colOff>2172892</xdr:colOff>
      <xdr:row>127</xdr:row>
      <xdr:rowOff>119065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23859953"/>
          <a:ext cx="5342930" cy="193196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121865</xdr:rowOff>
    </xdr:from>
    <xdr:to>
      <xdr:col>2</xdr:col>
      <xdr:colOff>2812852</xdr:colOff>
      <xdr:row>16</xdr:row>
      <xdr:rowOff>119063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73857"/>
          <a:ext cx="5982891" cy="1931964"/>
        </a:xfrm>
        <a:prstGeom prst="rect">
          <a:avLst/>
        </a:prstGeom>
      </xdr:spPr>
    </xdr:pic>
    <xdr:clientData/>
  </xdr:twoCellAnchor>
  <xdr:twoCellAnchor editAs="oneCell">
    <xdr:from>
      <xdr:col>0</xdr:col>
      <xdr:colOff>15718</xdr:colOff>
      <xdr:row>305</xdr:row>
      <xdr:rowOff>13804</xdr:rowOff>
    </xdr:from>
    <xdr:to>
      <xdr:col>1</xdr:col>
      <xdr:colOff>458615</xdr:colOff>
      <xdr:row>310</xdr:row>
      <xdr:rowOff>97365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15718" y="63374104"/>
          <a:ext cx="909622" cy="683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109073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5084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249</xdr:row>
      <xdr:rowOff>43533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8496</xdr:rowOff>
    </xdr:from>
    <xdr:to>
      <xdr:col>1</xdr:col>
      <xdr:colOff>777156</xdr:colOff>
      <xdr:row>258</xdr:row>
      <xdr:rowOff>179188</xdr:rowOff>
    </xdr:to>
    <xdr:pic>
      <xdr:nvPicPr>
        <xdr:cNvPr id="20" name="Picture 1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262</xdr:row>
      <xdr:rowOff>178903</xdr:rowOff>
    </xdr:from>
    <xdr:to>
      <xdr:col>1</xdr:col>
      <xdr:colOff>2429615</xdr:colOff>
      <xdr:row>269</xdr:row>
      <xdr:rowOff>78706</xdr:rowOff>
    </xdr:to>
    <xdr:pic>
      <xdr:nvPicPr>
        <xdr:cNvPr id="21" name="Picture 2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</xdr:row>
      <xdr:rowOff>5566</xdr:rowOff>
    </xdr:from>
    <xdr:to>
      <xdr:col>1</xdr:col>
      <xdr:colOff>571500</xdr:colOff>
      <xdr:row>277</xdr:row>
      <xdr:rowOff>87829</xdr:rowOff>
    </xdr:to>
    <xdr:pic>
      <xdr:nvPicPr>
        <xdr:cNvPr id="22" name="Picture 2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9</xdr:col>
      <xdr:colOff>685242</xdr:colOff>
      <xdr:row>399</xdr:row>
      <xdr:rowOff>65060</xdr:rowOff>
    </xdr:to>
    <xdr:grpSp>
      <xdr:nvGrpSpPr>
        <xdr:cNvPr id="33" name="Group 32"/>
        <xdr:cNvGrpSpPr/>
      </xdr:nvGrpSpPr>
      <xdr:grpSpPr>
        <a:xfrm>
          <a:off x="0" y="70015100"/>
          <a:ext cx="13321742" cy="13260360"/>
          <a:chOff x="22408" y="69215576"/>
          <a:chExt cx="13284180" cy="11811001"/>
        </a:xfrm>
      </xdr:grpSpPr>
      <xdr:pic>
        <xdr:nvPicPr>
          <xdr:cNvPr id="34" name="Picture 3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5" name="Line Callout 2 (No Border) 34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4" name="Line Callout 2 (No Border) 43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19</xdr:row>
      <xdr:rowOff>0</xdr:rowOff>
    </xdr:from>
    <xdr:to>
      <xdr:col>9</xdr:col>
      <xdr:colOff>661351</xdr:colOff>
      <xdr:row>98</xdr:row>
      <xdr:rowOff>39591</xdr:rowOff>
    </xdr:to>
    <xdr:grpSp>
      <xdr:nvGrpSpPr>
        <xdr:cNvPr id="45" name="Group 44"/>
        <xdr:cNvGrpSpPr/>
      </xdr:nvGrpSpPr>
      <xdr:grpSpPr>
        <a:xfrm>
          <a:off x="0" y="4191000"/>
          <a:ext cx="13297851" cy="15089091"/>
          <a:chOff x="27214" y="3349853"/>
          <a:chExt cx="13279216" cy="15558034"/>
        </a:xfrm>
      </xdr:grpSpPr>
      <xdr:pic>
        <xdr:nvPicPr>
          <xdr:cNvPr id="46" name="Picture 4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7" name="Line Callout 2 (No Border) 46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1" name="Rectangle 60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Rectangle 61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7" name="Line Callout 2 (No Border) 66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8" name="Rectangle 67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440</xdr:row>
      <xdr:rowOff>0</xdr:rowOff>
    </xdr:from>
    <xdr:to>
      <xdr:col>9</xdr:col>
      <xdr:colOff>687198</xdr:colOff>
      <xdr:row>498</xdr:row>
      <xdr:rowOff>50219</xdr:rowOff>
    </xdr:to>
    <xdr:grpSp>
      <xdr:nvGrpSpPr>
        <xdr:cNvPr id="69" name="Group 68"/>
        <xdr:cNvGrpSpPr/>
      </xdr:nvGrpSpPr>
      <xdr:grpSpPr>
        <a:xfrm>
          <a:off x="0" y="91897200"/>
          <a:ext cx="13323698" cy="11797719"/>
          <a:chOff x="13607" y="89487375"/>
          <a:chExt cx="13314588" cy="11205473"/>
        </a:xfrm>
      </xdr:grpSpPr>
      <xdr:pic>
        <xdr:nvPicPr>
          <xdr:cNvPr id="70" name="Picture 69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1" name="Line Callout 2 (No Border) 70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5" name="Line Callout 2 (No Border) 74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6" name="Rectangle 75"/>
          <xdr:cNvSpPr>
            <a:spLocks/>
          </xdr:cNvSpPr>
        </xdr:nvSpPr>
        <xdr:spPr>
          <a:xfrm>
            <a:off x="3153422" y="96260095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9" name="Line Callout 2 (No Border) 78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0" name="Line Callout 2 (No Border) 79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1" name="Rectangle 80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Rectangle 81"/>
          <xdr:cNvSpPr>
            <a:spLocks/>
          </xdr:cNvSpPr>
        </xdr:nvSpPr>
        <xdr:spPr>
          <a:xfrm>
            <a:off x="8340391" y="93618317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3" name="Line Callout 2 (No Border) 82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14880</xdr:colOff>
      <xdr:row>427</xdr:row>
      <xdr:rowOff>163711</xdr:rowOff>
    </xdr:from>
    <xdr:to>
      <xdr:col>2</xdr:col>
      <xdr:colOff>3512343</xdr:colOff>
      <xdr:row>437</xdr:row>
      <xdr:rowOff>74414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2303" t="13091" r="2122" b="9129"/>
        <a:stretch/>
      </xdr:blipFill>
      <xdr:spPr>
        <a:xfrm>
          <a:off x="14880" y="87734180"/>
          <a:ext cx="6667502" cy="18454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321</xdr:row>
      <xdr:rowOff>29767</xdr:rowOff>
    </xdr:from>
    <xdr:to>
      <xdr:col>1</xdr:col>
      <xdr:colOff>1732269</xdr:colOff>
      <xdr:row>330</xdr:row>
      <xdr:rowOff>30791</xdr:rowOff>
    </xdr:to>
    <xdr:pic>
      <xdr:nvPicPr>
        <xdr:cNvPr id="91" name="Picture 9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6734533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292</xdr:row>
      <xdr:rowOff>178593</xdr:rowOff>
    </xdr:from>
    <xdr:to>
      <xdr:col>2</xdr:col>
      <xdr:colOff>3962</xdr:colOff>
      <xdr:row>299</xdr:row>
      <xdr:rowOff>153235</xdr:rowOff>
    </xdr:to>
    <xdr:grpSp>
      <xdr:nvGrpSpPr>
        <xdr:cNvPr id="92" name="Group 91"/>
        <xdr:cNvGrpSpPr/>
      </xdr:nvGrpSpPr>
      <xdr:grpSpPr>
        <a:xfrm>
          <a:off x="0" y="61354493"/>
          <a:ext cx="3191662" cy="1397042"/>
          <a:chOff x="5" y="63408179"/>
          <a:chExt cx="3174001" cy="1328978"/>
        </a:xfrm>
      </xdr:grpSpPr>
      <xdr:pic>
        <xdr:nvPicPr>
          <xdr:cNvPr id="93" name="Picture 9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4" name="Rectangle 93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5" name="Rectangle 94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6" name="Rectangle 95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97" name="Picture 9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8" name="Picture 9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74414</xdr:colOff>
      <xdr:row>281</xdr:row>
      <xdr:rowOff>178594</xdr:rowOff>
    </xdr:from>
    <xdr:to>
      <xdr:col>1</xdr:col>
      <xdr:colOff>2019965</xdr:colOff>
      <xdr:row>289</xdr:row>
      <xdr:rowOff>87751</xdr:rowOff>
    </xdr:to>
    <xdr:pic>
      <xdr:nvPicPr>
        <xdr:cNvPr id="84" name="Picture 8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74414" y="58623399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140729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4072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431</xdr:row>
      <xdr:rowOff>201705</xdr:rowOff>
    </xdr:from>
    <xdr:to>
      <xdr:col>9</xdr:col>
      <xdr:colOff>324970</xdr:colOff>
      <xdr:row>432</xdr:row>
      <xdr:rowOff>212911</xdr:rowOff>
    </xdr:to>
    <xdr:sp macro="" textlink="">
      <xdr:nvSpPr>
        <xdr:cNvPr id="5" name="Rectangle 4"/>
        <xdr:cNvSpPr/>
      </xdr:nvSpPr>
      <xdr:spPr>
        <a:xfrm>
          <a:off x="12711954" y="893271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148827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160507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11056</xdr:colOff>
      <xdr:row>206</xdr:row>
      <xdr:rowOff>148828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1056" y="43695937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12331</xdr:colOff>
      <xdr:row>313</xdr:row>
      <xdr:rowOff>148828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2331" y="64918828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421</xdr:row>
      <xdr:rowOff>0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605242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136070</xdr:colOff>
      <xdr:row>2</xdr:row>
      <xdr:rowOff>0</xdr:rowOff>
    </xdr:from>
    <xdr:to>
      <xdr:col>12</xdr:col>
      <xdr:colOff>544283</xdr:colOff>
      <xdr:row>5</xdr:row>
      <xdr:rowOff>54428</xdr:rowOff>
    </xdr:to>
    <xdr:sp macro="" textlink="">
      <xdr:nvSpPr>
        <xdr:cNvPr id="19" name="Left Arrow 18">
          <a:hlinkClick xmlns:r="http://schemas.openxmlformats.org/officeDocument/2006/relationships" r:id="rId2"/>
        </xdr:cNvPr>
        <xdr:cNvSpPr/>
      </xdr:nvSpPr>
      <xdr:spPr>
        <a:xfrm>
          <a:off x="14137820" y="542925"/>
          <a:ext cx="1017813" cy="845003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>
    <xdr:from>
      <xdr:col>0</xdr:col>
      <xdr:colOff>1</xdr:colOff>
      <xdr:row>117</xdr:row>
      <xdr:rowOff>175234</xdr:rowOff>
    </xdr:from>
    <xdr:to>
      <xdr:col>2</xdr:col>
      <xdr:colOff>2113360</xdr:colOff>
      <xdr:row>127</xdr:row>
      <xdr:rowOff>89298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1" y="23581334"/>
          <a:ext cx="5301059" cy="186986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130584</xdr:rowOff>
    </xdr:from>
    <xdr:to>
      <xdr:col>2</xdr:col>
      <xdr:colOff>2812852</xdr:colOff>
      <xdr:row>16</xdr:row>
      <xdr:rowOff>89296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0" y="1794284"/>
          <a:ext cx="6000552" cy="1863712"/>
        </a:xfrm>
        <a:prstGeom prst="rect">
          <a:avLst/>
        </a:prstGeom>
      </xdr:spPr>
    </xdr:pic>
    <xdr:clientData/>
  </xdr:twoCellAnchor>
  <xdr:twoCellAnchor editAs="oneCell">
    <xdr:from>
      <xdr:col>0</xdr:col>
      <xdr:colOff>15718</xdr:colOff>
      <xdr:row>304</xdr:row>
      <xdr:rowOff>13804</xdr:rowOff>
    </xdr:from>
    <xdr:to>
      <xdr:col>1</xdr:col>
      <xdr:colOff>458615</xdr:colOff>
      <xdr:row>309</xdr:row>
      <xdr:rowOff>97365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15718" y="63374104"/>
          <a:ext cx="909622" cy="683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78441</xdr:colOff>
      <xdr:row>217</xdr:row>
      <xdr:rowOff>159982</xdr:rowOff>
    </xdr:from>
    <xdr:to>
      <xdr:col>1</xdr:col>
      <xdr:colOff>2409264</xdr:colOff>
      <xdr:row>226</xdr:row>
      <xdr:rowOff>109072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231</xdr:row>
      <xdr:rowOff>17426</xdr:rowOff>
    </xdr:from>
    <xdr:to>
      <xdr:col>1</xdr:col>
      <xdr:colOff>707572</xdr:colOff>
      <xdr:row>237</xdr:row>
      <xdr:rowOff>5085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241</xdr:row>
      <xdr:rowOff>20401</xdr:rowOff>
    </xdr:from>
    <xdr:to>
      <xdr:col>1</xdr:col>
      <xdr:colOff>2462267</xdr:colOff>
      <xdr:row>248</xdr:row>
      <xdr:rowOff>43534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252</xdr:row>
      <xdr:rowOff>8496</xdr:rowOff>
    </xdr:from>
    <xdr:to>
      <xdr:col>1</xdr:col>
      <xdr:colOff>777156</xdr:colOff>
      <xdr:row>257</xdr:row>
      <xdr:rowOff>179187</xdr:rowOff>
    </xdr:to>
    <xdr:pic>
      <xdr:nvPicPr>
        <xdr:cNvPr id="20" name="Picture 1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261</xdr:row>
      <xdr:rowOff>178903</xdr:rowOff>
    </xdr:from>
    <xdr:to>
      <xdr:col>1</xdr:col>
      <xdr:colOff>2429615</xdr:colOff>
      <xdr:row>268</xdr:row>
      <xdr:rowOff>78705</xdr:rowOff>
    </xdr:to>
    <xdr:pic>
      <xdr:nvPicPr>
        <xdr:cNvPr id="21" name="Picture 2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272</xdr:row>
      <xdr:rowOff>5566</xdr:rowOff>
    </xdr:from>
    <xdr:to>
      <xdr:col>1</xdr:col>
      <xdr:colOff>571500</xdr:colOff>
      <xdr:row>276</xdr:row>
      <xdr:rowOff>87829</xdr:rowOff>
    </xdr:to>
    <xdr:pic>
      <xdr:nvPicPr>
        <xdr:cNvPr id="22" name="Picture 2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9</xdr:col>
      <xdr:colOff>685242</xdr:colOff>
      <xdr:row>398</xdr:row>
      <xdr:rowOff>65060</xdr:rowOff>
    </xdr:to>
    <xdr:grpSp>
      <xdr:nvGrpSpPr>
        <xdr:cNvPr id="33" name="Group 32"/>
        <xdr:cNvGrpSpPr/>
      </xdr:nvGrpSpPr>
      <xdr:grpSpPr>
        <a:xfrm>
          <a:off x="0" y="69786500"/>
          <a:ext cx="13334442" cy="13260360"/>
          <a:chOff x="22408" y="69215576"/>
          <a:chExt cx="13284180" cy="11811001"/>
        </a:xfrm>
      </xdr:grpSpPr>
      <xdr:pic>
        <xdr:nvPicPr>
          <xdr:cNvPr id="34" name="Picture 3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5" name="Line Callout 2 (No Border) 34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4" name="Line Callout 2 (No Border) 43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19</xdr:row>
      <xdr:rowOff>0</xdr:rowOff>
    </xdr:from>
    <xdr:to>
      <xdr:col>9</xdr:col>
      <xdr:colOff>661351</xdr:colOff>
      <xdr:row>98</xdr:row>
      <xdr:rowOff>39591</xdr:rowOff>
    </xdr:to>
    <xdr:grpSp>
      <xdr:nvGrpSpPr>
        <xdr:cNvPr id="45" name="Group 44"/>
        <xdr:cNvGrpSpPr/>
      </xdr:nvGrpSpPr>
      <xdr:grpSpPr>
        <a:xfrm>
          <a:off x="0" y="4191000"/>
          <a:ext cx="13310551" cy="15089091"/>
          <a:chOff x="27214" y="3349853"/>
          <a:chExt cx="13279216" cy="15558034"/>
        </a:xfrm>
      </xdr:grpSpPr>
      <xdr:pic>
        <xdr:nvPicPr>
          <xdr:cNvPr id="46" name="Picture 4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7" name="Line Callout 2 (No Border) 46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1" name="Rectangle 60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Rectangle 61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7" name="Line Callout 2 (No Border) 66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8" name="Rectangle 67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439</xdr:row>
      <xdr:rowOff>0</xdr:rowOff>
    </xdr:from>
    <xdr:to>
      <xdr:col>9</xdr:col>
      <xdr:colOff>687198</xdr:colOff>
      <xdr:row>497</xdr:row>
      <xdr:rowOff>50219</xdr:rowOff>
    </xdr:to>
    <xdr:grpSp>
      <xdr:nvGrpSpPr>
        <xdr:cNvPr id="69" name="Group 68"/>
        <xdr:cNvGrpSpPr/>
      </xdr:nvGrpSpPr>
      <xdr:grpSpPr>
        <a:xfrm>
          <a:off x="0" y="91668600"/>
          <a:ext cx="13336398" cy="11797719"/>
          <a:chOff x="13607" y="89487375"/>
          <a:chExt cx="13314588" cy="11205473"/>
        </a:xfrm>
      </xdr:grpSpPr>
      <xdr:pic>
        <xdr:nvPicPr>
          <xdr:cNvPr id="70" name="Picture 69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1" name="Line Callout 2 (No Border) 70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5" name="Line Callout 2 (No Border) 74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6" name="Rectangle 75"/>
          <xdr:cNvSpPr>
            <a:spLocks/>
          </xdr:cNvSpPr>
        </xdr:nvSpPr>
        <xdr:spPr>
          <a:xfrm>
            <a:off x="3153422" y="96260095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9" name="Line Callout 2 (No Border) 78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0" name="Line Callout 2 (No Border) 79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1" name="Rectangle 80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Rectangle 81"/>
          <xdr:cNvSpPr>
            <a:spLocks/>
          </xdr:cNvSpPr>
        </xdr:nvSpPr>
        <xdr:spPr>
          <a:xfrm>
            <a:off x="8340391" y="93618317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3" name="Line Callout 2 (No Border) 82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14881</xdr:colOff>
      <xdr:row>426</xdr:row>
      <xdr:rowOff>148828</xdr:rowOff>
    </xdr:from>
    <xdr:to>
      <xdr:col>2</xdr:col>
      <xdr:colOff>3110508</xdr:colOff>
      <xdr:row>436</xdr:row>
      <xdr:rowOff>44648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1842" t="11775" r="2122" b="8946"/>
        <a:stretch/>
      </xdr:blipFill>
      <xdr:spPr>
        <a:xfrm flipH="1">
          <a:off x="14881" y="89328228"/>
          <a:ext cx="6283327" cy="18008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320</xdr:row>
      <xdr:rowOff>14886</xdr:rowOff>
    </xdr:from>
    <xdr:to>
      <xdr:col>1</xdr:col>
      <xdr:colOff>1732269</xdr:colOff>
      <xdr:row>329</xdr:row>
      <xdr:rowOff>15909</xdr:rowOff>
    </xdr:to>
    <xdr:pic>
      <xdr:nvPicPr>
        <xdr:cNvPr id="91" name="Picture 9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6496409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292</xdr:row>
      <xdr:rowOff>148828</xdr:rowOff>
    </xdr:from>
    <xdr:to>
      <xdr:col>2</xdr:col>
      <xdr:colOff>3962</xdr:colOff>
      <xdr:row>299</xdr:row>
      <xdr:rowOff>123470</xdr:rowOff>
    </xdr:to>
    <xdr:grpSp>
      <xdr:nvGrpSpPr>
        <xdr:cNvPr id="92" name="Group 91"/>
        <xdr:cNvGrpSpPr/>
      </xdr:nvGrpSpPr>
      <xdr:grpSpPr>
        <a:xfrm>
          <a:off x="0" y="61299328"/>
          <a:ext cx="3191662" cy="1397042"/>
          <a:chOff x="5" y="63408179"/>
          <a:chExt cx="3174001" cy="1328978"/>
        </a:xfrm>
      </xdr:grpSpPr>
      <xdr:pic>
        <xdr:nvPicPr>
          <xdr:cNvPr id="93" name="Picture 9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4" name="Rectangle 93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5" name="Rectangle 94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6" name="Rectangle 95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97" name="Picture 9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8" name="Picture 9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281</xdr:row>
      <xdr:rowOff>104180</xdr:rowOff>
    </xdr:from>
    <xdr:to>
      <xdr:col>1</xdr:col>
      <xdr:colOff>1945551</xdr:colOff>
      <xdr:row>289</xdr:row>
      <xdr:rowOff>13336</xdr:rowOff>
    </xdr:to>
    <xdr:pic>
      <xdr:nvPicPr>
        <xdr:cNvPr id="84" name="Picture 8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8519219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125846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25846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432</xdr:row>
      <xdr:rowOff>201705</xdr:rowOff>
    </xdr:from>
    <xdr:to>
      <xdr:col>9</xdr:col>
      <xdr:colOff>324970</xdr:colOff>
      <xdr:row>433</xdr:row>
      <xdr:rowOff>212911</xdr:rowOff>
    </xdr:to>
    <xdr:sp macro="" textlink="">
      <xdr:nvSpPr>
        <xdr:cNvPr id="5" name="Rectangle 4"/>
        <xdr:cNvSpPr/>
      </xdr:nvSpPr>
      <xdr:spPr>
        <a:xfrm>
          <a:off x="12711954" y="893271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163710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175390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40822</xdr:colOff>
      <xdr:row>208</xdr:row>
      <xdr:rowOff>0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40822" y="43672125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12331</xdr:colOff>
      <xdr:row>315</xdr:row>
      <xdr:rowOff>1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2331" y="6493371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422</xdr:row>
      <xdr:rowOff>0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605242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136070</xdr:colOff>
      <xdr:row>2</xdr:row>
      <xdr:rowOff>0</xdr:rowOff>
    </xdr:from>
    <xdr:to>
      <xdr:col>12</xdr:col>
      <xdr:colOff>544283</xdr:colOff>
      <xdr:row>5</xdr:row>
      <xdr:rowOff>54428</xdr:rowOff>
    </xdr:to>
    <xdr:sp macro="" textlink="">
      <xdr:nvSpPr>
        <xdr:cNvPr id="19" name="Left Arrow 18">
          <a:hlinkClick xmlns:r="http://schemas.openxmlformats.org/officeDocument/2006/relationships" r:id="rId2"/>
        </xdr:cNvPr>
        <xdr:cNvSpPr/>
      </xdr:nvSpPr>
      <xdr:spPr>
        <a:xfrm>
          <a:off x="14137820" y="542925"/>
          <a:ext cx="1017813" cy="845003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>
    <xdr:from>
      <xdr:col>0</xdr:col>
      <xdr:colOff>0</xdr:colOff>
      <xdr:row>6</xdr:row>
      <xdr:rowOff>133945</xdr:rowOff>
    </xdr:from>
    <xdr:to>
      <xdr:col>2</xdr:col>
      <xdr:colOff>2812852</xdr:colOff>
      <xdr:row>16</xdr:row>
      <xdr:rowOff>92657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85937"/>
          <a:ext cx="5982891" cy="189347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117</xdr:row>
      <xdr:rowOff>163710</xdr:rowOff>
    </xdr:from>
    <xdr:to>
      <xdr:col>2</xdr:col>
      <xdr:colOff>2128242</xdr:colOff>
      <xdr:row>127</xdr:row>
      <xdr:rowOff>77774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4020858"/>
          <a:ext cx="5298281" cy="1893479"/>
        </a:xfrm>
        <a:prstGeom prst="rect">
          <a:avLst/>
        </a:prstGeom>
      </xdr:spPr>
    </xdr:pic>
    <xdr:clientData/>
  </xdr:twoCellAnchor>
  <xdr:twoCellAnchor editAs="oneCell">
    <xdr:from>
      <xdr:col>0</xdr:col>
      <xdr:colOff>15718</xdr:colOff>
      <xdr:row>305</xdr:row>
      <xdr:rowOff>13804</xdr:rowOff>
    </xdr:from>
    <xdr:to>
      <xdr:col>1</xdr:col>
      <xdr:colOff>458615</xdr:colOff>
      <xdr:row>310</xdr:row>
      <xdr:rowOff>97365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15718" y="63374104"/>
          <a:ext cx="909622" cy="683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109072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5084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249</xdr:row>
      <xdr:rowOff>43534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8496</xdr:rowOff>
    </xdr:from>
    <xdr:to>
      <xdr:col>1</xdr:col>
      <xdr:colOff>777156</xdr:colOff>
      <xdr:row>258</xdr:row>
      <xdr:rowOff>179187</xdr:rowOff>
    </xdr:to>
    <xdr:pic>
      <xdr:nvPicPr>
        <xdr:cNvPr id="20" name="Picture 1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262</xdr:row>
      <xdr:rowOff>178903</xdr:rowOff>
    </xdr:from>
    <xdr:to>
      <xdr:col>1</xdr:col>
      <xdr:colOff>2429615</xdr:colOff>
      <xdr:row>269</xdr:row>
      <xdr:rowOff>78705</xdr:rowOff>
    </xdr:to>
    <xdr:pic>
      <xdr:nvPicPr>
        <xdr:cNvPr id="21" name="Picture 2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</xdr:row>
      <xdr:rowOff>5566</xdr:rowOff>
    </xdr:from>
    <xdr:to>
      <xdr:col>1</xdr:col>
      <xdr:colOff>571500</xdr:colOff>
      <xdr:row>277</xdr:row>
      <xdr:rowOff>87829</xdr:rowOff>
    </xdr:to>
    <xdr:pic>
      <xdr:nvPicPr>
        <xdr:cNvPr id="24" name="Picture 2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1546</xdr:colOff>
      <xdr:row>282</xdr:row>
      <xdr:rowOff>3488</xdr:rowOff>
    </xdr:from>
    <xdr:to>
      <xdr:col>1</xdr:col>
      <xdr:colOff>1964530</xdr:colOff>
      <xdr:row>289</xdr:row>
      <xdr:rowOff>21076</xdr:rowOff>
    </xdr:to>
    <xdr:pic>
      <xdr:nvPicPr>
        <xdr:cNvPr id="25" name="Picture 2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1546" y="58582238"/>
          <a:ext cx="2424351" cy="1371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9</xdr:col>
      <xdr:colOff>685242</xdr:colOff>
      <xdr:row>399</xdr:row>
      <xdr:rowOff>65060</xdr:rowOff>
    </xdr:to>
    <xdr:grpSp>
      <xdr:nvGrpSpPr>
        <xdr:cNvPr id="33" name="Group 32"/>
        <xdr:cNvGrpSpPr/>
      </xdr:nvGrpSpPr>
      <xdr:grpSpPr>
        <a:xfrm>
          <a:off x="0" y="70015100"/>
          <a:ext cx="13334442" cy="13260360"/>
          <a:chOff x="22408" y="69215576"/>
          <a:chExt cx="13284180" cy="11811001"/>
        </a:xfrm>
      </xdr:grpSpPr>
      <xdr:pic>
        <xdr:nvPicPr>
          <xdr:cNvPr id="34" name="Picture 3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5" name="Line Callout 2 (No Border) 34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4" name="Line Callout 2 (No Border) 43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19</xdr:row>
      <xdr:rowOff>0</xdr:rowOff>
    </xdr:from>
    <xdr:to>
      <xdr:col>9</xdr:col>
      <xdr:colOff>661351</xdr:colOff>
      <xdr:row>98</xdr:row>
      <xdr:rowOff>39591</xdr:rowOff>
    </xdr:to>
    <xdr:grpSp>
      <xdr:nvGrpSpPr>
        <xdr:cNvPr id="45" name="Group 44"/>
        <xdr:cNvGrpSpPr/>
      </xdr:nvGrpSpPr>
      <xdr:grpSpPr>
        <a:xfrm>
          <a:off x="0" y="4191000"/>
          <a:ext cx="13310551" cy="15089091"/>
          <a:chOff x="27214" y="3349853"/>
          <a:chExt cx="13279216" cy="15558034"/>
        </a:xfrm>
      </xdr:grpSpPr>
      <xdr:pic>
        <xdr:nvPicPr>
          <xdr:cNvPr id="46" name="Picture 4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7" name="Line Callout 2 (No Border) 46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1" name="Rectangle 60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Rectangle 61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7" name="Line Callout 2 (No Border) 66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8" name="Rectangle 67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440</xdr:row>
      <xdr:rowOff>0</xdr:rowOff>
    </xdr:from>
    <xdr:to>
      <xdr:col>9</xdr:col>
      <xdr:colOff>687198</xdr:colOff>
      <xdr:row>498</xdr:row>
      <xdr:rowOff>50219</xdr:rowOff>
    </xdr:to>
    <xdr:grpSp>
      <xdr:nvGrpSpPr>
        <xdr:cNvPr id="69" name="Group 68"/>
        <xdr:cNvGrpSpPr/>
      </xdr:nvGrpSpPr>
      <xdr:grpSpPr>
        <a:xfrm>
          <a:off x="0" y="91897200"/>
          <a:ext cx="13336398" cy="11797719"/>
          <a:chOff x="13607" y="89487375"/>
          <a:chExt cx="13314588" cy="11205473"/>
        </a:xfrm>
      </xdr:grpSpPr>
      <xdr:pic>
        <xdr:nvPicPr>
          <xdr:cNvPr id="70" name="Picture 69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1" name="Line Callout 2 (No Border) 70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5" name="Line Callout 2 (No Border) 74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6" name="Rectangle 75"/>
          <xdr:cNvSpPr>
            <a:spLocks/>
          </xdr:cNvSpPr>
        </xdr:nvSpPr>
        <xdr:spPr>
          <a:xfrm>
            <a:off x="3153422" y="96274585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9" name="Line Callout 2 (No Border) 78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0" name="Line Callout 2 (No Border) 79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1" name="Rectangle 80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Rectangle 81"/>
          <xdr:cNvSpPr>
            <a:spLocks/>
          </xdr:cNvSpPr>
        </xdr:nvSpPr>
        <xdr:spPr>
          <a:xfrm>
            <a:off x="8340391" y="93574850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3" name="Line Callout 2 (No Border) 82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14881</xdr:colOff>
      <xdr:row>427</xdr:row>
      <xdr:rowOff>133837</xdr:rowOff>
    </xdr:from>
    <xdr:to>
      <xdr:col>2</xdr:col>
      <xdr:colOff>3170039</xdr:colOff>
      <xdr:row>437</xdr:row>
      <xdr:rowOff>74412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1612" t="13344" r="1892" b="8946"/>
        <a:stretch/>
      </xdr:blipFill>
      <xdr:spPr>
        <a:xfrm>
          <a:off x="14881" y="87704306"/>
          <a:ext cx="6325197" cy="18753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321</xdr:row>
      <xdr:rowOff>14885</xdr:rowOff>
    </xdr:from>
    <xdr:to>
      <xdr:col>1</xdr:col>
      <xdr:colOff>1732269</xdr:colOff>
      <xdr:row>330</xdr:row>
      <xdr:rowOff>15909</xdr:rowOff>
    </xdr:to>
    <xdr:pic>
      <xdr:nvPicPr>
        <xdr:cNvPr id="91" name="Picture 9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6719651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293</xdr:row>
      <xdr:rowOff>178594</xdr:rowOff>
    </xdr:from>
    <xdr:to>
      <xdr:col>2</xdr:col>
      <xdr:colOff>3962</xdr:colOff>
      <xdr:row>300</xdr:row>
      <xdr:rowOff>153236</xdr:rowOff>
    </xdr:to>
    <xdr:grpSp>
      <xdr:nvGrpSpPr>
        <xdr:cNvPr id="92" name="Group 91"/>
        <xdr:cNvGrpSpPr/>
      </xdr:nvGrpSpPr>
      <xdr:grpSpPr>
        <a:xfrm>
          <a:off x="0" y="61557694"/>
          <a:ext cx="3191662" cy="1397042"/>
          <a:chOff x="5" y="63408179"/>
          <a:chExt cx="3174001" cy="1328978"/>
        </a:xfrm>
      </xdr:grpSpPr>
      <xdr:pic>
        <xdr:nvPicPr>
          <xdr:cNvPr id="93" name="Picture 9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4" name="Rectangle 93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5" name="Rectangle 94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6" name="Rectangle 95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97" name="Picture 9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8" name="Picture 9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140729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4072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432</xdr:row>
      <xdr:rowOff>201705</xdr:rowOff>
    </xdr:from>
    <xdr:to>
      <xdr:col>9</xdr:col>
      <xdr:colOff>324970</xdr:colOff>
      <xdr:row>433</xdr:row>
      <xdr:rowOff>212911</xdr:rowOff>
    </xdr:to>
    <xdr:sp macro="" textlink="">
      <xdr:nvSpPr>
        <xdr:cNvPr id="5" name="Rectangle 4"/>
        <xdr:cNvSpPr/>
      </xdr:nvSpPr>
      <xdr:spPr>
        <a:xfrm>
          <a:off x="12711954" y="893271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163710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175390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11056</xdr:colOff>
      <xdr:row>208</xdr:row>
      <xdr:rowOff>0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1056" y="43710820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12331</xdr:colOff>
      <xdr:row>315</xdr:row>
      <xdr:rowOff>0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2331" y="64933711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422</xdr:row>
      <xdr:rowOff>0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605242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136070</xdr:colOff>
      <xdr:row>2</xdr:row>
      <xdr:rowOff>0</xdr:rowOff>
    </xdr:from>
    <xdr:to>
      <xdr:col>12</xdr:col>
      <xdr:colOff>544283</xdr:colOff>
      <xdr:row>5</xdr:row>
      <xdr:rowOff>54428</xdr:rowOff>
    </xdr:to>
    <xdr:sp macro="" textlink="">
      <xdr:nvSpPr>
        <xdr:cNvPr id="19" name="Left Arrow 18">
          <a:hlinkClick xmlns:r="http://schemas.openxmlformats.org/officeDocument/2006/relationships" r:id="rId2"/>
        </xdr:cNvPr>
        <xdr:cNvSpPr/>
      </xdr:nvSpPr>
      <xdr:spPr>
        <a:xfrm>
          <a:off x="14137820" y="542925"/>
          <a:ext cx="1017813" cy="845003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>
    <xdr:from>
      <xdr:col>0</xdr:col>
      <xdr:colOff>0</xdr:colOff>
      <xdr:row>6</xdr:row>
      <xdr:rowOff>149707</xdr:rowOff>
    </xdr:from>
    <xdr:to>
      <xdr:col>2</xdr:col>
      <xdr:colOff>2812852</xdr:colOff>
      <xdr:row>16</xdr:row>
      <xdr:rowOff>104183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01699"/>
          <a:ext cx="5982891" cy="1889242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117</xdr:row>
      <xdr:rowOff>179472</xdr:rowOff>
    </xdr:from>
    <xdr:to>
      <xdr:col>2</xdr:col>
      <xdr:colOff>2113360</xdr:colOff>
      <xdr:row>127</xdr:row>
      <xdr:rowOff>89300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24036620"/>
          <a:ext cx="5283398" cy="1889243"/>
        </a:xfrm>
        <a:prstGeom prst="rect">
          <a:avLst/>
        </a:prstGeom>
      </xdr:spPr>
    </xdr:pic>
    <xdr:clientData/>
  </xdr:twoCellAnchor>
  <xdr:twoCellAnchor editAs="oneCell">
    <xdr:from>
      <xdr:col>0</xdr:col>
      <xdr:colOff>15718</xdr:colOff>
      <xdr:row>305</xdr:row>
      <xdr:rowOff>13804</xdr:rowOff>
    </xdr:from>
    <xdr:to>
      <xdr:col>1</xdr:col>
      <xdr:colOff>458615</xdr:colOff>
      <xdr:row>308</xdr:row>
      <xdr:rowOff>97365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15718" y="63374104"/>
          <a:ext cx="909622" cy="683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225</xdr:row>
      <xdr:rowOff>109073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236</xdr:row>
      <xdr:rowOff>5085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247</xdr:row>
      <xdr:rowOff>43533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8496</xdr:rowOff>
    </xdr:from>
    <xdr:to>
      <xdr:col>1</xdr:col>
      <xdr:colOff>777156</xdr:colOff>
      <xdr:row>256</xdr:row>
      <xdr:rowOff>179187</xdr:rowOff>
    </xdr:to>
    <xdr:pic>
      <xdr:nvPicPr>
        <xdr:cNvPr id="20" name="Picture 1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262</xdr:row>
      <xdr:rowOff>178903</xdr:rowOff>
    </xdr:from>
    <xdr:to>
      <xdr:col>1</xdr:col>
      <xdr:colOff>2429615</xdr:colOff>
      <xdr:row>267</xdr:row>
      <xdr:rowOff>78705</xdr:rowOff>
    </xdr:to>
    <xdr:pic>
      <xdr:nvPicPr>
        <xdr:cNvPr id="21" name="Picture 2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</xdr:row>
      <xdr:rowOff>5566</xdr:rowOff>
    </xdr:from>
    <xdr:to>
      <xdr:col>1</xdr:col>
      <xdr:colOff>571500</xdr:colOff>
      <xdr:row>275</xdr:row>
      <xdr:rowOff>87829</xdr:rowOff>
    </xdr:to>
    <xdr:pic>
      <xdr:nvPicPr>
        <xdr:cNvPr id="22" name="Picture 2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1547</xdr:colOff>
      <xdr:row>281</xdr:row>
      <xdr:rowOff>196965</xdr:rowOff>
    </xdr:from>
    <xdr:to>
      <xdr:col>1</xdr:col>
      <xdr:colOff>1265478</xdr:colOff>
      <xdr:row>287</xdr:row>
      <xdr:rowOff>21076</xdr:rowOff>
    </xdr:to>
    <xdr:pic>
      <xdr:nvPicPr>
        <xdr:cNvPr id="24" name="Picture 2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1547" y="58756665"/>
          <a:ext cx="1730656" cy="1024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9</xdr:col>
      <xdr:colOff>685242</xdr:colOff>
      <xdr:row>399</xdr:row>
      <xdr:rowOff>65060</xdr:rowOff>
    </xdr:to>
    <xdr:grpSp>
      <xdr:nvGrpSpPr>
        <xdr:cNvPr id="33" name="Group 32"/>
        <xdr:cNvGrpSpPr/>
      </xdr:nvGrpSpPr>
      <xdr:grpSpPr>
        <a:xfrm>
          <a:off x="0" y="70015100"/>
          <a:ext cx="13334442" cy="13260360"/>
          <a:chOff x="22408" y="69215576"/>
          <a:chExt cx="13284180" cy="11811001"/>
        </a:xfrm>
      </xdr:grpSpPr>
      <xdr:pic>
        <xdr:nvPicPr>
          <xdr:cNvPr id="34" name="Picture 3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5" name="Line Callout 2 (No Border) 34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4" name="Line Callout 2 (No Border) 43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19</xdr:row>
      <xdr:rowOff>0</xdr:rowOff>
    </xdr:from>
    <xdr:to>
      <xdr:col>9</xdr:col>
      <xdr:colOff>661351</xdr:colOff>
      <xdr:row>98</xdr:row>
      <xdr:rowOff>39591</xdr:rowOff>
    </xdr:to>
    <xdr:grpSp>
      <xdr:nvGrpSpPr>
        <xdr:cNvPr id="45" name="Group 44"/>
        <xdr:cNvGrpSpPr/>
      </xdr:nvGrpSpPr>
      <xdr:grpSpPr>
        <a:xfrm>
          <a:off x="0" y="4191000"/>
          <a:ext cx="13310551" cy="15089091"/>
          <a:chOff x="27214" y="3349853"/>
          <a:chExt cx="13279216" cy="15558034"/>
        </a:xfrm>
      </xdr:grpSpPr>
      <xdr:pic>
        <xdr:nvPicPr>
          <xdr:cNvPr id="46" name="Picture 4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7" name="Line Callout 2 (No Border) 46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1" name="Rectangle 60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Rectangle 61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7" name="Line Callout 2 (No Border) 66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8" name="Rectangle 67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440</xdr:row>
      <xdr:rowOff>0</xdr:rowOff>
    </xdr:from>
    <xdr:to>
      <xdr:col>9</xdr:col>
      <xdr:colOff>687198</xdr:colOff>
      <xdr:row>498</xdr:row>
      <xdr:rowOff>50219</xdr:rowOff>
    </xdr:to>
    <xdr:grpSp>
      <xdr:nvGrpSpPr>
        <xdr:cNvPr id="69" name="Group 68"/>
        <xdr:cNvGrpSpPr/>
      </xdr:nvGrpSpPr>
      <xdr:grpSpPr>
        <a:xfrm>
          <a:off x="0" y="91897200"/>
          <a:ext cx="13336398" cy="11797719"/>
          <a:chOff x="13607" y="89487375"/>
          <a:chExt cx="13314588" cy="11205473"/>
        </a:xfrm>
      </xdr:grpSpPr>
      <xdr:pic>
        <xdr:nvPicPr>
          <xdr:cNvPr id="70" name="Picture 69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1" name="Line Callout 2 (No Border) 70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4" name="Line Callout 2 (No Border) 73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5" name="Line Callout 2 (No Border) 74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6" name="Rectangle 75"/>
          <xdr:cNvSpPr>
            <a:spLocks/>
          </xdr:cNvSpPr>
        </xdr:nvSpPr>
        <xdr:spPr>
          <a:xfrm>
            <a:off x="3153422" y="96216628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9" name="Line Callout 2 (No Border) 78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0" name="Line Callout 2 (No Border) 79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1" name="Rectangle 80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Rectangle 81"/>
          <xdr:cNvSpPr>
            <a:spLocks/>
          </xdr:cNvSpPr>
        </xdr:nvSpPr>
        <xdr:spPr>
          <a:xfrm>
            <a:off x="8340391" y="93589339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3" name="Line Callout 2 (No Border) 82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29764</xdr:colOff>
      <xdr:row>427</xdr:row>
      <xdr:rowOff>119062</xdr:rowOff>
    </xdr:from>
    <xdr:to>
      <xdr:col>3</xdr:col>
      <xdr:colOff>462370</xdr:colOff>
      <xdr:row>437</xdr:row>
      <xdr:rowOff>89295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1842" t="12600" r="1892" b="11014"/>
        <a:stretch/>
      </xdr:blipFill>
      <xdr:spPr>
        <a:xfrm>
          <a:off x="29764" y="87689531"/>
          <a:ext cx="7323348" cy="19049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321</xdr:row>
      <xdr:rowOff>29767</xdr:rowOff>
    </xdr:from>
    <xdr:to>
      <xdr:col>1</xdr:col>
      <xdr:colOff>1732269</xdr:colOff>
      <xdr:row>330</xdr:row>
      <xdr:rowOff>30791</xdr:rowOff>
    </xdr:to>
    <xdr:pic>
      <xdr:nvPicPr>
        <xdr:cNvPr id="91" name="Picture 9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6734533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293</xdr:row>
      <xdr:rowOff>1</xdr:rowOff>
    </xdr:from>
    <xdr:to>
      <xdr:col>2</xdr:col>
      <xdr:colOff>3962</xdr:colOff>
      <xdr:row>299</xdr:row>
      <xdr:rowOff>168119</xdr:rowOff>
    </xdr:to>
    <xdr:grpSp>
      <xdr:nvGrpSpPr>
        <xdr:cNvPr id="92" name="Group 91"/>
        <xdr:cNvGrpSpPr/>
      </xdr:nvGrpSpPr>
      <xdr:grpSpPr>
        <a:xfrm>
          <a:off x="0" y="61379101"/>
          <a:ext cx="3191662" cy="1387318"/>
          <a:chOff x="5" y="63408179"/>
          <a:chExt cx="3174001" cy="1328978"/>
        </a:xfrm>
      </xdr:grpSpPr>
      <xdr:pic>
        <xdr:nvPicPr>
          <xdr:cNvPr id="93" name="Picture 9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4" name="Rectangle 93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5" name="Rectangle 94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6" name="Rectangle 95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97" name="Picture 9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8" name="Picture 9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140729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4072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432</xdr:row>
      <xdr:rowOff>201705</xdr:rowOff>
    </xdr:from>
    <xdr:to>
      <xdr:col>9</xdr:col>
      <xdr:colOff>324970</xdr:colOff>
      <xdr:row>433</xdr:row>
      <xdr:rowOff>212911</xdr:rowOff>
    </xdr:to>
    <xdr:sp macro="" textlink="">
      <xdr:nvSpPr>
        <xdr:cNvPr id="3" name="Rectangle 2"/>
        <xdr:cNvSpPr/>
      </xdr:nvSpPr>
      <xdr:spPr>
        <a:xfrm>
          <a:off x="12721479" y="8991768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163710</xdr:rowOff>
    </xdr:from>
    <xdr:ext cx="3110302" cy="1060854"/>
    <xdr:pic>
      <xdr:nvPicPr>
        <xdr:cNvPr id="4" name="Picture 3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1861660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11056</xdr:colOff>
      <xdr:row>208</xdr:row>
      <xdr:rowOff>0</xdr:rowOff>
    </xdr:from>
    <xdr:ext cx="3110302" cy="1060854"/>
    <xdr:pic>
      <xdr:nvPicPr>
        <xdr:cNvPr id="5" name="Picture 4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1056" y="43710225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12331</xdr:colOff>
      <xdr:row>315</xdr:row>
      <xdr:rowOff>0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2331" y="65474850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422</xdr:row>
      <xdr:rowOff>0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7258525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136070</xdr:colOff>
      <xdr:row>2</xdr:row>
      <xdr:rowOff>0</xdr:rowOff>
    </xdr:from>
    <xdr:to>
      <xdr:col>12</xdr:col>
      <xdr:colOff>544283</xdr:colOff>
      <xdr:row>5</xdr:row>
      <xdr:rowOff>54428</xdr:rowOff>
    </xdr:to>
    <xdr:sp macro="" textlink="">
      <xdr:nvSpPr>
        <xdr:cNvPr id="8" name="Left Arrow 7">
          <a:hlinkClick xmlns:r="http://schemas.openxmlformats.org/officeDocument/2006/relationships" r:id="rId2"/>
        </xdr:cNvPr>
        <xdr:cNvSpPr/>
      </xdr:nvSpPr>
      <xdr:spPr>
        <a:xfrm>
          <a:off x="14147345" y="542925"/>
          <a:ext cx="1017813" cy="845003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225</xdr:row>
      <xdr:rowOff>109073</xdr:rowOff>
    </xdr:to>
    <xdr:pic>
      <xdr:nvPicPr>
        <xdr:cNvPr id="12" name="Picture 1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3467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236</xdr:row>
      <xdr:rowOff>5085</xdr:rowOff>
    </xdr:to>
    <xdr:pic>
      <xdr:nvPicPr>
        <xdr:cNvPr id="13" name="Picture 1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9378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247</xdr:row>
      <xdr:rowOff>43533</xdr:rowOff>
    </xdr:to>
    <xdr:pic>
      <xdr:nvPicPr>
        <xdr:cNvPr id="14" name="Picture 1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9410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8496</xdr:rowOff>
    </xdr:from>
    <xdr:to>
      <xdr:col>1</xdr:col>
      <xdr:colOff>777156</xdr:colOff>
      <xdr:row>256</xdr:row>
      <xdr:rowOff>179187</xdr:rowOff>
    </xdr:to>
    <xdr:pic>
      <xdr:nvPicPr>
        <xdr:cNvPr id="15" name="Picture 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3119896"/>
          <a:ext cx="1243881" cy="7707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262</xdr:row>
      <xdr:rowOff>178903</xdr:rowOff>
    </xdr:from>
    <xdr:to>
      <xdr:col>1</xdr:col>
      <xdr:colOff>2429615</xdr:colOff>
      <xdr:row>267</xdr:row>
      <xdr:rowOff>78705</xdr:rowOff>
    </xdr:to>
    <xdr:pic>
      <xdr:nvPicPr>
        <xdr:cNvPr id="16" name="Picture 1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5090528"/>
          <a:ext cx="2861704" cy="89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</xdr:row>
      <xdr:rowOff>5566</xdr:rowOff>
    </xdr:from>
    <xdr:to>
      <xdr:col>1</xdr:col>
      <xdr:colOff>571500</xdr:colOff>
      <xdr:row>275</xdr:row>
      <xdr:rowOff>87829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71174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1547</xdr:colOff>
      <xdr:row>281</xdr:row>
      <xdr:rowOff>196965</xdr:rowOff>
    </xdr:from>
    <xdr:to>
      <xdr:col>1</xdr:col>
      <xdr:colOff>1265478</xdr:colOff>
      <xdr:row>287</xdr:row>
      <xdr:rowOff>21076</xdr:rowOff>
    </xdr:to>
    <xdr:pic>
      <xdr:nvPicPr>
        <xdr:cNvPr id="18" name="Picture 1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1547" y="58909065"/>
          <a:ext cx="1730656" cy="1024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9</xdr:col>
      <xdr:colOff>685242</xdr:colOff>
      <xdr:row>399</xdr:row>
      <xdr:rowOff>65060</xdr:rowOff>
    </xdr:to>
    <xdr:grpSp>
      <xdr:nvGrpSpPr>
        <xdr:cNvPr id="19" name="Group 18"/>
        <xdr:cNvGrpSpPr/>
      </xdr:nvGrpSpPr>
      <xdr:grpSpPr>
        <a:xfrm>
          <a:off x="0" y="70027800"/>
          <a:ext cx="13334442" cy="13260360"/>
          <a:chOff x="22408" y="69215576"/>
          <a:chExt cx="13284180" cy="11811001"/>
        </a:xfrm>
      </xdr:grpSpPr>
      <xdr:pic>
        <xdr:nvPicPr>
          <xdr:cNvPr id="20" name="Picture 19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1" name="Line Callout 2 (No Border) 20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22" name="Line Callout 2 (No Border) 21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3" name="Line Callout 2 (No Border) 22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4" name="Line Callout 2 (No Border) 23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5" name="Line Callout 2 (No Border) 24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6" name="Line Callout 2 (No Border) 25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27" name="Line Callout 2 (No Border) 26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28" name="Line Callout 2 (No Border) 27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29" name="Line Callout 2 (No Border) 28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0" name="Line Callout 2 (No Border) 29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19</xdr:row>
      <xdr:rowOff>0</xdr:rowOff>
    </xdr:from>
    <xdr:to>
      <xdr:col>9</xdr:col>
      <xdr:colOff>661351</xdr:colOff>
      <xdr:row>98</xdr:row>
      <xdr:rowOff>39591</xdr:rowOff>
    </xdr:to>
    <xdr:grpSp>
      <xdr:nvGrpSpPr>
        <xdr:cNvPr id="31" name="Group 30"/>
        <xdr:cNvGrpSpPr/>
      </xdr:nvGrpSpPr>
      <xdr:grpSpPr>
        <a:xfrm>
          <a:off x="0" y="4191000"/>
          <a:ext cx="13310551" cy="15089091"/>
          <a:chOff x="27214" y="3349853"/>
          <a:chExt cx="13279216" cy="15558034"/>
        </a:xfrm>
      </xdr:grpSpPr>
      <xdr:pic>
        <xdr:nvPicPr>
          <xdr:cNvPr id="32" name="Picture 31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3" name="Line Callout 2 (No Border) 32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4" name="Line Callout 2 (No Border) 33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5" name="Line Callout 2 (No Border) 34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6" name="Line Callout 2 (No Border) 35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7" name="Line Callout 2 (No Border) 36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8" name="Line Callout 2 (No Border) 37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4" name="Line Callout 2 (No Border) 43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5" name="Line Callout 2 (No Border) 44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6" name="Line Callout 2 (No Border) 45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7" name="Rectangle 46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8" name="Rectangle 47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4" name="Rectangle 53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440</xdr:row>
      <xdr:rowOff>0</xdr:rowOff>
    </xdr:from>
    <xdr:to>
      <xdr:col>9</xdr:col>
      <xdr:colOff>687198</xdr:colOff>
      <xdr:row>498</xdr:row>
      <xdr:rowOff>50219</xdr:rowOff>
    </xdr:to>
    <xdr:grpSp>
      <xdr:nvGrpSpPr>
        <xdr:cNvPr id="55" name="Group 54"/>
        <xdr:cNvGrpSpPr/>
      </xdr:nvGrpSpPr>
      <xdr:grpSpPr>
        <a:xfrm>
          <a:off x="0" y="91909900"/>
          <a:ext cx="13336398" cy="11797719"/>
          <a:chOff x="13607" y="89487375"/>
          <a:chExt cx="13314588" cy="11205473"/>
        </a:xfrm>
      </xdr:grpSpPr>
      <xdr:pic>
        <xdr:nvPicPr>
          <xdr:cNvPr id="56" name="Picture 5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7" name="Line Callout 2 (No Border) 56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1" name="Line Callout 2 (No Border) 60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2" name="Rectangle 61"/>
          <xdr:cNvSpPr>
            <a:spLocks/>
          </xdr:cNvSpPr>
        </xdr:nvSpPr>
        <xdr:spPr>
          <a:xfrm>
            <a:off x="3153422" y="96216628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7" name="Rectangle 66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8" name="Rectangle 67"/>
          <xdr:cNvSpPr>
            <a:spLocks/>
          </xdr:cNvSpPr>
        </xdr:nvSpPr>
        <xdr:spPr>
          <a:xfrm>
            <a:off x="8340391" y="93589339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9" name="Line Callout 2 (No Border) 68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321</xdr:row>
      <xdr:rowOff>29767</xdr:rowOff>
    </xdr:from>
    <xdr:to>
      <xdr:col>1</xdr:col>
      <xdr:colOff>1732269</xdr:colOff>
      <xdr:row>330</xdr:row>
      <xdr:rowOff>30791</xdr:rowOff>
    </xdr:to>
    <xdr:pic>
      <xdr:nvPicPr>
        <xdr:cNvPr id="71" name="Picture 7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7209592"/>
          <a:ext cx="2198994" cy="1715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293</xdr:row>
      <xdr:rowOff>1</xdr:rowOff>
    </xdr:from>
    <xdr:to>
      <xdr:col>2</xdr:col>
      <xdr:colOff>3962</xdr:colOff>
      <xdr:row>299</xdr:row>
      <xdr:rowOff>168119</xdr:rowOff>
    </xdr:to>
    <xdr:grpSp>
      <xdr:nvGrpSpPr>
        <xdr:cNvPr id="72" name="Group 71"/>
        <xdr:cNvGrpSpPr/>
      </xdr:nvGrpSpPr>
      <xdr:grpSpPr>
        <a:xfrm>
          <a:off x="0" y="61391801"/>
          <a:ext cx="3191662" cy="1387318"/>
          <a:chOff x="5" y="63408179"/>
          <a:chExt cx="3174001" cy="1328978"/>
        </a:xfrm>
      </xdr:grpSpPr>
      <xdr:pic>
        <xdr:nvPicPr>
          <xdr:cNvPr id="73" name="Picture 7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4" name="Rectangle 73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75" name="Rectangle 74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76" name="Rectangle 75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77" name="Picture 7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8" name="Picture 77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117</xdr:row>
      <xdr:rowOff>203200</xdr:rowOff>
    </xdr:from>
    <xdr:to>
      <xdr:col>2</xdr:col>
      <xdr:colOff>2108200</xdr:colOff>
      <xdr:row>127</xdr:row>
      <xdr:rowOff>101600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23609300"/>
          <a:ext cx="5295900" cy="1854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427</xdr:row>
      <xdr:rowOff>114300</xdr:rowOff>
    </xdr:from>
    <xdr:to>
      <xdr:col>3</xdr:col>
      <xdr:colOff>304800</xdr:colOff>
      <xdr:row>437</xdr:row>
      <xdr:rowOff>101600</xdr:rowOff>
    </xdr:to>
    <xdr:pic>
      <xdr:nvPicPr>
        <xdr:cNvPr id="80" name="Picture 79"/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1704" t="11644" r="1534" b="8219"/>
        <a:stretch/>
      </xdr:blipFill>
      <xdr:spPr>
        <a:xfrm>
          <a:off x="0" y="89522300"/>
          <a:ext cx="7213600" cy="1892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177800</xdr:rowOff>
    </xdr:from>
    <xdr:to>
      <xdr:col>2</xdr:col>
      <xdr:colOff>2806700</xdr:colOff>
      <xdr:row>16</xdr:row>
      <xdr:rowOff>127000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841500"/>
          <a:ext cx="5994400" cy="185420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125846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25846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432</xdr:row>
      <xdr:rowOff>201705</xdr:rowOff>
    </xdr:from>
    <xdr:to>
      <xdr:col>9</xdr:col>
      <xdr:colOff>324970</xdr:colOff>
      <xdr:row>433</xdr:row>
      <xdr:rowOff>212911</xdr:rowOff>
    </xdr:to>
    <xdr:sp macro="" textlink="">
      <xdr:nvSpPr>
        <xdr:cNvPr id="5" name="Rectangle 4"/>
        <xdr:cNvSpPr/>
      </xdr:nvSpPr>
      <xdr:spPr>
        <a:xfrm>
          <a:off x="12711954" y="893271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148827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2160507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11056</xdr:colOff>
      <xdr:row>207</xdr:row>
      <xdr:rowOff>163710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1056" y="43710819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12331</xdr:colOff>
      <xdr:row>314</xdr:row>
      <xdr:rowOff>133945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2331" y="64903945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422</xdr:row>
      <xdr:rowOff>0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6052422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136070</xdr:colOff>
      <xdr:row>2</xdr:row>
      <xdr:rowOff>0</xdr:rowOff>
    </xdr:from>
    <xdr:to>
      <xdr:col>12</xdr:col>
      <xdr:colOff>544283</xdr:colOff>
      <xdr:row>5</xdr:row>
      <xdr:rowOff>54428</xdr:rowOff>
    </xdr:to>
    <xdr:sp macro="" textlink="">
      <xdr:nvSpPr>
        <xdr:cNvPr id="19" name="Left Arrow 18">
          <a:hlinkClick xmlns:r="http://schemas.openxmlformats.org/officeDocument/2006/relationships" r:id="rId2"/>
        </xdr:cNvPr>
        <xdr:cNvSpPr/>
      </xdr:nvSpPr>
      <xdr:spPr>
        <a:xfrm>
          <a:off x="14137820" y="542925"/>
          <a:ext cx="1017813" cy="845003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>
    <xdr:from>
      <xdr:col>0</xdr:col>
      <xdr:colOff>0</xdr:colOff>
      <xdr:row>6</xdr:row>
      <xdr:rowOff>136747</xdr:rowOff>
    </xdr:from>
    <xdr:to>
      <xdr:col>2</xdr:col>
      <xdr:colOff>2812852</xdr:colOff>
      <xdr:row>16</xdr:row>
      <xdr:rowOff>104179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88739"/>
          <a:ext cx="5982891" cy="1902198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117</xdr:row>
      <xdr:rowOff>181396</xdr:rowOff>
    </xdr:from>
    <xdr:to>
      <xdr:col>2</xdr:col>
      <xdr:colOff>2143126</xdr:colOff>
      <xdr:row>127</xdr:row>
      <xdr:rowOff>104180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24038544"/>
          <a:ext cx="5313164" cy="1902199"/>
        </a:xfrm>
        <a:prstGeom prst="rect">
          <a:avLst/>
        </a:prstGeom>
      </xdr:spPr>
    </xdr:pic>
    <xdr:clientData/>
  </xdr:twoCellAnchor>
  <xdr:twoCellAnchor editAs="oneCell">
    <xdr:from>
      <xdr:col>0</xdr:col>
      <xdr:colOff>15718</xdr:colOff>
      <xdr:row>305</xdr:row>
      <xdr:rowOff>13804</xdr:rowOff>
    </xdr:from>
    <xdr:to>
      <xdr:col>1</xdr:col>
      <xdr:colOff>458615</xdr:colOff>
      <xdr:row>310</xdr:row>
      <xdr:rowOff>97365</xdr:rowOff>
    </xdr:to>
    <xdr:pic>
      <xdr:nvPicPr>
        <xdr:cNvPr id="17" name="Picture 1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15718" y="63374104"/>
          <a:ext cx="909622" cy="683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78441</xdr:colOff>
      <xdr:row>218</xdr:row>
      <xdr:rowOff>159982</xdr:rowOff>
    </xdr:from>
    <xdr:to>
      <xdr:col>1</xdr:col>
      <xdr:colOff>2409264</xdr:colOff>
      <xdr:row>227</xdr:row>
      <xdr:rowOff>109072</xdr:rowOff>
    </xdr:to>
    <xdr:pic>
      <xdr:nvPicPr>
        <xdr:cNvPr id="20" name="Picture 1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17426</xdr:rowOff>
    </xdr:from>
    <xdr:to>
      <xdr:col>1</xdr:col>
      <xdr:colOff>707572</xdr:colOff>
      <xdr:row>238</xdr:row>
      <xdr:rowOff>5084</xdr:rowOff>
    </xdr:to>
    <xdr:pic>
      <xdr:nvPicPr>
        <xdr:cNvPr id="21" name="Picture 2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242</xdr:row>
      <xdr:rowOff>20401</xdr:rowOff>
    </xdr:from>
    <xdr:to>
      <xdr:col>1</xdr:col>
      <xdr:colOff>2462267</xdr:colOff>
      <xdr:row>249</xdr:row>
      <xdr:rowOff>43534</xdr:rowOff>
    </xdr:to>
    <xdr:pic>
      <xdr:nvPicPr>
        <xdr:cNvPr id="22" name="Picture 2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8496</xdr:rowOff>
    </xdr:from>
    <xdr:to>
      <xdr:col>1</xdr:col>
      <xdr:colOff>777156</xdr:colOff>
      <xdr:row>258</xdr:row>
      <xdr:rowOff>179187</xdr:rowOff>
    </xdr:to>
    <xdr:pic>
      <xdr:nvPicPr>
        <xdr:cNvPr id="24" name="Picture 2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262</xdr:row>
      <xdr:rowOff>178903</xdr:rowOff>
    </xdr:from>
    <xdr:to>
      <xdr:col>1</xdr:col>
      <xdr:colOff>2429615</xdr:colOff>
      <xdr:row>269</xdr:row>
      <xdr:rowOff>78705</xdr:rowOff>
    </xdr:to>
    <xdr:pic>
      <xdr:nvPicPr>
        <xdr:cNvPr id="26" name="Picture 2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</xdr:row>
      <xdr:rowOff>5566</xdr:rowOff>
    </xdr:from>
    <xdr:to>
      <xdr:col>1</xdr:col>
      <xdr:colOff>571500</xdr:colOff>
      <xdr:row>277</xdr:row>
      <xdr:rowOff>87829</xdr:rowOff>
    </xdr:to>
    <xdr:pic>
      <xdr:nvPicPr>
        <xdr:cNvPr id="27" name="Picture 2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9</xdr:col>
      <xdr:colOff>685242</xdr:colOff>
      <xdr:row>399</xdr:row>
      <xdr:rowOff>65060</xdr:rowOff>
    </xdr:to>
    <xdr:grpSp>
      <xdr:nvGrpSpPr>
        <xdr:cNvPr id="36" name="Group 35"/>
        <xdr:cNvGrpSpPr/>
      </xdr:nvGrpSpPr>
      <xdr:grpSpPr>
        <a:xfrm>
          <a:off x="0" y="70015100"/>
          <a:ext cx="13334442" cy="13260360"/>
          <a:chOff x="22408" y="69215576"/>
          <a:chExt cx="13284180" cy="11811001"/>
        </a:xfrm>
      </xdr:grpSpPr>
      <xdr:pic>
        <xdr:nvPicPr>
          <xdr:cNvPr id="37" name="Picture 36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8" name="Line Callout 2 (No Border) 37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39" name="Line Callout 2 (No Border) 38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0" name="Line Callout 2 (No Border) 39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1" name="Line Callout 2 (No Border) 40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4" name="Line Callout 2 (No Border) 43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5" name="Line Callout 2 (No Border) 44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6" name="Line Callout 2 (No Border) 45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7" name="Line Callout 2 (No Border) 46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19</xdr:row>
      <xdr:rowOff>0</xdr:rowOff>
    </xdr:from>
    <xdr:to>
      <xdr:col>9</xdr:col>
      <xdr:colOff>661351</xdr:colOff>
      <xdr:row>98</xdr:row>
      <xdr:rowOff>39591</xdr:rowOff>
    </xdr:to>
    <xdr:grpSp>
      <xdr:nvGrpSpPr>
        <xdr:cNvPr id="48" name="Group 47"/>
        <xdr:cNvGrpSpPr/>
      </xdr:nvGrpSpPr>
      <xdr:grpSpPr>
        <a:xfrm>
          <a:off x="0" y="4191000"/>
          <a:ext cx="13310551" cy="15089091"/>
          <a:chOff x="27214" y="3349853"/>
          <a:chExt cx="13279216" cy="15558034"/>
        </a:xfrm>
      </xdr:grpSpPr>
      <xdr:pic>
        <xdr:nvPicPr>
          <xdr:cNvPr id="49" name="Picture 48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0" name="Line Callout 2 (No Border) 49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1" name="Line Callout 2 (No Border) 50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2" name="Line Callout 2 (No Border) 51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3" name="Line Callout 2 (No Border) 52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1" name="Line Callout 2 (No Border) 60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2" name="Line Callout 2 (No Border) 61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4" name="Rectangle 63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5" name="Rectangle 64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7" name="Line Callout 2 (No Border) 66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8" name="Line Callout 2 (No Border) 67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9" name="Line Callout 2 (No Border) 68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0" name="Line Callout 2 (No Border) 69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1" name="Rectangle 70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440</xdr:row>
      <xdr:rowOff>0</xdr:rowOff>
    </xdr:from>
    <xdr:to>
      <xdr:col>9</xdr:col>
      <xdr:colOff>687198</xdr:colOff>
      <xdr:row>498</xdr:row>
      <xdr:rowOff>50219</xdr:rowOff>
    </xdr:to>
    <xdr:grpSp>
      <xdr:nvGrpSpPr>
        <xdr:cNvPr id="72" name="Group 71"/>
        <xdr:cNvGrpSpPr/>
      </xdr:nvGrpSpPr>
      <xdr:grpSpPr>
        <a:xfrm>
          <a:off x="0" y="91897200"/>
          <a:ext cx="13336398" cy="11797719"/>
          <a:chOff x="13607" y="89487375"/>
          <a:chExt cx="13314588" cy="11205473"/>
        </a:xfrm>
      </xdr:grpSpPr>
      <xdr:pic>
        <xdr:nvPicPr>
          <xdr:cNvPr id="73" name="Picture 7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4" name="Line Callout 2 (No Border) 73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5" name="Line Callout 2 (No Border) 74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6" name="Line Callout 2 (No Border) 75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7" name="Line Callout 2 (No Border) 76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9" name="Rectangle 78"/>
          <xdr:cNvSpPr>
            <a:spLocks/>
          </xdr:cNvSpPr>
        </xdr:nvSpPr>
        <xdr:spPr>
          <a:xfrm>
            <a:off x="3153422" y="96216628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0" name="Line Callout 2 (No Border) 79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1" name="Line Callout 2 (No Border) 80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2" name="Line Callout 2 (No Border) 81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3" name="Line Callout 2 (No Border) 82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4" name="Rectangle 83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5" name="Rectangle 84"/>
          <xdr:cNvSpPr>
            <a:spLocks/>
          </xdr:cNvSpPr>
        </xdr:nvSpPr>
        <xdr:spPr>
          <a:xfrm>
            <a:off x="8340391" y="93574850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6" name="Line Callout 2 (No Border) 85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428</xdr:row>
      <xdr:rowOff>59533</xdr:rowOff>
    </xdr:from>
    <xdr:to>
      <xdr:col>2</xdr:col>
      <xdr:colOff>2604492</xdr:colOff>
      <xdr:row>437</xdr:row>
      <xdr:rowOff>74417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1611" t="12519" r="1662" b="8455"/>
        <a:stretch/>
      </xdr:blipFill>
      <xdr:spPr>
        <a:xfrm>
          <a:off x="0" y="87823478"/>
          <a:ext cx="5774531" cy="17561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320</xdr:row>
      <xdr:rowOff>190499</xdr:rowOff>
    </xdr:from>
    <xdr:to>
      <xdr:col>1</xdr:col>
      <xdr:colOff>1729292</xdr:colOff>
      <xdr:row>330</xdr:row>
      <xdr:rowOff>27812</xdr:rowOff>
    </xdr:to>
    <xdr:pic>
      <xdr:nvPicPr>
        <xdr:cNvPr id="94" name="Picture 9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7210780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292</xdr:row>
      <xdr:rowOff>176893</xdr:rowOff>
    </xdr:from>
    <xdr:to>
      <xdr:col>1</xdr:col>
      <xdr:colOff>2711358</xdr:colOff>
      <xdr:row>299</xdr:row>
      <xdr:rowOff>77121</xdr:rowOff>
    </xdr:to>
    <xdr:grpSp>
      <xdr:nvGrpSpPr>
        <xdr:cNvPr id="95" name="Group 94"/>
        <xdr:cNvGrpSpPr/>
      </xdr:nvGrpSpPr>
      <xdr:grpSpPr>
        <a:xfrm>
          <a:off x="0" y="61352793"/>
          <a:ext cx="3181258" cy="1322628"/>
          <a:chOff x="5" y="63408179"/>
          <a:chExt cx="3174001" cy="1328978"/>
        </a:xfrm>
      </xdr:grpSpPr>
      <xdr:pic>
        <xdr:nvPicPr>
          <xdr:cNvPr id="96" name="Picture 9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7" name="Rectangle 96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8" name="Rectangle 97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99" name="Rectangle 98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100" name="Picture 99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1" name="Picture 100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282</xdr:row>
      <xdr:rowOff>0</xdr:rowOff>
    </xdr:from>
    <xdr:to>
      <xdr:col>1</xdr:col>
      <xdr:colOff>1944275</xdr:colOff>
      <xdr:row>289</xdr:row>
      <xdr:rowOff>28219</xdr:rowOff>
    </xdr:to>
    <xdr:pic>
      <xdr:nvPicPr>
        <xdr:cNvPr id="87" name="Picture 8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286321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122238</xdr:rowOff>
    </xdr:from>
    <xdr:ext cx="3110302" cy="1060854"/>
    <xdr:pic>
      <xdr:nvPicPr>
        <xdr:cNvPr id="2" name="Picture 1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122238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9</xdr:col>
      <xdr:colOff>100854</xdr:colOff>
      <xdr:row>431</xdr:row>
      <xdr:rowOff>201705</xdr:rowOff>
    </xdr:from>
    <xdr:to>
      <xdr:col>9</xdr:col>
      <xdr:colOff>324970</xdr:colOff>
      <xdr:row>432</xdr:row>
      <xdr:rowOff>212911</xdr:rowOff>
    </xdr:to>
    <xdr:sp macro="" textlink="">
      <xdr:nvSpPr>
        <xdr:cNvPr id="5" name="Rectangle 4"/>
        <xdr:cNvSpPr/>
      </xdr:nvSpPr>
      <xdr:spPr>
        <a:xfrm>
          <a:off x="12711954" y="89327130"/>
          <a:ext cx="224116" cy="1921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0</xdr:colOff>
      <xdr:row>111</xdr:row>
      <xdr:rowOff>144317</xdr:rowOff>
    </xdr:from>
    <xdr:ext cx="3110302" cy="1060854"/>
    <xdr:pic>
      <xdr:nvPicPr>
        <xdr:cNvPr id="6" name="Picture 5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21921931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11958</xdr:colOff>
      <xdr:row>206</xdr:row>
      <xdr:rowOff>144320</xdr:rowOff>
    </xdr:from>
    <xdr:ext cx="3110302" cy="1060854"/>
    <xdr:pic>
      <xdr:nvPicPr>
        <xdr:cNvPr id="7" name="Picture 6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1958" y="44276820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12782</xdr:colOff>
      <xdr:row>313</xdr:row>
      <xdr:rowOff>129886</xdr:rowOff>
    </xdr:from>
    <xdr:ext cx="3110302" cy="1060854"/>
    <xdr:pic>
      <xdr:nvPicPr>
        <xdr:cNvPr id="8" name="Picture 7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12782" y="66573977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421</xdr:row>
      <xdr:rowOff>0</xdr:rowOff>
    </xdr:from>
    <xdr:ext cx="3110302" cy="1060854"/>
    <xdr:pic>
      <xdr:nvPicPr>
        <xdr:cNvPr id="9" name="Picture 8" descr="logo.jp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186"/>
        <a:stretch/>
      </xdr:blipFill>
      <xdr:spPr>
        <a:xfrm>
          <a:off x="0" y="88784545"/>
          <a:ext cx="3110302" cy="106085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136070</xdr:colOff>
      <xdr:row>2</xdr:row>
      <xdr:rowOff>0</xdr:rowOff>
    </xdr:from>
    <xdr:to>
      <xdr:col>12</xdr:col>
      <xdr:colOff>544283</xdr:colOff>
      <xdr:row>5</xdr:row>
      <xdr:rowOff>54428</xdr:rowOff>
    </xdr:to>
    <xdr:sp macro="" textlink="">
      <xdr:nvSpPr>
        <xdr:cNvPr id="19" name="Left Arrow 18">
          <a:hlinkClick xmlns:r="http://schemas.openxmlformats.org/officeDocument/2006/relationships" r:id="rId2"/>
        </xdr:cNvPr>
        <xdr:cNvSpPr/>
      </xdr:nvSpPr>
      <xdr:spPr>
        <a:xfrm>
          <a:off x="14137820" y="542925"/>
          <a:ext cx="1017813" cy="845003"/>
        </a:xfrm>
        <a:prstGeom prst="leftArrow">
          <a:avLst/>
        </a:prstGeom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BACK</a:t>
          </a:r>
        </a:p>
      </xdr:txBody>
    </xdr:sp>
    <xdr:clientData/>
  </xdr:twoCellAnchor>
  <xdr:twoCellAnchor>
    <xdr:from>
      <xdr:col>0</xdr:col>
      <xdr:colOff>0</xdr:colOff>
      <xdr:row>6</xdr:row>
      <xdr:rowOff>130023</xdr:rowOff>
    </xdr:from>
    <xdr:to>
      <xdr:col>2</xdr:col>
      <xdr:colOff>2827734</xdr:colOff>
      <xdr:row>16</xdr:row>
      <xdr:rowOff>89297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75250"/>
          <a:ext cx="6002734" cy="1835411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117</xdr:row>
      <xdr:rowOff>174673</xdr:rowOff>
    </xdr:from>
    <xdr:to>
      <xdr:col>2</xdr:col>
      <xdr:colOff>2034887</xdr:colOff>
      <xdr:row>127</xdr:row>
      <xdr:rowOff>89299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23785128"/>
          <a:ext cx="5209886" cy="1848489"/>
        </a:xfrm>
        <a:prstGeom prst="rect">
          <a:avLst/>
        </a:prstGeom>
      </xdr:spPr>
    </xdr:pic>
    <xdr:clientData/>
  </xdr:twoCellAnchor>
  <xdr:twoCellAnchor editAs="oneCell">
    <xdr:from>
      <xdr:col>0</xdr:col>
      <xdr:colOff>15718</xdr:colOff>
      <xdr:row>304</xdr:row>
      <xdr:rowOff>13804</xdr:rowOff>
    </xdr:from>
    <xdr:to>
      <xdr:col>1</xdr:col>
      <xdr:colOff>458615</xdr:colOff>
      <xdr:row>309</xdr:row>
      <xdr:rowOff>97363</xdr:rowOff>
    </xdr:to>
    <xdr:pic>
      <xdr:nvPicPr>
        <xdr:cNvPr id="22" name="Picture 2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6" t="47326" r="62808" b="26021"/>
        <a:stretch/>
      </xdr:blipFill>
      <xdr:spPr bwMode="auto">
        <a:xfrm>
          <a:off x="15718" y="63374104"/>
          <a:ext cx="909622" cy="683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78441</xdr:colOff>
      <xdr:row>217</xdr:row>
      <xdr:rowOff>159982</xdr:rowOff>
    </xdr:from>
    <xdr:to>
      <xdr:col>1</xdr:col>
      <xdr:colOff>2409264</xdr:colOff>
      <xdr:row>226</xdr:row>
      <xdr:rowOff>109074</xdr:rowOff>
    </xdr:to>
    <xdr:pic>
      <xdr:nvPicPr>
        <xdr:cNvPr id="24" name="Picture 2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5" t="34672" r="35004" b="26850"/>
        <a:stretch/>
      </xdr:blipFill>
      <xdr:spPr bwMode="auto">
        <a:xfrm>
          <a:off x="78441" y="46194307"/>
          <a:ext cx="2797548" cy="128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231</xdr:row>
      <xdr:rowOff>17426</xdr:rowOff>
    </xdr:from>
    <xdr:to>
      <xdr:col>1</xdr:col>
      <xdr:colOff>707572</xdr:colOff>
      <xdr:row>237</xdr:row>
      <xdr:rowOff>5087</xdr:rowOff>
    </xdr:to>
    <xdr:pic>
      <xdr:nvPicPr>
        <xdr:cNvPr id="26" name="Picture 2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5" t="24535" r="35731" b="16751"/>
        <a:stretch/>
      </xdr:blipFill>
      <xdr:spPr bwMode="auto">
        <a:xfrm>
          <a:off x="0" y="48785426"/>
          <a:ext cx="1174297" cy="787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66676</xdr:colOff>
      <xdr:row>241</xdr:row>
      <xdr:rowOff>20401</xdr:rowOff>
    </xdr:from>
    <xdr:to>
      <xdr:col>1</xdr:col>
      <xdr:colOff>2462267</xdr:colOff>
      <xdr:row>248</xdr:row>
      <xdr:rowOff>43532</xdr:rowOff>
    </xdr:to>
    <xdr:pic>
      <xdr:nvPicPr>
        <xdr:cNvPr id="27" name="Picture 2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2" t="33841" r="44833" b="52791"/>
        <a:stretch/>
      </xdr:blipFill>
      <xdr:spPr bwMode="auto">
        <a:xfrm>
          <a:off x="66676" y="50788651"/>
          <a:ext cx="2862316" cy="1013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252</xdr:row>
      <xdr:rowOff>8496</xdr:rowOff>
    </xdr:from>
    <xdr:to>
      <xdr:col>1</xdr:col>
      <xdr:colOff>777156</xdr:colOff>
      <xdr:row>257</xdr:row>
      <xdr:rowOff>179187</xdr:rowOff>
    </xdr:to>
    <xdr:pic>
      <xdr:nvPicPr>
        <xdr:cNvPr id="28" name="Picture 2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9" t="37037" r="57018" b="39259"/>
        <a:stretch/>
      </xdr:blipFill>
      <xdr:spPr bwMode="auto">
        <a:xfrm>
          <a:off x="0" y="52967496"/>
          <a:ext cx="1243881" cy="77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34636</xdr:colOff>
      <xdr:row>261</xdr:row>
      <xdr:rowOff>178903</xdr:rowOff>
    </xdr:from>
    <xdr:to>
      <xdr:col>1</xdr:col>
      <xdr:colOff>2429615</xdr:colOff>
      <xdr:row>268</xdr:row>
      <xdr:rowOff>78704</xdr:rowOff>
    </xdr:to>
    <xdr:pic>
      <xdr:nvPicPr>
        <xdr:cNvPr id="29" name="Picture 2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76" t="13122" r="50451" b="69524"/>
        <a:stretch/>
      </xdr:blipFill>
      <xdr:spPr bwMode="auto">
        <a:xfrm>
          <a:off x="34636" y="54938128"/>
          <a:ext cx="2861704" cy="899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272</xdr:row>
      <xdr:rowOff>5566</xdr:rowOff>
    </xdr:from>
    <xdr:to>
      <xdr:col>1</xdr:col>
      <xdr:colOff>571500</xdr:colOff>
      <xdr:row>276</xdr:row>
      <xdr:rowOff>87830</xdr:rowOff>
    </xdr:to>
    <xdr:pic>
      <xdr:nvPicPr>
        <xdr:cNvPr id="30" name="Picture 2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93" t="30447" r="49454" b="54964"/>
        <a:stretch/>
      </xdr:blipFill>
      <xdr:spPr bwMode="auto">
        <a:xfrm>
          <a:off x="0" y="56965066"/>
          <a:ext cx="1038225" cy="48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9</xdr:col>
      <xdr:colOff>666029</xdr:colOff>
      <xdr:row>393</xdr:row>
      <xdr:rowOff>189264</xdr:rowOff>
    </xdr:to>
    <xdr:grpSp>
      <xdr:nvGrpSpPr>
        <xdr:cNvPr id="39" name="Group 38"/>
        <xdr:cNvGrpSpPr/>
      </xdr:nvGrpSpPr>
      <xdr:grpSpPr>
        <a:xfrm>
          <a:off x="0" y="69951600"/>
          <a:ext cx="13353329" cy="12368564"/>
          <a:chOff x="22408" y="69215576"/>
          <a:chExt cx="13284180" cy="11811001"/>
        </a:xfrm>
      </xdr:grpSpPr>
      <xdr:pic>
        <xdr:nvPicPr>
          <xdr:cNvPr id="40" name="Picture 39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422" t="9373" r="39013" b="11499"/>
          <a:stretch/>
        </xdr:blipFill>
        <xdr:spPr bwMode="auto">
          <a:xfrm>
            <a:off x="259770" y="69215576"/>
            <a:ext cx="12827631" cy="11811001"/>
          </a:xfrm>
          <a:prstGeom prst="rect">
            <a:avLst/>
          </a:prstGeom>
          <a:noFill/>
          <a:ln w="31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1" name="Line Callout 2 (No Border) 40"/>
          <xdr:cNvSpPr/>
        </xdr:nvSpPr>
        <xdr:spPr>
          <a:xfrm flipH="1">
            <a:off x="3840817" y="71031287"/>
            <a:ext cx="1918609" cy="676718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2" name="Line Callout 2 (No Border) 41"/>
          <xdr:cNvSpPr/>
        </xdr:nvSpPr>
        <xdr:spPr>
          <a:xfrm flipH="1">
            <a:off x="89648" y="73037139"/>
            <a:ext cx="1924212" cy="665512"/>
          </a:xfrm>
          <a:prstGeom prst="callout2">
            <a:avLst>
              <a:gd name="adj1" fmla="val 49131"/>
              <a:gd name="adj2" fmla="val 76937"/>
              <a:gd name="adj3" fmla="val 49425"/>
              <a:gd name="adj4" fmla="val 4594"/>
              <a:gd name="adj5" fmla="val 128148"/>
              <a:gd name="adj6" fmla="val -1579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3" name="Line Callout 2 (No Border) 42"/>
          <xdr:cNvSpPr/>
        </xdr:nvSpPr>
        <xdr:spPr>
          <a:xfrm flipH="1">
            <a:off x="5600140" y="76029110"/>
            <a:ext cx="1924212" cy="676718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4" name="Line Callout 2 (No Border) 43"/>
          <xdr:cNvSpPr/>
        </xdr:nvSpPr>
        <xdr:spPr>
          <a:xfrm flipH="1">
            <a:off x="8283949" y="73306080"/>
            <a:ext cx="1929815" cy="665513"/>
          </a:xfrm>
          <a:prstGeom prst="callout2">
            <a:avLst>
              <a:gd name="adj1" fmla="val 49131"/>
              <a:gd name="adj2" fmla="val 73411"/>
              <a:gd name="adj3" fmla="val 49425"/>
              <a:gd name="adj4" fmla="val 3873"/>
              <a:gd name="adj5" fmla="val -34339"/>
              <a:gd name="adj6" fmla="val -1579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5" name="Line Callout 2 (No Border) 44"/>
          <xdr:cNvSpPr/>
        </xdr:nvSpPr>
        <xdr:spPr>
          <a:xfrm flipH="1">
            <a:off x="5712200" y="73944816"/>
            <a:ext cx="1924212" cy="676718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6" name="Line Callout 2 (No Border) 45"/>
          <xdr:cNvSpPr/>
        </xdr:nvSpPr>
        <xdr:spPr>
          <a:xfrm flipH="1">
            <a:off x="2863105" y="77048844"/>
            <a:ext cx="1921410" cy="665513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47" name="Line Callout 2 (No Border) 46"/>
          <xdr:cNvSpPr/>
        </xdr:nvSpPr>
        <xdr:spPr>
          <a:xfrm flipH="1">
            <a:off x="11394984" y="76712668"/>
            <a:ext cx="1911604" cy="665513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8" name="Line Callout 2 (No Border) 47"/>
          <xdr:cNvSpPr/>
        </xdr:nvSpPr>
        <xdr:spPr>
          <a:xfrm flipH="1">
            <a:off x="11868432" y="69326311"/>
            <a:ext cx="1416221" cy="676718"/>
          </a:xfrm>
          <a:prstGeom prst="callout2">
            <a:avLst>
              <a:gd name="adj1" fmla="val 49131"/>
              <a:gd name="adj2" fmla="val 46221"/>
              <a:gd name="adj3" fmla="val 49425"/>
              <a:gd name="adj4" fmla="val 95894"/>
              <a:gd name="adj5" fmla="val 162854"/>
              <a:gd name="adj6" fmla="val 12087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เฟรมข้าง(ขวา)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49" name="Line Callout 2 (No Border) 48"/>
          <xdr:cNvSpPr/>
        </xdr:nvSpPr>
        <xdr:spPr>
          <a:xfrm flipH="1">
            <a:off x="22408" y="74774052"/>
            <a:ext cx="1498387" cy="665513"/>
          </a:xfrm>
          <a:prstGeom prst="callout2">
            <a:avLst>
              <a:gd name="adj1" fmla="val 50324"/>
              <a:gd name="adj2" fmla="val 51695"/>
              <a:gd name="adj3" fmla="val 50619"/>
              <a:gd name="adj4" fmla="val 6129"/>
              <a:gd name="adj5" fmla="val 147078"/>
              <a:gd name="adj6" fmla="val -1429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0" name="Line Callout 2 (No Border) 49"/>
          <xdr:cNvSpPr/>
        </xdr:nvSpPr>
        <xdr:spPr>
          <a:xfrm flipH="1">
            <a:off x="7510744" y="78684904"/>
            <a:ext cx="1927014" cy="676718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>
    <xdr:from>
      <xdr:col>0</xdr:col>
      <xdr:colOff>0</xdr:colOff>
      <xdr:row>18</xdr:row>
      <xdr:rowOff>86591</xdr:rowOff>
    </xdr:from>
    <xdr:to>
      <xdr:col>9</xdr:col>
      <xdr:colOff>649431</xdr:colOff>
      <xdr:row>99</xdr:row>
      <xdr:rowOff>84239</xdr:rowOff>
    </xdr:to>
    <xdr:grpSp>
      <xdr:nvGrpSpPr>
        <xdr:cNvPr id="51" name="Group 50"/>
        <xdr:cNvGrpSpPr/>
      </xdr:nvGrpSpPr>
      <xdr:grpSpPr>
        <a:xfrm>
          <a:off x="0" y="4087091"/>
          <a:ext cx="13336731" cy="15428148"/>
          <a:chOff x="27214" y="3349853"/>
          <a:chExt cx="13279216" cy="15558034"/>
        </a:xfrm>
      </xdr:grpSpPr>
      <xdr:pic>
        <xdr:nvPicPr>
          <xdr:cNvPr id="52" name="Picture 51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06" t="20259" r="42769" b="9961"/>
          <a:stretch/>
        </xdr:blipFill>
        <xdr:spPr bwMode="auto">
          <a:xfrm>
            <a:off x="27214" y="4005942"/>
            <a:ext cx="13279216" cy="14491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3" name="Line Callout 2 (No Border) 52"/>
          <xdr:cNvSpPr/>
        </xdr:nvSpPr>
        <xdr:spPr>
          <a:xfrm flipH="1">
            <a:off x="1821192" y="6623601"/>
            <a:ext cx="1899918" cy="725039"/>
          </a:xfrm>
          <a:prstGeom prst="callout2">
            <a:avLst>
              <a:gd name="adj1" fmla="val 49131"/>
              <a:gd name="adj2" fmla="val 32425"/>
              <a:gd name="adj3" fmla="val 49425"/>
              <a:gd name="adj4" fmla="val 4987"/>
              <a:gd name="adj5" fmla="val 113950"/>
              <a:gd name="adj6" fmla="val -169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Head</a:t>
            </a:r>
            <a:endParaRPr kumimoji="0" lang="en-GB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algn="r"/>
            <a:r>
              <a:rPr kumimoji="0" lang="th-TH" sz="16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เฟรมบน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54" name="Line Callout 2 (No Border) 53"/>
          <xdr:cNvSpPr/>
        </xdr:nvSpPr>
        <xdr:spPr>
          <a:xfrm flipH="1">
            <a:off x="750010" y="7762504"/>
            <a:ext cx="1938434" cy="696687"/>
          </a:xfrm>
          <a:prstGeom prst="callout2">
            <a:avLst>
              <a:gd name="adj1" fmla="val 47711"/>
              <a:gd name="adj2" fmla="val 22452"/>
              <a:gd name="adj3" fmla="val 46939"/>
              <a:gd name="adj4" fmla="val 100215"/>
              <a:gd name="adj5" fmla="val 200236"/>
              <a:gd name="adj6" fmla="val 7784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(top)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(บน)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5" name="Line Callout 2 (No Border) 54"/>
          <xdr:cNvSpPr/>
        </xdr:nvSpPr>
        <xdr:spPr>
          <a:xfrm flipH="1">
            <a:off x="5179645" y="13481670"/>
            <a:ext cx="1935713" cy="7250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</a:t>
            </a:r>
            <a:r>
              <a:rPr lang="en-US" sz="16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Stop Sill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ตัวตบธรณี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6" name="Line Callout 2 (No Border) 55"/>
          <xdr:cNvSpPr/>
        </xdr:nvSpPr>
        <xdr:spPr>
          <a:xfrm flipH="1">
            <a:off x="10066203" y="10044463"/>
            <a:ext cx="1970786" cy="713034"/>
          </a:xfrm>
          <a:prstGeom prst="callout2">
            <a:avLst>
              <a:gd name="adj1" fmla="val 47221"/>
              <a:gd name="adj2" fmla="val 5051"/>
              <a:gd name="adj3" fmla="val 47515"/>
              <a:gd name="adj4" fmla="val 74347"/>
              <a:gd name="adj5" fmla="val -116460"/>
              <a:gd name="adj6" fmla="val 901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บังใบข้าง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7" name="Line Callout 2 (No Border) 56"/>
          <xdr:cNvSpPr/>
        </xdr:nvSpPr>
        <xdr:spPr>
          <a:xfrm flipH="1">
            <a:off x="5265684" y="8193583"/>
            <a:ext cx="1935712" cy="725039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Head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8" name="Line Callout 2 (No Border) 57"/>
          <xdr:cNvSpPr/>
        </xdr:nvSpPr>
        <xdr:spPr>
          <a:xfrm flipH="1">
            <a:off x="2565769" y="14307661"/>
            <a:ext cx="1886375" cy="713034"/>
          </a:xfrm>
          <a:prstGeom prst="callout2">
            <a:avLst>
              <a:gd name="adj1" fmla="val 49131"/>
              <a:gd name="adj2" fmla="val 26585"/>
              <a:gd name="adj3" fmla="val 49425"/>
              <a:gd name="adj4" fmla="val 95894"/>
              <a:gd name="adj5" fmla="val -56118"/>
              <a:gd name="adj6" fmla="val 139758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Door Stop Jamb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บังใบช้าง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59" name="Line Callout 2 (No Border) 58"/>
          <xdr:cNvSpPr/>
        </xdr:nvSpPr>
        <xdr:spPr>
          <a:xfrm flipH="1">
            <a:off x="3155173" y="18194853"/>
            <a:ext cx="1876552" cy="713034"/>
          </a:xfrm>
          <a:prstGeom prst="callout2">
            <a:avLst>
              <a:gd name="adj1" fmla="val 49131"/>
              <a:gd name="adj2" fmla="val 672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Frame seal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Bottom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แผ่นประเก็น (ล่าง)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0" name="Line Callout 2 (No Border) 59"/>
          <xdr:cNvSpPr/>
        </xdr:nvSpPr>
        <xdr:spPr>
          <a:xfrm flipH="1">
            <a:off x="403347" y="15646107"/>
            <a:ext cx="1485144" cy="713034"/>
          </a:xfrm>
          <a:prstGeom prst="callout2">
            <a:avLst>
              <a:gd name="adj1" fmla="val 48413"/>
              <a:gd name="adj2" fmla="val 95262"/>
              <a:gd name="adj3" fmla="val 48709"/>
              <a:gd name="adj4" fmla="val 36082"/>
              <a:gd name="adj5" fmla="val -66882"/>
              <a:gd name="adj6" fmla="val 4561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Jamb (L)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เฟรมข้าง(ซ้าย)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1" name="Line Callout 2 (No Border) 60"/>
          <xdr:cNvSpPr/>
        </xdr:nvSpPr>
        <xdr:spPr>
          <a:xfrm flipH="1">
            <a:off x="6851925" y="15902868"/>
            <a:ext cx="1963765" cy="725039"/>
          </a:xfrm>
          <a:prstGeom prst="callout2">
            <a:avLst>
              <a:gd name="adj1" fmla="val 49131"/>
              <a:gd name="adj2" fmla="val 79735"/>
              <a:gd name="adj3" fmla="val 49425"/>
              <a:gd name="adj4" fmla="val 95894"/>
              <a:gd name="adj5" fmla="val 14565"/>
              <a:gd name="adj6" fmla="val 10861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Sill</a:t>
            </a:r>
            <a:endParaRPr lang="en-GB" sz="1600">
              <a:effectLst/>
              <a:latin typeface="+mn-lt"/>
              <a:cs typeface="+mn-cs"/>
            </a:endParaRPr>
          </a:p>
          <a:p>
            <a:pPr algn="l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เฟรมล่าง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2" name="Line Callout 2 (No Border) 61"/>
          <xdr:cNvSpPr/>
        </xdr:nvSpPr>
        <xdr:spPr>
          <a:xfrm flipH="1">
            <a:off x="6586562" y="7006899"/>
            <a:ext cx="1947838" cy="710767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86113"/>
              <a:gd name="adj6" fmla="val -480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3" name="Line Callout 2 (No Border) 62"/>
          <xdr:cNvSpPr/>
        </xdr:nvSpPr>
        <xdr:spPr>
          <a:xfrm flipH="1">
            <a:off x="4155657" y="14242241"/>
            <a:ext cx="1924072" cy="698041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4" name="Line Callout 2 (No Border) 63"/>
          <xdr:cNvSpPr/>
        </xdr:nvSpPr>
        <xdr:spPr>
          <a:xfrm flipH="1">
            <a:off x="6420167" y="11021419"/>
            <a:ext cx="1170792" cy="712480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8450"/>
              <a:gd name="adj6" fmla="val 11505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5" name="Line Callout 2 (No Border) 64"/>
          <xdr:cNvSpPr/>
        </xdr:nvSpPr>
        <xdr:spPr>
          <a:xfrm flipH="1">
            <a:off x="6794077" y="12294010"/>
            <a:ext cx="1505629" cy="712480"/>
          </a:xfrm>
          <a:prstGeom prst="callout2">
            <a:avLst>
              <a:gd name="adj1" fmla="val 49132"/>
              <a:gd name="adj2" fmla="val 95975"/>
              <a:gd name="adj3" fmla="val 49425"/>
              <a:gd name="adj4" fmla="val 6351"/>
              <a:gd name="adj5" fmla="val -115403"/>
              <a:gd name="adj6" fmla="val -2288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66" name="Line Callout 2 (No Border) 65"/>
          <xdr:cNvSpPr/>
        </xdr:nvSpPr>
        <xdr:spPr>
          <a:xfrm flipH="1">
            <a:off x="6164222" y="12831393"/>
            <a:ext cx="1984107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-85889"/>
              <a:gd name="adj6" fmla="val -2509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67" name="Rectangle 66"/>
          <xdr:cNvSpPr>
            <a:spLocks/>
          </xdr:cNvSpPr>
        </xdr:nvSpPr>
        <xdr:spPr>
          <a:xfrm>
            <a:off x="8934415" y="8629607"/>
            <a:ext cx="784501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8" name="Rectangle 67"/>
          <xdr:cNvSpPr>
            <a:spLocks/>
          </xdr:cNvSpPr>
        </xdr:nvSpPr>
        <xdr:spPr>
          <a:xfrm>
            <a:off x="3886202" y="11253781"/>
            <a:ext cx="810364" cy="6383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9" name="Line Callout 2 (No Border) 68"/>
          <xdr:cNvSpPr/>
        </xdr:nvSpPr>
        <xdr:spPr>
          <a:xfrm flipH="1">
            <a:off x="5867572" y="7606577"/>
            <a:ext cx="1998075" cy="710769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7996"/>
              <a:gd name="adj6" fmla="val -126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0" name="Line Callout 2 (No Border) 69"/>
          <xdr:cNvSpPr/>
        </xdr:nvSpPr>
        <xdr:spPr>
          <a:xfrm flipH="1">
            <a:off x="4215947" y="8630701"/>
            <a:ext cx="2559843" cy="725206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386"/>
              <a:gd name="adj6" fmla="val -5126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1" name="Line Callout 2 (No Border) 70"/>
          <xdr:cNvSpPr/>
        </xdr:nvSpPr>
        <xdr:spPr>
          <a:xfrm flipH="1">
            <a:off x="9858825" y="10731313"/>
            <a:ext cx="1918530" cy="710767"/>
          </a:xfrm>
          <a:prstGeom prst="callout2">
            <a:avLst>
              <a:gd name="adj1" fmla="val 51047"/>
              <a:gd name="adj2" fmla="val 4780"/>
              <a:gd name="adj3" fmla="val 51341"/>
              <a:gd name="adj4" fmla="val 72774"/>
              <a:gd name="adj5" fmla="val 84560"/>
              <a:gd name="adj6" fmla="val 10531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2" name="Line Callout 2 (No Border) 71"/>
          <xdr:cNvSpPr/>
        </xdr:nvSpPr>
        <xdr:spPr>
          <a:xfrm flipH="1">
            <a:off x="3418527" y="9113174"/>
            <a:ext cx="1907725" cy="712480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80209"/>
              <a:gd name="adj6" fmla="val 160762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3" name="Line Callout 2 (No Border) 72"/>
          <xdr:cNvSpPr/>
        </xdr:nvSpPr>
        <xdr:spPr>
          <a:xfrm flipH="1">
            <a:off x="7888811" y="3349853"/>
            <a:ext cx="2579151" cy="708877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313841"/>
              <a:gd name="adj6" fmla="val -364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4" name="Rectangle 73"/>
          <xdr:cNvSpPr>
            <a:spLocks/>
          </xdr:cNvSpPr>
        </xdr:nvSpPr>
        <xdr:spPr>
          <a:xfrm>
            <a:off x="12235507" y="6302786"/>
            <a:ext cx="814436" cy="65275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439</xdr:row>
      <xdr:rowOff>0</xdr:rowOff>
    </xdr:from>
    <xdr:to>
      <xdr:col>9</xdr:col>
      <xdr:colOff>696127</xdr:colOff>
      <xdr:row>495</xdr:row>
      <xdr:rowOff>199047</xdr:rowOff>
    </xdr:to>
    <xdr:grpSp>
      <xdr:nvGrpSpPr>
        <xdr:cNvPr id="75" name="Group 74"/>
        <xdr:cNvGrpSpPr/>
      </xdr:nvGrpSpPr>
      <xdr:grpSpPr>
        <a:xfrm>
          <a:off x="0" y="91833700"/>
          <a:ext cx="13383427" cy="11540147"/>
          <a:chOff x="13607" y="89487375"/>
          <a:chExt cx="13314588" cy="11205473"/>
        </a:xfrm>
      </xdr:grpSpPr>
      <xdr:pic>
        <xdr:nvPicPr>
          <xdr:cNvPr id="76" name="Picture 75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831" t="32371" r="51497" b="37299"/>
          <a:stretch/>
        </xdr:blipFill>
        <xdr:spPr bwMode="auto">
          <a:xfrm>
            <a:off x="13607" y="90063008"/>
            <a:ext cx="13314588" cy="106298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7" name="Line Callout 2 (No Border) 76"/>
          <xdr:cNvSpPr/>
        </xdr:nvSpPr>
        <xdr:spPr>
          <a:xfrm flipH="1">
            <a:off x="1416496" y="93905741"/>
            <a:ext cx="1906759" cy="737739"/>
          </a:xfrm>
          <a:prstGeom prst="callout2">
            <a:avLst>
              <a:gd name="adj1" fmla="val 49131"/>
              <a:gd name="adj2" fmla="val 63381"/>
              <a:gd name="adj3" fmla="val 49425"/>
              <a:gd name="adj4" fmla="val 4969"/>
              <a:gd name="adj5" fmla="val 91864"/>
              <a:gd name="adj6" fmla="val -1112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(T)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ขวางบน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78" name="Line Callout 2 (No Border) 77"/>
          <xdr:cNvSpPr/>
        </xdr:nvSpPr>
        <xdr:spPr>
          <a:xfrm flipH="1">
            <a:off x="3181933" y="99549047"/>
            <a:ext cx="1900940" cy="641293"/>
          </a:xfrm>
          <a:prstGeom prst="callout2">
            <a:avLst>
              <a:gd name="adj1" fmla="val 49131"/>
              <a:gd name="adj2" fmla="val 35897"/>
              <a:gd name="adj3" fmla="val 49425"/>
              <a:gd name="adj4" fmla="val 95894"/>
              <a:gd name="adj5" fmla="val -10676"/>
              <a:gd name="adj6" fmla="val 111534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(Hor) (B)</a:t>
            </a:r>
            <a:endParaRPr lang="en-GB" sz="1600">
              <a:effectLst/>
              <a:latin typeface="+mn-lt"/>
              <a:cs typeface="+mn-cs"/>
            </a:endParaRPr>
          </a:p>
          <a:p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ขวางล่าง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79" name="Line Callout 2 (No Border) 78"/>
          <xdr:cNvSpPr/>
        </xdr:nvSpPr>
        <xdr:spPr>
          <a:xfrm flipH="1">
            <a:off x="5527305" y="98290645"/>
            <a:ext cx="1183065" cy="642673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6845"/>
              <a:gd name="adj6" fmla="val 11620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SASH (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Ve</a:t>
            </a: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เสา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0" name="Line Callout 2 (No Border) 79"/>
          <xdr:cNvSpPr/>
        </xdr:nvSpPr>
        <xdr:spPr>
          <a:xfrm flipH="1">
            <a:off x="5024817" y="98791840"/>
            <a:ext cx="1520392" cy="656282"/>
          </a:xfrm>
          <a:prstGeom prst="callout2">
            <a:avLst>
              <a:gd name="adj1" fmla="val 49132"/>
              <a:gd name="adj2" fmla="val 18968"/>
              <a:gd name="adj3" fmla="val 49425"/>
              <a:gd name="adj4" fmla="val 95894"/>
              <a:gd name="adj5" fmla="val -98540"/>
              <a:gd name="adj6" fmla="val 137517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ROLL IN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ยางอัดกระจก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1" name="Line Callout 2 (No Border) 80"/>
          <xdr:cNvSpPr/>
        </xdr:nvSpPr>
        <xdr:spPr>
          <a:xfrm flipH="1">
            <a:off x="5553469" y="92235859"/>
            <a:ext cx="2020313" cy="669488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55741"/>
              <a:gd name="adj6" fmla="val -2436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(Hor)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คิ้วตบกระจกแนวนอน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2" name="Rectangle 81"/>
          <xdr:cNvSpPr>
            <a:spLocks/>
          </xdr:cNvSpPr>
        </xdr:nvSpPr>
        <xdr:spPr>
          <a:xfrm>
            <a:off x="3153422" y="96257203"/>
            <a:ext cx="784561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3" name="Line Callout 2 (No Border) 82"/>
          <xdr:cNvSpPr/>
        </xdr:nvSpPr>
        <xdr:spPr>
          <a:xfrm flipH="1">
            <a:off x="4981363" y="92914376"/>
            <a:ext cx="1986283" cy="626760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38832"/>
              <a:gd name="adj6" fmla="val -17460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GLAZING BEAD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(Ver)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คิ้วตบกระจกแนวตั้ง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4" name="Line Callout 2 (No Border) 83"/>
          <xdr:cNvSpPr/>
        </xdr:nvSpPr>
        <xdr:spPr>
          <a:xfrm flipH="1">
            <a:off x="3031049" y="93417303"/>
            <a:ext cx="2533540" cy="710843"/>
          </a:xfrm>
          <a:prstGeom prst="callout2">
            <a:avLst>
              <a:gd name="adj1" fmla="val 49131"/>
              <a:gd name="adj2" fmla="val 93072"/>
              <a:gd name="adj3" fmla="val 49425"/>
              <a:gd name="adj4" fmla="val 4969"/>
              <a:gd name="adj5" fmla="val 120045"/>
              <a:gd name="adj6" fmla="val -943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Standard Hinge Handle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ชุดบานพับมีมือจับ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5" name="Line Callout 2 (No Border) 84"/>
          <xdr:cNvSpPr/>
        </xdr:nvSpPr>
        <xdr:spPr>
          <a:xfrm flipH="1">
            <a:off x="614116" y="94441737"/>
            <a:ext cx="1914550" cy="739518"/>
          </a:xfrm>
          <a:prstGeom prst="callout2">
            <a:avLst>
              <a:gd name="adj1" fmla="val 49131"/>
              <a:gd name="adj2" fmla="val 13842"/>
              <a:gd name="adj3" fmla="val 49425"/>
              <a:gd name="adj4" fmla="val 95894"/>
              <a:gd name="adj5" fmla="val 142153"/>
              <a:gd name="adj6" fmla="val 104419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Left Hand Pivot Set</a:t>
            </a:r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ชุดล้อแขวนบานเปิด</a:t>
            </a:r>
            <a:endParaRPr lang="en-GB" sz="1600">
              <a:effectLst/>
              <a:latin typeface="+mn-lt"/>
            </a:endParaRPr>
          </a:p>
        </xdr:txBody>
      </xdr:sp>
      <xdr:sp macro="" textlink="">
        <xdr:nvSpPr>
          <xdr:cNvPr id="86" name="Line Callout 2 (No Border) 85"/>
          <xdr:cNvSpPr/>
        </xdr:nvSpPr>
        <xdr:spPr>
          <a:xfrm flipH="1">
            <a:off x="5469373" y="97845570"/>
            <a:ext cx="1947610" cy="654503"/>
          </a:xfrm>
          <a:prstGeom prst="callout2">
            <a:avLst>
              <a:gd name="adj1" fmla="val 49131"/>
              <a:gd name="adj2" fmla="val 73983"/>
              <a:gd name="adj3" fmla="val 49425"/>
              <a:gd name="adj4" fmla="val 4969"/>
              <a:gd name="adj5" fmla="val 80592"/>
              <a:gd name="adj6" fmla="val -37271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CAPTIVE WEDGE</a:t>
            </a:r>
            <a:endParaRPr lang="th-TH" sz="16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ยางรองกระจก</a:t>
            </a:r>
            <a:endParaRPr lang="en-GB" sz="1600">
              <a:effectLst/>
              <a:cs typeface="+mn-cs"/>
            </a:endParaRPr>
          </a:p>
        </xdr:txBody>
      </xdr:sp>
      <xdr:sp macro="" textlink="">
        <xdr:nvSpPr>
          <xdr:cNvPr id="87" name="Rectangle 86"/>
          <xdr:cNvSpPr>
            <a:spLocks/>
          </xdr:cNvSpPr>
        </xdr:nvSpPr>
        <xdr:spPr>
          <a:xfrm>
            <a:off x="12145539" y="91084516"/>
            <a:ext cx="777753" cy="6625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8" name="Rectangle 87"/>
          <xdr:cNvSpPr>
            <a:spLocks/>
          </xdr:cNvSpPr>
        </xdr:nvSpPr>
        <xdr:spPr>
          <a:xfrm>
            <a:off x="8340391" y="93609627"/>
            <a:ext cx="811780" cy="6484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square" rtlCol="0" anchor="ctr">
            <a:noAutofit/>
          </a:bodyPr>
          <a:lstStyle/>
          <a:p>
            <a:pPr algn="ctr"/>
            <a:r>
              <a:rPr lang="en-US" sz="1600" baseline="0">
                <a:solidFill>
                  <a:sysClr val="windowText" lastClr="000000"/>
                </a:solidFill>
              </a:rPr>
              <a:t>Glass</a:t>
            </a:r>
            <a:endParaRPr lang="en-GB" sz="1600">
              <a:solidFill>
                <a:sysClr val="windowText" lastClr="000000"/>
              </a:solidFill>
            </a:endParaRPr>
          </a:p>
          <a:p>
            <a:pPr algn="ctr"/>
            <a:r>
              <a:rPr lang="th-TH" sz="1400">
                <a:solidFill>
                  <a:sysClr val="windowText" lastClr="000000"/>
                </a:solidFill>
              </a:rPr>
              <a:t>กระจก</a:t>
            </a:r>
            <a:endParaRPr lang="en-GB" sz="1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9" name="Line Callout 2 (No Border) 88"/>
          <xdr:cNvSpPr/>
        </xdr:nvSpPr>
        <xdr:spPr>
          <a:xfrm flipH="1">
            <a:off x="8361590" y="89487375"/>
            <a:ext cx="2578920" cy="681663"/>
          </a:xfrm>
          <a:prstGeom prst="callout2">
            <a:avLst>
              <a:gd name="adj1" fmla="val 49131"/>
              <a:gd name="adj2" fmla="val 80671"/>
              <a:gd name="adj3" fmla="val 49425"/>
              <a:gd name="adj4" fmla="val 4969"/>
              <a:gd name="adj5" fmla="val 129566"/>
              <a:gd name="adj6" fmla="val -5345"/>
            </a:avLst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Intermediate Carrier Set</a:t>
            </a:r>
          </a:p>
          <a:p>
            <a:pPr algn="r"/>
            <a:r>
              <a:rPr lang="th-TH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ชุดล้อแขวนบานกลาง</a:t>
            </a:r>
            <a:endParaRPr lang="en-GB" sz="1600">
              <a:effectLst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0</xdr:colOff>
      <xdr:row>426</xdr:row>
      <xdr:rowOff>158751</xdr:rowOff>
    </xdr:from>
    <xdr:to>
      <xdr:col>2</xdr:col>
      <xdr:colOff>2828636</xdr:colOff>
      <xdr:row>436</xdr:row>
      <xdr:rowOff>14435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1655" t="11488" r="1249" b="9372"/>
        <a:stretch/>
      </xdr:blipFill>
      <xdr:spPr>
        <a:xfrm>
          <a:off x="0" y="90458637"/>
          <a:ext cx="6003636" cy="17318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319</xdr:row>
      <xdr:rowOff>173182</xdr:rowOff>
    </xdr:from>
    <xdr:to>
      <xdr:col>1</xdr:col>
      <xdr:colOff>1731818</xdr:colOff>
      <xdr:row>329</xdr:row>
      <xdr:rowOff>39359</xdr:rowOff>
    </xdr:to>
    <xdr:pic>
      <xdr:nvPicPr>
        <xdr:cNvPr id="98" name="Picture 9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58" t="31978" r="48910" b="39786"/>
        <a:stretch/>
      </xdr:blipFill>
      <xdr:spPr bwMode="auto">
        <a:xfrm>
          <a:off x="0" y="68363523"/>
          <a:ext cx="2193636" cy="1742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291</xdr:row>
      <xdr:rowOff>190500</xdr:rowOff>
    </xdr:from>
    <xdr:to>
      <xdr:col>1</xdr:col>
      <xdr:colOff>2711358</xdr:colOff>
      <xdr:row>298</xdr:row>
      <xdr:rowOff>90728</xdr:rowOff>
    </xdr:to>
    <xdr:grpSp>
      <xdr:nvGrpSpPr>
        <xdr:cNvPr id="97" name="Group 96"/>
        <xdr:cNvGrpSpPr/>
      </xdr:nvGrpSpPr>
      <xdr:grpSpPr>
        <a:xfrm>
          <a:off x="0" y="61302900"/>
          <a:ext cx="3181258" cy="1322628"/>
          <a:chOff x="5" y="63408179"/>
          <a:chExt cx="3174001" cy="1328978"/>
        </a:xfrm>
      </xdr:grpSpPr>
      <xdr:pic>
        <xdr:nvPicPr>
          <xdr:cNvPr id="99" name="Picture 98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5" t="21884" r="64902" b="32418"/>
          <a:stretch/>
        </xdr:blipFill>
        <xdr:spPr bwMode="auto">
          <a:xfrm>
            <a:off x="5" y="63448966"/>
            <a:ext cx="474398" cy="7031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0" name="Rectangle 99"/>
          <xdr:cNvSpPr/>
        </xdr:nvSpPr>
        <xdr:spPr>
          <a:xfrm>
            <a:off x="5" y="64332255"/>
            <a:ext cx="617715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5-6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101" name="Rectangle 100"/>
          <xdr:cNvSpPr/>
        </xdr:nvSpPr>
        <xdr:spPr>
          <a:xfrm>
            <a:off x="1236476" y="64332259"/>
            <a:ext cx="649530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8-12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sp macro="" textlink="">
        <xdr:nvSpPr>
          <xdr:cNvPr id="102" name="Rectangle 101"/>
          <xdr:cNvSpPr/>
        </xdr:nvSpPr>
        <xdr:spPr>
          <a:xfrm>
            <a:off x="2547930" y="64332265"/>
            <a:ext cx="626076" cy="4048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ctr">
            <a:noAutofit/>
          </a:bodyPr>
          <a:lstStyle/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14-22 </a:t>
            </a:r>
          </a:p>
          <a:p>
            <a:pPr algn="ctr"/>
            <a:r>
              <a:rPr lang="en-GB" sz="1000">
                <a:solidFill>
                  <a:sysClr val="windowText" lastClr="00000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GLASS</a:t>
            </a:r>
          </a:p>
        </xdr:txBody>
      </xdr:sp>
      <xdr:pic>
        <xdr:nvPicPr>
          <xdr:cNvPr id="103" name="Picture 102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159" t="23242" r="48613" b="30854"/>
          <a:stretch/>
        </xdr:blipFill>
        <xdr:spPr bwMode="auto">
          <a:xfrm>
            <a:off x="1306284" y="63409286"/>
            <a:ext cx="544286" cy="749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4" name="Picture 103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160" t="26954" r="29374" b="46092"/>
          <a:stretch/>
        </xdr:blipFill>
        <xdr:spPr bwMode="auto">
          <a:xfrm>
            <a:off x="2571753" y="63408179"/>
            <a:ext cx="585107" cy="8039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280</xdr:row>
      <xdr:rowOff>190499</xdr:rowOff>
    </xdr:from>
    <xdr:to>
      <xdr:col>1</xdr:col>
      <xdr:colOff>1944275</xdr:colOff>
      <xdr:row>288</xdr:row>
      <xdr:rowOff>14611</xdr:rowOff>
    </xdr:to>
    <xdr:pic>
      <xdr:nvPicPr>
        <xdr:cNvPr id="90" name="Picture 8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8" t="21824" r="57165" b="48723"/>
        <a:stretch/>
      </xdr:blipFill>
      <xdr:spPr bwMode="auto">
        <a:xfrm>
          <a:off x="0" y="59885035"/>
          <a:ext cx="2406918" cy="1456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46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6.xml"/><Relationship Id="rId4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8.xml"/><Relationship Id="rId4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9.xml"/><Relationship Id="rId4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10.xml"/><Relationship Id="rId4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11.xml"/><Relationship Id="rId4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12.xml"/><Relationship Id="rId4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13.xml"/><Relationship Id="rId4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14.xml"/><Relationship Id="rId4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15.xml"/><Relationship Id="rId4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16.xml"/><Relationship Id="rId4" Type="http://schemas.openxmlformats.org/officeDocument/2006/relationships/vmlDrawing" Target="../drawings/vmlDrawing17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17.xml"/><Relationship Id="rId4" Type="http://schemas.openxmlformats.org/officeDocument/2006/relationships/vmlDrawing" Target="../drawings/vmlDrawing18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18.xml"/><Relationship Id="rId4" Type="http://schemas.openxmlformats.org/officeDocument/2006/relationships/vmlDrawing" Target="../drawings/vmlDrawing19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19.xml"/><Relationship Id="rId4" Type="http://schemas.openxmlformats.org/officeDocument/2006/relationships/vmlDrawing" Target="../drawings/vmlDrawing20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20.xml"/><Relationship Id="rId4" Type="http://schemas.openxmlformats.org/officeDocument/2006/relationships/vmlDrawing" Target="../drawings/vmlDrawing21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21.xml"/><Relationship Id="rId4" Type="http://schemas.openxmlformats.org/officeDocument/2006/relationships/vmlDrawing" Target="../drawings/vmlDrawing22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22.xml"/><Relationship Id="rId4" Type="http://schemas.openxmlformats.org/officeDocument/2006/relationships/vmlDrawing" Target="../drawings/vmlDrawing23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23.xml"/><Relationship Id="rId4" Type="http://schemas.openxmlformats.org/officeDocument/2006/relationships/vmlDrawing" Target="../drawings/vmlDrawing24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24.xml"/><Relationship Id="rId4" Type="http://schemas.openxmlformats.org/officeDocument/2006/relationships/vmlDrawing" Target="../drawings/vmlDrawing25.v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25.xml"/><Relationship Id="rId4" Type="http://schemas.openxmlformats.org/officeDocument/2006/relationships/vmlDrawing" Target="../drawings/vmlDrawing26.v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26.xml"/><Relationship Id="rId4" Type="http://schemas.openxmlformats.org/officeDocument/2006/relationships/vmlDrawing" Target="../drawings/vmlDrawing27.v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27.xml"/><Relationship Id="rId4" Type="http://schemas.openxmlformats.org/officeDocument/2006/relationships/vmlDrawing" Target="../drawings/vmlDrawing28.v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28.xml"/><Relationship Id="rId4" Type="http://schemas.openxmlformats.org/officeDocument/2006/relationships/vmlDrawing" Target="../drawings/vmlDrawing29.v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29.xml"/><Relationship Id="rId4" Type="http://schemas.openxmlformats.org/officeDocument/2006/relationships/vmlDrawing" Target="../drawings/vmlDrawing30.v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30.xml"/><Relationship Id="rId4" Type="http://schemas.openxmlformats.org/officeDocument/2006/relationships/vmlDrawing" Target="../drawings/vmlDrawing31.v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31.xml"/><Relationship Id="rId4" Type="http://schemas.openxmlformats.org/officeDocument/2006/relationships/vmlDrawing" Target="../drawings/vmlDrawing32.v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32.xml"/><Relationship Id="rId4" Type="http://schemas.openxmlformats.org/officeDocument/2006/relationships/vmlDrawing" Target="../drawings/vmlDrawing33.v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33.xml"/><Relationship Id="rId4" Type="http://schemas.openxmlformats.org/officeDocument/2006/relationships/vmlDrawing" Target="../drawings/vmlDrawing34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34.xml"/><Relationship Id="rId4" Type="http://schemas.openxmlformats.org/officeDocument/2006/relationships/vmlDrawing" Target="../drawings/vmlDrawing35.v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35.xml"/><Relationship Id="rId4" Type="http://schemas.openxmlformats.org/officeDocument/2006/relationships/vmlDrawing" Target="../drawings/vmlDrawing36.v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36.xml"/><Relationship Id="rId4" Type="http://schemas.openxmlformats.org/officeDocument/2006/relationships/vmlDrawing" Target="../drawings/vmlDrawing37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37.xml"/><Relationship Id="rId4" Type="http://schemas.openxmlformats.org/officeDocument/2006/relationships/vmlDrawing" Target="../drawings/vmlDrawing38.v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38.xml"/><Relationship Id="rId4" Type="http://schemas.openxmlformats.org/officeDocument/2006/relationships/vmlDrawing" Target="../drawings/vmlDrawing39.v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39.xml"/><Relationship Id="rId4" Type="http://schemas.openxmlformats.org/officeDocument/2006/relationships/vmlDrawing" Target="../drawings/vmlDrawing40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40.xml"/><Relationship Id="rId4" Type="http://schemas.openxmlformats.org/officeDocument/2006/relationships/vmlDrawing" Target="../drawings/vmlDrawing41.v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41.xml"/><Relationship Id="rId4" Type="http://schemas.openxmlformats.org/officeDocument/2006/relationships/vmlDrawing" Target="../drawings/vmlDrawing42.v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42.xml"/><Relationship Id="rId4" Type="http://schemas.openxmlformats.org/officeDocument/2006/relationships/vmlDrawing" Target="../drawings/vmlDrawing43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43.xml"/><Relationship Id="rId4" Type="http://schemas.openxmlformats.org/officeDocument/2006/relationships/vmlDrawing" Target="../drawings/vmlDrawing44.v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44.xml"/><Relationship Id="rId4" Type="http://schemas.openxmlformats.org/officeDocument/2006/relationships/vmlDrawing" Target="../drawings/vmlDrawing45.v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45.xml"/><Relationship Id="rId4" Type="http://schemas.openxmlformats.org/officeDocument/2006/relationships/vmlDrawing" Target="../drawings/vmlDrawing46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46.xml"/><Relationship Id="rId4" Type="http://schemas.openxmlformats.org/officeDocument/2006/relationships/vmlDrawing" Target="../drawings/vmlDrawing47.v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1" Type="http://schemas.openxmlformats.org/officeDocument/2006/relationships/externalLinkPath" Target="/Work/05_Quick%20start%20fabricators%20guide/Quick%20start%20fabricators%20guide_240_2018-01-30.xlsx" TargetMode="External"/><Relationship Id="rId5" Type="http://schemas.openxmlformats.org/officeDocument/2006/relationships/comments" Target="../comments47.xml"/><Relationship Id="rId4" Type="http://schemas.openxmlformats.org/officeDocument/2006/relationships/vmlDrawing" Target="../drawings/vmlDrawing4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50"/>
    <pageSetUpPr fitToPage="1"/>
  </sheetPr>
  <dimension ref="B2:B194"/>
  <sheetViews>
    <sheetView topLeftCell="A13" zoomScaleNormal="100" workbookViewId="0">
      <selection activeCell="A120" sqref="A120"/>
    </sheetView>
  </sheetViews>
  <sheetFormatPr defaultColWidth="9.109375" defaultRowHeight="14.4"/>
  <cols>
    <col min="1" max="16384" width="9.109375" style="226"/>
  </cols>
  <sheetData>
    <row r="2" spans="2:2" ht="36.6">
      <c r="B2" s="225" t="s">
        <v>159</v>
      </c>
    </row>
    <row r="5" spans="2:2" ht="17.399999999999999">
      <c r="B5" s="227" t="s">
        <v>160</v>
      </c>
    </row>
    <row r="17" spans="2:2" ht="17.399999999999999">
      <c r="B17" s="227" t="s">
        <v>161</v>
      </c>
    </row>
    <row r="29" spans="2:2" ht="17.399999999999999">
      <c r="B29" s="227" t="s">
        <v>162</v>
      </c>
    </row>
    <row r="50" spans="2:2" ht="17.399999999999999">
      <c r="B50" s="227" t="s">
        <v>171</v>
      </c>
    </row>
    <row r="71" spans="2:2" ht="17.399999999999999">
      <c r="B71" s="227" t="s">
        <v>172</v>
      </c>
    </row>
    <row r="93" spans="2:2" ht="17.399999999999999">
      <c r="B93" s="227" t="s">
        <v>173</v>
      </c>
    </row>
    <row r="114" spans="2:2" ht="17.399999999999999">
      <c r="B114" s="227" t="s">
        <v>174</v>
      </c>
    </row>
    <row r="125" spans="2:2" ht="17.399999999999999">
      <c r="B125" s="227" t="s">
        <v>175</v>
      </c>
    </row>
    <row r="148" spans="2:2" ht="17.399999999999999">
      <c r="B148" s="227" t="s">
        <v>176</v>
      </c>
    </row>
    <row r="159" spans="2:2" ht="17.399999999999999">
      <c r="B159" s="227" t="s">
        <v>177</v>
      </c>
    </row>
    <row r="171" spans="2:2" ht="17.399999999999999">
      <c r="B171" s="227" t="s">
        <v>178</v>
      </c>
    </row>
    <row r="183" spans="2:2" ht="17.399999999999999">
      <c r="B183" s="227" t="s">
        <v>179</v>
      </c>
    </row>
    <row r="194" spans="2:2" ht="17.399999999999999">
      <c r="B194" s="227" t="s">
        <v>180</v>
      </c>
    </row>
  </sheetData>
  <pageMargins left="0.70866141732283472" right="0.70866141732283472" top="0.74803149606299213" bottom="0.74803149606299213" header="0.31496062992125984" footer="0.31496062992125984"/>
  <pageSetup paperSize="9" scale="2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32"/>
  <sheetViews>
    <sheetView zoomScaleNormal="100" workbookViewId="0">
      <selection activeCell="J16" sqref="J16"/>
    </sheetView>
  </sheetViews>
  <sheetFormatPr defaultRowHeight="14.4"/>
  <cols>
    <col min="1" max="1" width="13" bestFit="1" customWidth="1"/>
    <col min="2" max="2" width="30.5546875" customWidth="1"/>
    <col min="3" max="3" width="28.44140625" customWidth="1"/>
    <col min="4" max="4" width="31.5546875" customWidth="1"/>
    <col min="5" max="5" width="29.109375" customWidth="1"/>
    <col min="6" max="6" width="18.44140625" style="399" customWidth="1"/>
  </cols>
  <sheetData>
    <row r="1" spans="1:10" ht="20.100000000000001" customHeight="1">
      <c r="A1" s="452" t="s">
        <v>526</v>
      </c>
      <c r="B1" s="452"/>
      <c r="C1" s="452"/>
      <c r="D1" s="452"/>
      <c r="E1" s="452"/>
      <c r="I1" s="400"/>
      <c r="J1" s="400"/>
    </row>
    <row r="2" spans="1:10" ht="20.100000000000001" customHeight="1">
      <c r="A2" s="452"/>
      <c r="B2" s="452"/>
      <c r="C2" s="452"/>
      <c r="D2" s="452"/>
      <c r="E2" s="452"/>
    </row>
    <row r="3" spans="1:10" ht="20.100000000000001" customHeight="1">
      <c r="A3" s="453" t="s">
        <v>527</v>
      </c>
      <c r="B3" s="453"/>
      <c r="C3" s="453"/>
      <c r="D3" s="453"/>
      <c r="E3" s="453"/>
    </row>
    <row r="4" spans="1:10" ht="20.100000000000001" customHeight="1">
      <c r="A4" s="401" t="s">
        <v>4</v>
      </c>
      <c r="B4" s="401" t="s">
        <v>528</v>
      </c>
      <c r="C4" s="401" t="s">
        <v>3</v>
      </c>
      <c r="D4" s="401" t="s">
        <v>529</v>
      </c>
      <c r="E4" s="401" t="s">
        <v>530</v>
      </c>
    </row>
    <row r="5" spans="1:10" ht="20.100000000000001" customHeight="1">
      <c r="A5" s="454" t="s">
        <v>531</v>
      </c>
      <c r="B5" s="457"/>
      <c r="C5" s="460" t="s">
        <v>532</v>
      </c>
      <c r="D5" s="463">
        <v>1.8</v>
      </c>
      <c r="E5" s="466">
        <v>1.603</v>
      </c>
    </row>
    <row r="6" spans="1:10" ht="20.100000000000001" customHeight="1">
      <c r="A6" s="455"/>
      <c r="B6" s="458"/>
      <c r="C6" s="461"/>
      <c r="D6" s="464"/>
      <c r="E6" s="467"/>
    </row>
    <row r="7" spans="1:10" ht="20.100000000000001" customHeight="1">
      <c r="A7" s="455"/>
      <c r="B7" s="458"/>
      <c r="C7" s="461"/>
      <c r="D7" s="464"/>
      <c r="E7" s="467"/>
    </row>
    <row r="8" spans="1:10" ht="20.100000000000001" customHeight="1">
      <c r="A8" s="456"/>
      <c r="B8" s="459"/>
      <c r="C8" s="462"/>
      <c r="D8" s="465"/>
      <c r="E8" s="468"/>
    </row>
    <row r="9" spans="1:10" ht="20.100000000000001" customHeight="1">
      <c r="A9" s="402"/>
      <c r="B9" s="403"/>
      <c r="C9" s="404"/>
      <c r="D9" s="404"/>
      <c r="E9" s="405"/>
    </row>
    <row r="10" spans="1:10" ht="20.100000000000001" customHeight="1">
      <c r="A10" s="454" t="s">
        <v>533</v>
      </c>
      <c r="B10" s="457"/>
      <c r="C10" s="460" t="s">
        <v>534</v>
      </c>
      <c r="D10" s="463">
        <v>1.4</v>
      </c>
      <c r="E10" s="466">
        <v>0.27800000000000002</v>
      </c>
    </row>
    <row r="11" spans="1:10" ht="20.100000000000001" customHeight="1">
      <c r="A11" s="455"/>
      <c r="B11" s="458"/>
      <c r="C11" s="461"/>
      <c r="D11" s="464"/>
      <c r="E11" s="467"/>
    </row>
    <row r="12" spans="1:10" ht="20.100000000000001" customHeight="1">
      <c r="A12" s="455"/>
      <c r="B12" s="458"/>
      <c r="C12" s="461"/>
      <c r="D12" s="464"/>
      <c r="E12" s="467"/>
    </row>
    <row r="13" spans="1:10" ht="20.100000000000001" customHeight="1">
      <c r="A13" s="456"/>
      <c r="B13" s="459"/>
      <c r="C13" s="462"/>
      <c r="D13" s="465"/>
      <c r="E13" s="468"/>
    </row>
    <row r="14" spans="1:10" ht="20.100000000000001" customHeight="1">
      <c r="A14" s="402"/>
      <c r="B14" s="403"/>
      <c r="C14" s="404"/>
      <c r="D14" s="404"/>
      <c r="E14" s="405"/>
    </row>
    <row r="15" spans="1:10" ht="20.100000000000001" customHeight="1">
      <c r="A15" s="454" t="s">
        <v>535</v>
      </c>
      <c r="B15" s="457"/>
      <c r="C15" s="460" t="s">
        <v>536</v>
      </c>
      <c r="D15" s="463">
        <v>1.2</v>
      </c>
      <c r="E15" s="466">
        <v>0.27100000000000002</v>
      </c>
    </row>
    <row r="16" spans="1:10" ht="20.100000000000001" customHeight="1">
      <c r="A16" s="455" t="s">
        <v>537</v>
      </c>
      <c r="B16" s="458"/>
      <c r="C16" s="461"/>
      <c r="D16" s="464">
        <v>1.5</v>
      </c>
      <c r="E16" s="467">
        <v>0.92500000000000004</v>
      </c>
    </row>
    <row r="17" spans="1:9" s="399" customFormat="1" ht="20.100000000000001" customHeight="1">
      <c r="A17" s="455" t="s">
        <v>538</v>
      </c>
      <c r="B17" s="458"/>
      <c r="C17" s="461"/>
      <c r="D17" s="464">
        <v>1.7</v>
      </c>
      <c r="E17" s="467">
        <v>1.1160000000000001</v>
      </c>
    </row>
    <row r="18" spans="1:9" s="399" customFormat="1" ht="20.100000000000001" customHeight="1">
      <c r="A18" s="456" t="s">
        <v>539</v>
      </c>
      <c r="B18" s="459"/>
      <c r="C18" s="462"/>
      <c r="D18" s="465">
        <v>2</v>
      </c>
      <c r="E18" s="468">
        <v>1.226</v>
      </c>
    </row>
    <row r="19" spans="1:9" s="399" customFormat="1" ht="20.100000000000001" customHeight="1">
      <c r="A19" s="402"/>
      <c r="B19" s="403"/>
      <c r="C19" s="404"/>
      <c r="D19" s="404"/>
      <c r="E19" s="405"/>
    </row>
    <row r="20" spans="1:9" s="399" customFormat="1" ht="20.100000000000001" customHeight="1">
      <c r="A20" s="454" t="s">
        <v>540</v>
      </c>
      <c r="B20" s="457"/>
      <c r="C20" s="460" t="s">
        <v>541</v>
      </c>
      <c r="D20" s="463">
        <v>1.4</v>
      </c>
      <c r="E20" s="466">
        <v>0.51600000000000001</v>
      </c>
    </row>
    <row r="21" spans="1:9" s="399" customFormat="1" ht="20.100000000000001" customHeight="1">
      <c r="A21" s="455" t="s">
        <v>537</v>
      </c>
      <c r="B21" s="458"/>
      <c r="C21" s="461"/>
      <c r="D21" s="464">
        <v>1.5</v>
      </c>
      <c r="E21" s="467">
        <v>0.92500000000000004</v>
      </c>
    </row>
    <row r="22" spans="1:9" s="399" customFormat="1" ht="20.100000000000001" customHeight="1">
      <c r="A22" s="455" t="s">
        <v>538</v>
      </c>
      <c r="B22" s="458"/>
      <c r="C22" s="461"/>
      <c r="D22" s="464">
        <v>1.7</v>
      </c>
      <c r="E22" s="467">
        <v>1.1160000000000001</v>
      </c>
    </row>
    <row r="23" spans="1:9" s="399" customFormat="1" ht="20.100000000000001" customHeight="1">
      <c r="A23" s="456" t="s">
        <v>539</v>
      </c>
      <c r="B23" s="459"/>
      <c r="C23" s="462"/>
      <c r="D23" s="465">
        <v>2</v>
      </c>
      <c r="E23" s="468">
        <v>1.226</v>
      </c>
    </row>
    <row r="24" spans="1:9" s="399" customFormat="1" ht="20.100000000000001" customHeight="1">
      <c r="A24" s="402"/>
      <c r="B24" s="403"/>
      <c r="C24" s="404"/>
      <c r="D24" s="404"/>
      <c r="E24" s="405"/>
    </row>
    <row r="25" spans="1:9" s="399" customFormat="1" ht="20.100000000000001" customHeight="1">
      <c r="A25" s="454" t="s">
        <v>542</v>
      </c>
      <c r="B25" s="457"/>
      <c r="C25" s="460" t="s">
        <v>543</v>
      </c>
      <c r="D25" s="463">
        <v>1.5</v>
      </c>
      <c r="E25" s="466">
        <v>0.89300000000000002</v>
      </c>
    </row>
    <row r="26" spans="1:9" s="399" customFormat="1" ht="20.100000000000001" customHeight="1">
      <c r="A26" s="455" t="s">
        <v>537</v>
      </c>
      <c r="B26" s="458"/>
      <c r="C26" s="461"/>
      <c r="D26" s="464">
        <v>1.5</v>
      </c>
      <c r="E26" s="467">
        <v>0.92500000000000004</v>
      </c>
    </row>
    <row r="27" spans="1:9" s="399" customFormat="1" ht="20.100000000000001" customHeight="1">
      <c r="A27" s="455" t="s">
        <v>538</v>
      </c>
      <c r="B27" s="458"/>
      <c r="C27" s="461"/>
      <c r="D27" s="464">
        <v>1.7</v>
      </c>
      <c r="E27" s="467">
        <v>1.1160000000000001</v>
      </c>
    </row>
    <row r="28" spans="1:9" s="399" customFormat="1" ht="20.100000000000001" customHeight="1">
      <c r="A28" s="456" t="s">
        <v>539</v>
      </c>
      <c r="B28" s="459"/>
      <c r="C28" s="462"/>
      <c r="D28" s="465">
        <v>2</v>
      </c>
      <c r="E28" s="468">
        <v>1.226</v>
      </c>
    </row>
    <row r="29" spans="1:9" s="399" customFormat="1" ht="20.100000000000001" customHeight="1">
      <c r="A29" s="402"/>
      <c r="B29" s="403"/>
      <c r="C29" s="404"/>
      <c r="D29" s="404"/>
      <c r="E29" s="405"/>
    </row>
    <row r="30" spans="1:9" s="399" customFormat="1" ht="20.100000000000001" customHeight="1">
      <c r="A30" s="454" t="s">
        <v>544</v>
      </c>
      <c r="B30" s="457"/>
      <c r="C30" s="460" t="s">
        <v>545</v>
      </c>
      <c r="D30" s="463">
        <v>1.2</v>
      </c>
      <c r="E30" s="466">
        <v>0.23499999999999999</v>
      </c>
    </row>
    <row r="31" spans="1:9" s="399" customFormat="1" ht="20.100000000000001" customHeight="1">
      <c r="A31" s="455" t="s">
        <v>537</v>
      </c>
      <c r="B31" s="458"/>
      <c r="C31" s="461"/>
      <c r="D31" s="464">
        <v>1.5</v>
      </c>
      <c r="E31" s="467">
        <v>0.92500000000000004</v>
      </c>
    </row>
    <row r="32" spans="1:9" s="399" customFormat="1" ht="20.100000000000001" customHeight="1">
      <c r="A32" s="455" t="s">
        <v>538</v>
      </c>
      <c r="B32" s="458"/>
      <c r="C32" s="461"/>
      <c r="D32" s="464">
        <v>1.7</v>
      </c>
      <c r="E32" s="467">
        <v>1.1160000000000001</v>
      </c>
      <c r="I32" s="399" t="s">
        <v>546</v>
      </c>
    </row>
    <row r="33" spans="1:5" s="399" customFormat="1" ht="20.100000000000001" customHeight="1">
      <c r="A33" s="456" t="s">
        <v>539</v>
      </c>
      <c r="B33" s="459"/>
      <c r="C33" s="462"/>
      <c r="D33" s="465">
        <v>2</v>
      </c>
      <c r="E33" s="468">
        <v>1.226</v>
      </c>
    </row>
    <row r="34" spans="1:5" s="399" customFormat="1" ht="20.100000000000001" customHeight="1">
      <c r="A34" s="402"/>
      <c r="B34" s="403"/>
      <c r="C34" s="404"/>
      <c r="D34" s="404"/>
      <c r="E34" s="405"/>
    </row>
    <row r="35" spans="1:5" s="399" customFormat="1" ht="20.100000000000001" customHeight="1">
      <c r="A35" s="454" t="s">
        <v>547</v>
      </c>
      <c r="B35" s="457"/>
      <c r="C35" s="460" t="s">
        <v>548</v>
      </c>
      <c r="D35" s="463">
        <v>1.5</v>
      </c>
      <c r="E35" s="466">
        <v>1.1060000000000001</v>
      </c>
    </row>
    <row r="36" spans="1:5" s="399" customFormat="1" ht="20.100000000000001" customHeight="1">
      <c r="A36" s="455" t="s">
        <v>537</v>
      </c>
      <c r="B36" s="458"/>
      <c r="C36" s="461"/>
      <c r="D36" s="464">
        <v>1.5</v>
      </c>
      <c r="E36" s="467">
        <v>0.92500000000000004</v>
      </c>
    </row>
    <row r="37" spans="1:5" s="399" customFormat="1" ht="20.100000000000001" customHeight="1">
      <c r="A37" s="455" t="s">
        <v>538</v>
      </c>
      <c r="B37" s="458"/>
      <c r="C37" s="461"/>
      <c r="D37" s="464">
        <v>1.7</v>
      </c>
      <c r="E37" s="467">
        <v>1.1160000000000001</v>
      </c>
    </row>
    <row r="38" spans="1:5" s="399" customFormat="1" ht="20.100000000000001" customHeight="1">
      <c r="A38" s="456" t="s">
        <v>539</v>
      </c>
      <c r="B38" s="459"/>
      <c r="C38" s="462"/>
      <c r="D38" s="465">
        <v>2</v>
      </c>
      <c r="E38" s="468">
        <v>1.226</v>
      </c>
    </row>
    <row r="39" spans="1:5" s="399" customFormat="1" ht="20.100000000000001" customHeight="1">
      <c r="A39" s="402"/>
      <c r="B39" s="403"/>
      <c r="C39" s="404"/>
      <c r="D39" s="404"/>
      <c r="E39" s="405"/>
    </row>
    <row r="40" spans="1:5" s="399" customFormat="1" ht="20.100000000000001" customHeight="1">
      <c r="A40" s="454" t="s">
        <v>549</v>
      </c>
      <c r="B40" s="457"/>
      <c r="C40" s="460" t="s">
        <v>550</v>
      </c>
      <c r="D40" s="463">
        <v>1.2</v>
      </c>
      <c r="E40" s="466">
        <v>0.23100000000000001</v>
      </c>
    </row>
    <row r="41" spans="1:5" s="399" customFormat="1" ht="20.100000000000001" customHeight="1">
      <c r="A41" s="455" t="s">
        <v>537</v>
      </c>
      <c r="B41" s="458"/>
      <c r="C41" s="461"/>
      <c r="D41" s="464">
        <v>1.5</v>
      </c>
      <c r="E41" s="467">
        <v>0.92500000000000004</v>
      </c>
    </row>
    <row r="42" spans="1:5" s="399" customFormat="1" ht="20.100000000000001" customHeight="1">
      <c r="A42" s="455" t="s">
        <v>538</v>
      </c>
      <c r="B42" s="458"/>
      <c r="C42" s="461"/>
      <c r="D42" s="464">
        <v>1.7</v>
      </c>
      <c r="E42" s="467">
        <v>1.1160000000000001</v>
      </c>
    </row>
    <row r="43" spans="1:5" s="399" customFormat="1" ht="20.100000000000001" customHeight="1">
      <c r="A43" s="456" t="s">
        <v>539</v>
      </c>
      <c r="B43" s="459"/>
      <c r="C43" s="462"/>
      <c r="D43" s="465">
        <v>2</v>
      </c>
      <c r="E43" s="468">
        <v>1.226</v>
      </c>
    </row>
    <row r="44" spans="1:5" s="399" customFormat="1" ht="20.100000000000001" customHeight="1">
      <c r="A44" s="402"/>
      <c r="B44" s="403"/>
      <c r="C44" s="404"/>
      <c r="D44" s="404"/>
      <c r="E44" s="405"/>
    </row>
    <row r="45" spans="1:5" s="399" customFormat="1" ht="20.100000000000001" customHeight="1">
      <c r="A45" s="454" t="s">
        <v>551</v>
      </c>
      <c r="B45" s="457"/>
      <c r="C45" s="460" t="s">
        <v>552</v>
      </c>
      <c r="D45" s="463">
        <v>1.2</v>
      </c>
      <c r="E45" s="466">
        <v>0.215</v>
      </c>
    </row>
    <row r="46" spans="1:5" s="399" customFormat="1" ht="20.100000000000001" customHeight="1">
      <c r="A46" s="455" t="s">
        <v>537</v>
      </c>
      <c r="B46" s="458"/>
      <c r="C46" s="461"/>
      <c r="D46" s="464">
        <v>1.5</v>
      </c>
      <c r="E46" s="467">
        <v>0.92500000000000004</v>
      </c>
    </row>
    <row r="47" spans="1:5" s="399" customFormat="1" ht="20.100000000000001" customHeight="1">
      <c r="A47" s="455" t="s">
        <v>538</v>
      </c>
      <c r="B47" s="458"/>
      <c r="C47" s="461"/>
      <c r="D47" s="464">
        <v>1.7</v>
      </c>
      <c r="E47" s="467">
        <v>1.1160000000000001</v>
      </c>
    </row>
    <row r="48" spans="1:5" s="399" customFormat="1" ht="20.100000000000001" customHeight="1">
      <c r="A48" s="456" t="s">
        <v>539</v>
      </c>
      <c r="B48" s="459"/>
      <c r="C48" s="462"/>
      <c r="D48" s="465">
        <v>2</v>
      </c>
      <c r="E48" s="468">
        <v>1.226</v>
      </c>
    </row>
    <row r="49" spans="1:5" s="399" customFormat="1" ht="20.100000000000001" customHeight="1">
      <c r="A49" s="402"/>
      <c r="B49" s="403"/>
      <c r="C49" s="404"/>
      <c r="D49" s="404"/>
      <c r="E49" s="405"/>
    </row>
    <row r="50" spans="1:5" s="399" customFormat="1" ht="20.100000000000001" customHeight="1">
      <c r="A50" s="454" t="s">
        <v>553</v>
      </c>
      <c r="B50" s="457"/>
      <c r="C50" s="460" t="s">
        <v>554</v>
      </c>
      <c r="D50" s="463">
        <v>1.5</v>
      </c>
      <c r="E50" s="466">
        <v>0.16900000000000001</v>
      </c>
    </row>
    <row r="51" spans="1:5" s="399" customFormat="1" ht="20.100000000000001" customHeight="1">
      <c r="A51" s="455" t="s">
        <v>537</v>
      </c>
      <c r="B51" s="458"/>
      <c r="C51" s="461"/>
      <c r="D51" s="464">
        <v>1.5</v>
      </c>
      <c r="E51" s="467">
        <v>0.92500000000000004</v>
      </c>
    </row>
    <row r="52" spans="1:5" s="399" customFormat="1" ht="20.100000000000001" customHeight="1">
      <c r="A52" s="455" t="s">
        <v>538</v>
      </c>
      <c r="B52" s="458"/>
      <c r="C52" s="461"/>
      <c r="D52" s="464">
        <v>1.7</v>
      </c>
      <c r="E52" s="467">
        <v>1.1160000000000001</v>
      </c>
    </row>
    <row r="53" spans="1:5" s="399" customFormat="1" ht="20.100000000000001" customHeight="1">
      <c r="A53" s="456" t="s">
        <v>539</v>
      </c>
      <c r="B53" s="459"/>
      <c r="C53" s="462"/>
      <c r="D53" s="465">
        <v>2</v>
      </c>
      <c r="E53" s="468">
        <v>1.226</v>
      </c>
    </row>
    <row r="54" spans="1:5" ht="20.100000000000001" customHeight="1">
      <c r="A54" s="402"/>
      <c r="B54" s="403"/>
      <c r="C54" s="404"/>
      <c r="D54" s="404"/>
      <c r="E54" s="405"/>
    </row>
    <row r="55" spans="1:5" ht="20.100000000000001" customHeight="1">
      <c r="A55" s="454" t="s">
        <v>555</v>
      </c>
      <c r="B55" s="457"/>
      <c r="C55" s="460" t="s">
        <v>556</v>
      </c>
      <c r="D55" s="463">
        <v>1.2</v>
      </c>
      <c r="E55" s="466">
        <v>0.22600000000000001</v>
      </c>
    </row>
    <row r="56" spans="1:5" ht="20.100000000000001" customHeight="1">
      <c r="A56" s="455" t="s">
        <v>537</v>
      </c>
      <c r="B56" s="458"/>
      <c r="C56" s="461"/>
      <c r="D56" s="464">
        <v>1.5</v>
      </c>
      <c r="E56" s="467">
        <v>0.92500000000000004</v>
      </c>
    </row>
    <row r="57" spans="1:5" ht="20.100000000000001" customHeight="1">
      <c r="A57" s="455" t="s">
        <v>538</v>
      </c>
      <c r="B57" s="458"/>
      <c r="C57" s="461"/>
      <c r="D57" s="464">
        <v>1.7</v>
      </c>
      <c r="E57" s="467">
        <v>1.1160000000000001</v>
      </c>
    </row>
    <row r="58" spans="1:5" ht="20.100000000000001" customHeight="1">
      <c r="A58" s="456" t="s">
        <v>539</v>
      </c>
      <c r="B58" s="459"/>
      <c r="C58" s="462"/>
      <c r="D58" s="465">
        <v>2</v>
      </c>
      <c r="E58" s="468">
        <v>1.226</v>
      </c>
    </row>
    <row r="59" spans="1:5" ht="20.100000000000001" customHeight="1">
      <c r="A59" s="402"/>
      <c r="B59" s="403"/>
      <c r="C59" s="404"/>
      <c r="D59" s="404"/>
      <c r="E59" s="405"/>
    </row>
    <row r="60" spans="1:5" ht="20.100000000000001" customHeight="1">
      <c r="A60" s="454" t="s">
        <v>557</v>
      </c>
      <c r="B60" s="457"/>
      <c r="C60" s="460" t="s">
        <v>558</v>
      </c>
      <c r="D60" s="463">
        <v>1.5</v>
      </c>
      <c r="E60" s="466">
        <v>0.24199999999999999</v>
      </c>
    </row>
    <row r="61" spans="1:5" ht="20.100000000000001" customHeight="1">
      <c r="A61" s="455" t="s">
        <v>537</v>
      </c>
      <c r="B61" s="458"/>
      <c r="C61" s="461"/>
      <c r="D61" s="464">
        <v>1.5</v>
      </c>
      <c r="E61" s="467">
        <v>0.92500000000000004</v>
      </c>
    </row>
    <row r="62" spans="1:5" ht="20.100000000000001" customHeight="1">
      <c r="A62" s="455" t="s">
        <v>538</v>
      </c>
      <c r="B62" s="458"/>
      <c r="C62" s="461"/>
      <c r="D62" s="464">
        <v>1.7</v>
      </c>
      <c r="E62" s="467">
        <v>1.1160000000000001</v>
      </c>
    </row>
    <row r="63" spans="1:5" ht="20.100000000000001" customHeight="1">
      <c r="A63" s="456" t="s">
        <v>539</v>
      </c>
      <c r="B63" s="459"/>
      <c r="C63" s="462"/>
      <c r="D63" s="465">
        <v>2</v>
      </c>
      <c r="E63" s="468">
        <v>1.226</v>
      </c>
    </row>
    <row r="64" spans="1:5" ht="20.100000000000001" customHeight="1">
      <c r="A64" s="402"/>
      <c r="B64" s="403"/>
      <c r="C64" s="404"/>
      <c r="D64" s="404"/>
      <c r="E64" s="405"/>
    </row>
    <row r="65" spans="1:11" ht="20.100000000000001" customHeight="1">
      <c r="A65" s="454" t="s">
        <v>559</v>
      </c>
      <c r="B65" s="457"/>
      <c r="C65" s="460" t="s">
        <v>560</v>
      </c>
      <c r="D65" s="463">
        <v>1.5</v>
      </c>
      <c r="E65" s="466">
        <v>0.93200000000000005</v>
      </c>
    </row>
    <row r="66" spans="1:11" ht="20.100000000000001" customHeight="1">
      <c r="A66" s="455" t="s">
        <v>537</v>
      </c>
      <c r="B66" s="458"/>
      <c r="C66" s="461"/>
      <c r="D66" s="464">
        <v>1.5</v>
      </c>
      <c r="E66" s="467">
        <v>0.92500000000000004</v>
      </c>
    </row>
    <row r="67" spans="1:11" ht="20.100000000000001" customHeight="1">
      <c r="A67" s="455" t="s">
        <v>538</v>
      </c>
      <c r="B67" s="458"/>
      <c r="C67" s="461"/>
      <c r="D67" s="464">
        <v>1.7</v>
      </c>
      <c r="E67" s="467">
        <v>1.1160000000000001</v>
      </c>
    </row>
    <row r="68" spans="1:11" ht="20.100000000000001" customHeight="1">
      <c r="A68" s="456" t="s">
        <v>539</v>
      </c>
      <c r="B68" s="459"/>
      <c r="C68" s="462"/>
      <c r="D68" s="465">
        <v>2</v>
      </c>
      <c r="E68" s="468">
        <v>1.226</v>
      </c>
    </row>
    <row r="69" spans="1:11" ht="20.100000000000001" customHeight="1">
      <c r="A69" s="406"/>
      <c r="B69" s="398"/>
      <c r="C69" s="407"/>
      <c r="D69" s="408"/>
      <c r="E69" s="409"/>
      <c r="I69" t="s">
        <v>546</v>
      </c>
      <c r="K69" s="3"/>
    </row>
    <row r="70" spans="1:11" ht="20.100000000000001" customHeight="1">
      <c r="A70" s="469" t="s">
        <v>561</v>
      </c>
      <c r="B70" s="470"/>
      <c r="C70" s="470"/>
      <c r="D70" s="470"/>
      <c r="E70" s="471"/>
    </row>
    <row r="71" spans="1:11" ht="20.100000000000001" customHeight="1">
      <c r="A71" s="401" t="s">
        <v>562</v>
      </c>
      <c r="B71" s="401" t="s">
        <v>528</v>
      </c>
      <c r="C71" s="401" t="s">
        <v>563</v>
      </c>
      <c r="D71" s="472" t="s">
        <v>3</v>
      </c>
      <c r="E71" s="473"/>
    </row>
    <row r="72" spans="1:11" ht="30" customHeight="1">
      <c r="A72" s="474" t="s">
        <v>564</v>
      </c>
      <c r="B72" s="476"/>
      <c r="C72" s="477" t="s">
        <v>565</v>
      </c>
      <c r="D72" s="480" t="s">
        <v>566</v>
      </c>
      <c r="E72" s="481"/>
      <c r="F72" s="410"/>
    </row>
    <row r="73" spans="1:11" ht="30" customHeight="1">
      <c r="A73" s="475"/>
      <c r="B73" s="476"/>
      <c r="C73" s="478"/>
      <c r="D73" s="482"/>
      <c r="E73" s="483"/>
    </row>
    <row r="74" spans="1:11" ht="30" customHeight="1">
      <c r="A74" s="474" t="s">
        <v>567</v>
      </c>
      <c r="B74" s="476"/>
      <c r="C74" s="478"/>
      <c r="D74" s="480" t="s">
        <v>568</v>
      </c>
      <c r="E74" s="481"/>
    </row>
    <row r="75" spans="1:11" ht="30" customHeight="1">
      <c r="A75" s="475" t="s">
        <v>569</v>
      </c>
      <c r="B75" s="476"/>
      <c r="C75" s="478"/>
      <c r="D75" s="482"/>
      <c r="E75" s="483"/>
    </row>
    <row r="76" spans="1:11" ht="30" customHeight="1">
      <c r="A76" s="474" t="s">
        <v>570</v>
      </c>
      <c r="B76" s="476"/>
      <c r="C76" s="478"/>
      <c r="D76" s="480" t="s">
        <v>571</v>
      </c>
      <c r="E76" s="481"/>
    </row>
    <row r="77" spans="1:11" ht="30" customHeight="1">
      <c r="A77" s="475" t="s">
        <v>572</v>
      </c>
      <c r="B77" s="476"/>
      <c r="C77" s="478"/>
      <c r="D77" s="482"/>
      <c r="E77" s="483"/>
      <c r="J77" t="s">
        <v>0</v>
      </c>
    </row>
    <row r="78" spans="1:11" ht="30" customHeight="1">
      <c r="A78" s="474" t="s">
        <v>573</v>
      </c>
      <c r="B78" s="476"/>
      <c r="C78" s="478"/>
      <c r="D78" s="480" t="s">
        <v>574</v>
      </c>
      <c r="E78" s="481"/>
    </row>
    <row r="79" spans="1:11" ht="30" customHeight="1">
      <c r="A79" s="475"/>
      <c r="B79" s="476"/>
      <c r="C79" s="478"/>
      <c r="D79" s="482"/>
      <c r="E79" s="483"/>
    </row>
    <row r="80" spans="1:11" ht="30" customHeight="1">
      <c r="A80" s="474" t="s">
        <v>575</v>
      </c>
      <c r="B80" s="476"/>
      <c r="C80" s="478"/>
      <c r="D80" s="480" t="s">
        <v>576</v>
      </c>
      <c r="E80" s="481"/>
    </row>
    <row r="81" spans="1:7" ht="30" customHeight="1">
      <c r="A81" s="475" t="s">
        <v>569</v>
      </c>
      <c r="B81" s="476"/>
      <c r="C81" s="478"/>
      <c r="D81" s="482"/>
      <c r="E81" s="483"/>
      <c r="G81" t="s">
        <v>0</v>
      </c>
    </row>
    <row r="82" spans="1:7" ht="30" customHeight="1">
      <c r="A82" s="474" t="s">
        <v>577</v>
      </c>
      <c r="B82" s="476"/>
      <c r="C82" s="478"/>
      <c r="D82" s="480" t="s">
        <v>578</v>
      </c>
      <c r="E82" s="481"/>
    </row>
    <row r="83" spans="1:7" ht="30" customHeight="1">
      <c r="A83" s="475" t="s">
        <v>572</v>
      </c>
      <c r="B83" s="476"/>
      <c r="C83" s="479"/>
      <c r="D83" s="482"/>
      <c r="E83" s="483"/>
    </row>
    <row r="84" spans="1:7" ht="20.100000000000001" customHeight="1">
      <c r="A84" s="411"/>
      <c r="B84" s="412"/>
      <c r="C84" s="413"/>
      <c r="D84" s="412"/>
      <c r="E84" s="414"/>
    </row>
    <row r="85" spans="1:7" ht="20.100000000000001" customHeight="1">
      <c r="A85" s="415" t="s">
        <v>126</v>
      </c>
      <c r="B85" s="476"/>
      <c r="C85" s="484" t="s">
        <v>579</v>
      </c>
      <c r="D85" s="485" t="s">
        <v>580</v>
      </c>
      <c r="E85" s="486"/>
    </row>
    <row r="86" spans="1:7" ht="20.100000000000001" customHeight="1">
      <c r="A86" s="415" t="s">
        <v>581</v>
      </c>
      <c r="B86" s="476"/>
      <c r="C86" s="484"/>
      <c r="D86" s="485" t="s">
        <v>582</v>
      </c>
      <c r="E86" s="486"/>
    </row>
    <row r="87" spans="1:7" ht="20.100000000000001" customHeight="1">
      <c r="A87" s="415" t="s">
        <v>521</v>
      </c>
      <c r="B87" s="476"/>
      <c r="C87" s="484"/>
      <c r="D87" s="485" t="s">
        <v>583</v>
      </c>
      <c r="E87" s="486"/>
    </row>
    <row r="88" spans="1:7" ht="20.100000000000001" customHeight="1">
      <c r="A88" s="403"/>
      <c r="B88" s="403"/>
      <c r="C88" s="416"/>
      <c r="D88" s="403"/>
      <c r="E88" s="414"/>
    </row>
    <row r="89" spans="1:7" ht="60" customHeight="1">
      <c r="A89" s="415" t="s">
        <v>75</v>
      </c>
      <c r="B89" s="417"/>
      <c r="C89" s="477" t="s">
        <v>584</v>
      </c>
      <c r="D89" s="496" t="s">
        <v>585</v>
      </c>
      <c r="E89" s="497"/>
    </row>
    <row r="90" spans="1:7" ht="60" customHeight="1">
      <c r="A90" s="415" t="s">
        <v>76</v>
      </c>
      <c r="B90" s="417"/>
      <c r="C90" s="479"/>
      <c r="D90" s="496" t="s">
        <v>586</v>
      </c>
      <c r="E90" s="497"/>
    </row>
    <row r="91" spans="1:7" ht="20.100000000000001" customHeight="1">
      <c r="A91" s="403"/>
      <c r="B91" s="403"/>
      <c r="C91" s="416"/>
      <c r="D91" s="403"/>
      <c r="E91" s="418"/>
    </row>
    <row r="92" spans="1:7" ht="50.1" customHeight="1">
      <c r="A92" s="415" t="s">
        <v>69</v>
      </c>
      <c r="B92" s="417"/>
      <c r="C92" s="477" t="s">
        <v>587</v>
      </c>
      <c r="D92" s="487" t="s">
        <v>588</v>
      </c>
      <c r="E92" s="488"/>
      <c r="F92" s="419"/>
    </row>
    <row r="93" spans="1:7" ht="50.1" customHeight="1">
      <c r="A93" s="415" t="s">
        <v>190</v>
      </c>
      <c r="B93" s="417"/>
      <c r="C93" s="478"/>
      <c r="D93" s="496" t="s">
        <v>589</v>
      </c>
      <c r="E93" s="497"/>
    </row>
    <row r="94" spans="1:7" ht="50.1" customHeight="1">
      <c r="A94" s="415" t="s">
        <v>72</v>
      </c>
      <c r="B94" s="420"/>
      <c r="C94" s="478"/>
      <c r="D94" s="487" t="s">
        <v>590</v>
      </c>
      <c r="E94" s="488"/>
    </row>
    <row r="95" spans="1:7" ht="50.1" customHeight="1">
      <c r="A95" s="415" t="s">
        <v>188</v>
      </c>
      <c r="B95" s="417"/>
      <c r="C95" s="478"/>
      <c r="D95" s="487" t="s">
        <v>591</v>
      </c>
      <c r="E95" s="488"/>
    </row>
    <row r="96" spans="1:7" ht="50.1" customHeight="1">
      <c r="A96" s="415" t="s">
        <v>70</v>
      </c>
      <c r="B96" s="417"/>
      <c r="C96" s="478"/>
      <c r="D96" s="487" t="s">
        <v>592</v>
      </c>
      <c r="E96" s="488"/>
    </row>
    <row r="97" spans="1:6" ht="50.1" customHeight="1">
      <c r="A97" s="415" t="s">
        <v>189</v>
      </c>
      <c r="B97" s="417"/>
      <c r="C97" s="478"/>
      <c r="D97" s="487" t="s">
        <v>593</v>
      </c>
      <c r="E97" s="488"/>
    </row>
    <row r="98" spans="1:6" ht="50.1" customHeight="1">
      <c r="A98" s="415" t="s">
        <v>233</v>
      </c>
      <c r="B98" s="420"/>
      <c r="C98" s="479"/>
      <c r="D98" s="487" t="s">
        <v>594</v>
      </c>
      <c r="E98" s="488"/>
    </row>
    <row r="99" spans="1:6" ht="20.100000000000001" customHeight="1">
      <c r="A99" s="403"/>
      <c r="B99" s="403"/>
      <c r="C99" s="416"/>
      <c r="D99" s="403"/>
      <c r="E99" s="418"/>
    </row>
    <row r="100" spans="1:6" ht="15" customHeight="1">
      <c r="A100" s="474" t="s">
        <v>595</v>
      </c>
      <c r="B100" s="457"/>
      <c r="C100" s="477" t="s">
        <v>596</v>
      </c>
      <c r="D100" s="490" t="s">
        <v>597</v>
      </c>
      <c r="E100" s="491"/>
    </row>
    <row r="101" spans="1:6" ht="15" customHeight="1">
      <c r="A101" s="489"/>
      <c r="B101" s="458"/>
      <c r="C101" s="478"/>
      <c r="D101" s="492"/>
      <c r="E101" s="493"/>
    </row>
    <row r="102" spans="1:6" ht="15" customHeight="1">
      <c r="A102" s="489"/>
      <c r="B102" s="458"/>
      <c r="C102" s="478"/>
      <c r="D102" s="492"/>
      <c r="E102" s="493"/>
    </row>
    <row r="103" spans="1:6" ht="15" customHeight="1">
      <c r="A103" s="489"/>
      <c r="B103" s="458"/>
      <c r="C103" s="478"/>
      <c r="D103" s="492"/>
      <c r="E103" s="493"/>
    </row>
    <row r="104" spans="1:6" ht="15" customHeight="1">
      <c r="A104" s="489"/>
      <c r="B104" s="458"/>
      <c r="C104" s="478"/>
      <c r="D104" s="492"/>
      <c r="E104" s="493"/>
    </row>
    <row r="105" spans="1:6" ht="15" customHeight="1">
      <c r="A105" s="475"/>
      <c r="B105" s="458"/>
      <c r="C105" s="478"/>
      <c r="D105" s="494"/>
      <c r="E105" s="495"/>
      <c r="F105" s="419"/>
    </row>
    <row r="106" spans="1:6" ht="15" customHeight="1">
      <c r="A106" s="474" t="s">
        <v>598</v>
      </c>
      <c r="B106" s="457"/>
      <c r="C106" s="478"/>
      <c r="D106" s="490" t="s">
        <v>599</v>
      </c>
      <c r="E106" s="491"/>
    </row>
    <row r="107" spans="1:6" ht="15" customHeight="1">
      <c r="A107" s="489"/>
      <c r="B107" s="458"/>
      <c r="C107" s="478"/>
      <c r="D107" s="492"/>
      <c r="E107" s="493"/>
    </row>
    <row r="108" spans="1:6" ht="15" customHeight="1">
      <c r="A108" s="489"/>
      <c r="B108" s="458"/>
      <c r="C108" s="478"/>
      <c r="D108" s="492"/>
      <c r="E108" s="493"/>
    </row>
    <row r="109" spans="1:6" ht="15" customHeight="1">
      <c r="A109" s="489"/>
      <c r="B109" s="458"/>
      <c r="C109" s="478"/>
      <c r="D109" s="492"/>
      <c r="E109" s="493"/>
    </row>
    <row r="110" spans="1:6" ht="15" customHeight="1">
      <c r="A110" s="489"/>
      <c r="B110" s="458"/>
      <c r="C110" s="478"/>
      <c r="D110" s="492"/>
      <c r="E110" s="493"/>
      <c r="F110" s="421"/>
    </row>
    <row r="111" spans="1:6" ht="15" customHeight="1">
      <c r="A111" s="475"/>
      <c r="B111" s="459"/>
      <c r="C111" s="479"/>
      <c r="D111" s="494"/>
      <c r="E111" s="495"/>
      <c r="F111" s="421"/>
    </row>
    <row r="112" spans="1:6" ht="20.100000000000001" customHeight="1">
      <c r="A112" s="403"/>
      <c r="B112" s="403"/>
      <c r="C112" s="416"/>
      <c r="D112" s="403"/>
      <c r="E112" s="418"/>
    </row>
    <row r="113" spans="1:6" ht="60" customHeight="1">
      <c r="A113" s="415" t="s">
        <v>600</v>
      </c>
      <c r="B113" s="422"/>
      <c r="C113" s="477" t="s">
        <v>601</v>
      </c>
      <c r="D113" s="496" t="s">
        <v>602</v>
      </c>
      <c r="E113" s="497"/>
    </row>
    <row r="114" spans="1:6" ht="60" customHeight="1">
      <c r="A114" s="415" t="s">
        <v>603</v>
      </c>
      <c r="B114" s="422"/>
      <c r="C114" s="478"/>
      <c r="D114" s="496" t="s">
        <v>604</v>
      </c>
      <c r="E114" s="497"/>
    </row>
    <row r="115" spans="1:6" ht="60" customHeight="1">
      <c r="A115" s="415" t="s">
        <v>605</v>
      </c>
      <c r="B115" s="422"/>
      <c r="C115" s="478"/>
      <c r="D115" s="496" t="s">
        <v>606</v>
      </c>
      <c r="E115" s="497"/>
    </row>
    <row r="116" spans="1:6" ht="60" customHeight="1">
      <c r="A116" s="415" t="s">
        <v>82</v>
      </c>
      <c r="B116" s="422"/>
      <c r="C116" s="478"/>
      <c r="D116" s="487" t="s">
        <v>607</v>
      </c>
      <c r="E116" s="488"/>
    </row>
    <row r="117" spans="1:6" ht="60" customHeight="1">
      <c r="A117" s="415" t="s">
        <v>103</v>
      </c>
      <c r="B117" s="422"/>
      <c r="C117" s="478"/>
      <c r="D117" s="487" t="s">
        <v>608</v>
      </c>
      <c r="E117" s="488"/>
    </row>
    <row r="118" spans="1:6" ht="60" customHeight="1">
      <c r="A118" s="415" t="s">
        <v>80</v>
      </c>
      <c r="B118" s="422"/>
      <c r="C118" s="478"/>
      <c r="D118" s="496" t="s">
        <v>609</v>
      </c>
      <c r="E118" s="497"/>
    </row>
    <row r="119" spans="1:6" ht="60" customHeight="1">
      <c r="A119" s="415" t="s">
        <v>96</v>
      </c>
      <c r="B119" s="422"/>
      <c r="C119" s="478"/>
      <c r="D119" s="496" t="s">
        <v>610</v>
      </c>
      <c r="E119" s="497"/>
    </row>
    <row r="120" spans="1:6" ht="60" customHeight="1">
      <c r="A120" s="415" t="s">
        <v>97</v>
      </c>
      <c r="B120" s="422"/>
      <c r="C120" s="478"/>
      <c r="D120" s="496" t="s">
        <v>611</v>
      </c>
      <c r="E120" s="497"/>
    </row>
    <row r="121" spans="1:6" ht="60" customHeight="1">
      <c r="A121" s="415" t="s">
        <v>81</v>
      </c>
      <c r="B121" s="422"/>
      <c r="C121" s="478"/>
      <c r="D121" s="496" t="s">
        <v>612</v>
      </c>
      <c r="E121" s="497"/>
    </row>
    <row r="122" spans="1:6" ht="60" customHeight="1">
      <c r="A122" s="415" t="s">
        <v>129</v>
      </c>
      <c r="B122" s="422"/>
      <c r="C122" s="478"/>
      <c r="D122" s="496" t="s">
        <v>613</v>
      </c>
      <c r="E122" s="497"/>
    </row>
    <row r="123" spans="1:6" ht="60" customHeight="1">
      <c r="A123" s="415" t="s">
        <v>102</v>
      </c>
      <c r="B123" s="422"/>
      <c r="C123" s="478"/>
      <c r="D123" s="496" t="s">
        <v>614</v>
      </c>
      <c r="E123" s="497"/>
    </row>
    <row r="124" spans="1:6" ht="60" customHeight="1">
      <c r="A124" s="415" t="s">
        <v>165</v>
      </c>
      <c r="B124" s="422"/>
      <c r="C124" s="478"/>
      <c r="D124" s="496" t="s">
        <v>615</v>
      </c>
      <c r="E124" s="497"/>
    </row>
    <row r="125" spans="1:6" ht="60" customHeight="1">
      <c r="A125" s="415" t="s">
        <v>156</v>
      </c>
      <c r="B125" s="422"/>
      <c r="C125" s="478"/>
      <c r="D125" s="496" t="s">
        <v>616</v>
      </c>
      <c r="E125" s="497"/>
    </row>
    <row r="126" spans="1:6" ht="60" customHeight="1">
      <c r="A126" s="415" t="s">
        <v>83</v>
      </c>
      <c r="B126" s="422"/>
      <c r="C126" s="479"/>
      <c r="D126" s="496" t="s">
        <v>617</v>
      </c>
      <c r="E126" s="497"/>
    </row>
    <row r="127" spans="1:6" ht="20.100000000000001" customHeight="1">
      <c r="A127" s="411"/>
      <c r="B127" s="412"/>
      <c r="C127" s="413"/>
      <c r="D127" s="412"/>
      <c r="E127" s="414"/>
    </row>
    <row r="128" spans="1:6" ht="60" customHeight="1">
      <c r="A128" s="415" t="s">
        <v>74</v>
      </c>
      <c r="B128" s="417"/>
      <c r="C128" s="498" t="s">
        <v>618</v>
      </c>
      <c r="D128" s="496" t="s">
        <v>619</v>
      </c>
      <c r="E128" s="497"/>
      <c r="F128" s="419"/>
    </row>
    <row r="129" spans="1:5" ht="60" customHeight="1">
      <c r="A129" s="415" t="s">
        <v>620</v>
      </c>
      <c r="B129" s="420"/>
      <c r="C129" s="498"/>
      <c r="D129" s="499" t="s">
        <v>621</v>
      </c>
      <c r="E129" s="499"/>
    </row>
    <row r="130" spans="1:5" ht="60" customHeight="1">
      <c r="A130" s="415" t="s">
        <v>84</v>
      </c>
      <c r="B130" s="417"/>
      <c r="C130" s="498"/>
      <c r="D130" s="487" t="s">
        <v>622</v>
      </c>
      <c r="E130" s="488"/>
    </row>
    <row r="131" spans="1:5" ht="60" customHeight="1">
      <c r="A131" s="415" t="s">
        <v>520</v>
      </c>
      <c r="B131" s="417"/>
      <c r="C131" s="498"/>
      <c r="D131" s="499" t="s">
        <v>623</v>
      </c>
      <c r="E131" s="499"/>
    </row>
    <row r="132" spans="1:5" ht="60" customHeight="1">
      <c r="A132" s="415" t="s">
        <v>73</v>
      </c>
      <c r="B132" s="417"/>
      <c r="C132" s="498"/>
      <c r="D132" s="496" t="s">
        <v>624</v>
      </c>
      <c r="E132" s="497"/>
    </row>
  </sheetData>
  <mergeCells count="132">
    <mergeCell ref="C128:C132"/>
    <mergeCell ref="D128:E128"/>
    <mergeCell ref="D129:E129"/>
    <mergeCell ref="D130:E130"/>
    <mergeCell ref="D131:E131"/>
    <mergeCell ref="D132:E132"/>
    <mergeCell ref="D122:E122"/>
    <mergeCell ref="D123:E123"/>
    <mergeCell ref="D124:E124"/>
    <mergeCell ref="D125:E125"/>
    <mergeCell ref="D126:E126"/>
    <mergeCell ref="C113:C126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98:E98"/>
    <mergeCell ref="A100:A105"/>
    <mergeCell ref="B100:B105"/>
    <mergeCell ref="C100:C111"/>
    <mergeCell ref="D100:E105"/>
    <mergeCell ref="A106:A111"/>
    <mergeCell ref="B106:B111"/>
    <mergeCell ref="D106:E111"/>
    <mergeCell ref="C89:C90"/>
    <mergeCell ref="D89:E89"/>
    <mergeCell ref="D90:E90"/>
    <mergeCell ref="C92:C98"/>
    <mergeCell ref="D92:E92"/>
    <mergeCell ref="D93:E93"/>
    <mergeCell ref="D94:E94"/>
    <mergeCell ref="D95:E95"/>
    <mergeCell ref="D96:E96"/>
    <mergeCell ref="D97:E97"/>
    <mergeCell ref="B85:B87"/>
    <mergeCell ref="C85:C87"/>
    <mergeCell ref="D85:E85"/>
    <mergeCell ref="D86:E86"/>
    <mergeCell ref="D87:E87"/>
    <mergeCell ref="B76:B77"/>
    <mergeCell ref="D76:E77"/>
    <mergeCell ref="A78:A79"/>
    <mergeCell ref="B78:B79"/>
    <mergeCell ref="D78:E79"/>
    <mergeCell ref="A80:A81"/>
    <mergeCell ref="B80:B81"/>
    <mergeCell ref="D80:E81"/>
    <mergeCell ref="A65:A68"/>
    <mergeCell ref="B65:B68"/>
    <mergeCell ref="C65:C68"/>
    <mergeCell ref="D65:D68"/>
    <mergeCell ref="E65:E68"/>
    <mergeCell ref="A70:E70"/>
    <mergeCell ref="D71:E71"/>
    <mergeCell ref="A72:A73"/>
    <mergeCell ref="B72:B73"/>
    <mergeCell ref="C72:C83"/>
    <mergeCell ref="D72:E73"/>
    <mergeCell ref="A74:A75"/>
    <mergeCell ref="B74:B75"/>
    <mergeCell ref="D74:E75"/>
    <mergeCell ref="A76:A77"/>
    <mergeCell ref="A82:A83"/>
    <mergeCell ref="B82:B83"/>
    <mergeCell ref="D82:E83"/>
    <mergeCell ref="A55:A58"/>
    <mergeCell ref="B55:B58"/>
    <mergeCell ref="C55:C58"/>
    <mergeCell ref="D55:D58"/>
    <mergeCell ref="E55:E58"/>
    <mergeCell ref="A60:A63"/>
    <mergeCell ref="B60:B63"/>
    <mergeCell ref="C60:C63"/>
    <mergeCell ref="D60:D63"/>
    <mergeCell ref="E60:E63"/>
    <mergeCell ref="A45:A48"/>
    <mergeCell ref="B45:B48"/>
    <mergeCell ref="C45:C48"/>
    <mergeCell ref="D45:D48"/>
    <mergeCell ref="E45:E48"/>
    <mergeCell ref="A50:A53"/>
    <mergeCell ref="B50:B53"/>
    <mergeCell ref="C50:C53"/>
    <mergeCell ref="D50:D53"/>
    <mergeCell ref="E50:E53"/>
    <mergeCell ref="A35:A38"/>
    <mergeCell ref="B35:B38"/>
    <mergeCell ref="C35:C38"/>
    <mergeCell ref="D35:D38"/>
    <mergeCell ref="E35:E38"/>
    <mergeCell ref="A40:A43"/>
    <mergeCell ref="B40:B43"/>
    <mergeCell ref="C40:C43"/>
    <mergeCell ref="D40:D43"/>
    <mergeCell ref="E40:E43"/>
    <mergeCell ref="A25:A28"/>
    <mergeCell ref="B25:B28"/>
    <mergeCell ref="C25:C28"/>
    <mergeCell ref="D25:D28"/>
    <mergeCell ref="E25:E28"/>
    <mergeCell ref="A30:A33"/>
    <mergeCell ref="B30:B33"/>
    <mergeCell ref="C30:C33"/>
    <mergeCell ref="D30:D33"/>
    <mergeCell ref="E30:E33"/>
    <mergeCell ref="A15:A18"/>
    <mergeCell ref="B15:B18"/>
    <mergeCell ref="C15:C18"/>
    <mergeCell ref="D15:D18"/>
    <mergeCell ref="E15:E18"/>
    <mergeCell ref="A20:A23"/>
    <mergeCell ref="B20:B23"/>
    <mergeCell ref="C20:C23"/>
    <mergeCell ref="D20:D23"/>
    <mergeCell ref="E20:E23"/>
    <mergeCell ref="A1:E2"/>
    <mergeCell ref="A3:E3"/>
    <mergeCell ref="A5:A8"/>
    <mergeCell ref="B5:B8"/>
    <mergeCell ref="C5:C8"/>
    <mergeCell ref="D5:D8"/>
    <mergeCell ref="E5:E8"/>
    <mergeCell ref="A10:A13"/>
    <mergeCell ref="B10:B13"/>
    <mergeCell ref="C10:C13"/>
    <mergeCell ref="D10:D13"/>
    <mergeCell ref="E10:E13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CorelDraw.Graphic.17" shapeId="116737" r:id="rId4">
          <objectPr defaultSize="0" autoPict="0" r:id="rId5">
            <anchor moveWithCells="1" sizeWithCells="1">
              <from>
                <xdr:col>1</xdr:col>
                <xdr:colOff>640080</xdr:colOff>
                <xdr:row>131</xdr:row>
                <xdr:rowOff>22860</xdr:rowOff>
              </from>
              <to>
                <xdr:col>1</xdr:col>
                <xdr:colOff>1546860</xdr:colOff>
                <xdr:row>131</xdr:row>
                <xdr:rowOff>754380</xdr:rowOff>
              </to>
            </anchor>
          </objectPr>
        </oleObject>
      </mc:Choice>
      <mc:Fallback>
        <oleObject progId="CorelDraw.Graphic.17" shapeId="116737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theme="5" tint="-0.249977111117893"/>
  </sheetPr>
  <dimension ref="A1:AB534"/>
  <sheetViews>
    <sheetView showGridLines="0" view="pageBreakPreview" topLeftCell="A172" zoomScale="75" zoomScaleNormal="75" zoomScaleSheetLayoutView="75" workbookViewId="0">
      <selection activeCell="F186" sqref="F186"/>
    </sheetView>
  </sheetViews>
  <sheetFormatPr defaultRowHeight="14.4" outlineLevelRow="1" outlineLevelCol="1"/>
  <cols>
    <col min="1" max="1" width="7" customWidth="1"/>
    <col min="2" max="2" width="40.6640625" customWidth="1"/>
    <col min="3" max="3" width="64.109375" bestFit="1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4.44140625" customWidth="1"/>
    <col min="9" max="9" width="11.109375" bestFit="1" customWidth="1"/>
    <col min="10" max="10" width="11.6640625" style="112" customWidth="1"/>
    <col min="14" max="14" width="23.6640625" hidden="1" customWidth="1" outlineLevel="1"/>
    <col min="15" max="15" width="25.6640625" hidden="1" customWidth="1" outlineLevel="1"/>
    <col min="16" max="16" width="38.88671875" hidden="1" customWidth="1" outlineLevel="1"/>
    <col min="17" max="17" width="11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18.33203125" hidden="1" customWidth="1" outlineLevel="1"/>
    <col min="22" max="22" width="11.109375" hidden="1" customWidth="1" outlineLevel="1"/>
    <col min="23" max="23" width="10.44140625" hidden="1" customWidth="1" outlineLevel="1"/>
    <col min="24" max="24" width="9.109375" collapsed="1"/>
  </cols>
  <sheetData>
    <row r="1" spans="1:14" ht="12.75" customHeight="1"/>
    <row r="2" spans="1:14" ht="30" customHeight="1">
      <c r="B2" s="6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6"/>
      <c r="E3" s="6"/>
      <c r="F3" s="74"/>
      <c r="G3" s="74"/>
      <c r="I3" s="74"/>
      <c r="J3" s="91" t="s">
        <v>14</v>
      </c>
      <c r="K3" s="74"/>
      <c r="L3" s="74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37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>
      <c r="G45" s="10"/>
    </row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/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325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6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6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21" t="s">
        <v>31</v>
      </c>
      <c r="B117" s="522"/>
      <c r="C117" s="522"/>
      <c r="D117" s="522"/>
      <c r="E117" s="522"/>
      <c r="F117" s="522"/>
      <c r="G117" s="522"/>
      <c r="H117" s="522"/>
      <c r="I117" s="522"/>
      <c r="J117" s="523"/>
      <c r="K117" s="11"/>
      <c r="L117" s="4"/>
      <c r="M117" s="4"/>
      <c r="N117" s="4"/>
    </row>
    <row r="118" spans="1:16" s="1" customFormat="1" ht="15.6">
      <c r="A118" s="12"/>
      <c r="C118" s="8"/>
      <c r="D118" s="15"/>
      <c r="E118" s="13"/>
      <c r="J118" s="105"/>
      <c r="K118" s="11"/>
      <c r="L118" s="14"/>
      <c r="M118" s="14"/>
      <c r="N118" s="14"/>
    </row>
    <row r="119" spans="1:16" s="1" customFormat="1" ht="15" customHeight="1">
      <c r="A119" s="12"/>
      <c r="C119" s="110" t="s">
        <v>635</v>
      </c>
      <c r="D119" s="524" t="s">
        <v>666</v>
      </c>
      <c r="E119" s="525"/>
      <c r="F119" s="525"/>
      <c r="G119" s="526"/>
      <c r="I119" s="16"/>
      <c r="J119" s="12"/>
      <c r="N119" s="247" t="s">
        <v>191</v>
      </c>
      <c r="O119" s="12" t="s">
        <v>227</v>
      </c>
      <c r="P119" s="247" t="s">
        <v>16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7">
        <v>5</v>
      </c>
      <c r="O120" s="12" t="s">
        <v>627</v>
      </c>
      <c r="P120" s="335" t="s">
        <v>389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8">
        <v>6</v>
      </c>
      <c r="O121" s="12" t="s">
        <v>244</v>
      </c>
      <c r="P121" s="336" t="s">
        <v>390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8">
        <v>8</v>
      </c>
      <c r="P122" s="336" t="s">
        <v>391</v>
      </c>
    </row>
    <row r="123" spans="1:16" s="1" customFormat="1" ht="15" customHeight="1">
      <c r="A123" s="12"/>
      <c r="C123" s="110" t="s">
        <v>629</v>
      </c>
      <c r="D123" s="524" t="s">
        <v>15</v>
      </c>
      <c r="E123" s="525"/>
      <c r="F123" s="525"/>
      <c r="G123" s="526"/>
      <c r="H123" s="519" t="s">
        <v>638</v>
      </c>
      <c r="I123" s="520"/>
      <c r="J123" s="517">
        <v>500</v>
      </c>
      <c r="N123" s="248">
        <v>10</v>
      </c>
      <c r="P123" s="336" t="s">
        <v>392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8">
        <v>12</v>
      </c>
      <c r="P124" s="335" t="s">
        <v>393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75"/>
      <c r="L125" s="77"/>
      <c r="N125" s="248">
        <v>14</v>
      </c>
      <c r="P125" s="335" t="s">
        <v>394</v>
      </c>
    </row>
    <row r="126" spans="1:16" s="1" customFormat="1" ht="15" customHeight="1">
      <c r="A126" s="9"/>
      <c r="B126" s="9"/>
      <c r="C126" s="423" t="s">
        <v>631</v>
      </c>
      <c r="D126" s="15"/>
      <c r="H126" s="519" t="s">
        <v>639</v>
      </c>
      <c r="I126" s="520"/>
      <c r="J126" s="517">
        <v>700</v>
      </c>
      <c r="K126" s="75"/>
      <c r="L126" s="77"/>
      <c r="N126" s="248">
        <v>18</v>
      </c>
      <c r="P126" s="335" t="s">
        <v>395</v>
      </c>
    </row>
    <row r="127" spans="1:16" s="1" customFormat="1" ht="15" customHeight="1">
      <c r="A127" s="9"/>
      <c r="B127" s="9"/>
      <c r="C127" s="110" t="s">
        <v>633</v>
      </c>
      <c r="D127" s="534">
        <v>6</v>
      </c>
      <c r="E127" s="535"/>
      <c r="F127" s="535"/>
      <c r="G127" s="536"/>
      <c r="H127" s="520"/>
      <c r="I127" s="520"/>
      <c r="J127" s="518"/>
      <c r="N127" s="248">
        <v>20</v>
      </c>
      <c r="P127" s="335" t="s">
        <v>396</v>
      </c>
    </row>
    <row r="128" spans="1:16" s="1" customFormat="1" ht="18.75" customHeight="1">
      <c r="C128" s="423" t="s">
        <v>632</v>
      </c>
      <c r="I128" s="12"/>
      <c r="J128" s="12"/>
      <c r="N128" s="248">
        <v>22</v>
      </c>
      <c r="P128" s="335" t="s">
        <v>397</v>
      </c>
    </row>
    <row r="129" spans="1:28" s="1" customFormat="1" ht="15" customHeight="1">
      <c r="A129" s="88" t="str">
        <f>A18</f>
        <v>240-2 Panel (L)</v>
      </c>
      <c r="C129" s="110" t="s">
        <v>636</v>
      </c>
      <c r="D129" s="537" t="s">
        <v>627</v>
      </c>
      <c r="E129" s="538"/>
      <c r="F129" s="538"/>
      <c r="G129" s="539"/>
      <c r="H129" s="12"/>
      <c r="I129" s="12"/>
      <c r="J129" s="12"/>
    </row>
    <row r="130" spans="1:28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8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8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8" s="1" customFormat="1" ht="18" customHeight="1">
      <c r="A133" s="123">
        <f>IF(B133="","",1)</f>
        <v>1</v>
      </c>
      <c r="B133" s="121" t="s">
        <v>65</v>
      </c>
      <c r="C133" s="121" t="s">
        <v>39</v>
      </c>
      <c r="D133" s="122" t="s">
        <v>46</v>
      </c>
      <c r="E133" s="123">
        <v>1.603</v>
      </c>
      <c r="F133" s="122" t="s">
        <v>314</v>
      </c>
      <c r="G133" s="123">
        <v>1</v>
      </c>
      <c r="H133" s="123" t="s">
        <v>52</v>
      </c>
      <c r="I133" s="124">
        <f>$J$126-60</f>
        <v>640</v>
      </c>
      <c r="J133" s="125">
        <f t="shared" ref="J133:J136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4</v>
      </c>
      <c r="U133" s="283" t="s">
        <v>289</v>
      </c>
      <c r="V133" s="285">
        <f>($J$126-182-113.25)/2</f>
        <v>202.375</v>
      </c>
      <c r="W133" s="286">
        <f>$J$120*T133</f>
        <v>4</v>
      </c>
    </row>
    <row r="134" spans="1:28" s="1" customFormat="1" ht="18" customHeight="1">
      <c r="A134" s="129">
        <f t="shared" ref="A134:A157" si="1">IF(B134="","",+A133+1)</f>
        <v>2</v>
      </c>
      <c r="B134" s="127" t="s">
        <v>87</v>
      </c>
      <c r="C134" s="127" t="s">
        <v>41</v>
      </c>
      <c r="D134" s="128" t="s">
        <v>48</v>
      </c>
      <c r="E134" s="129">
        <v>0.27800000000000002</v>
      </c>
      <c r="F134" s="128" t="s">
        <v>315</v>
      </c>
      <c r="G134" s="129">
        <v>1</v>
      </c>
      <c r="H134" s="129" t="s">
        <v>651</v>
      </c>
      <c r="I134" s="130">
        <f>$J$126-86</f>
        <v>614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4</v>
      </c>
      <c r="U134" s="129" t="s">
        <v>289</v>
      </c>
      <c r="V134" s="285">
        <f>($J$126-182-113.25)/2</f>
        <v>202.375</v>
      </c>
      <c r="W134" s="131">
        <f t="shared" ref="W134:W135" si="2">$J$120*T134</f>
        <v>4</v>
      </c>
    </row>
    <row r="135" spans="1:28" s="1" customFormat="1" ht="18" customHeight="1">
      <c r="A135" s="129">
        <f t="shared" si="1"/>
        <v>3</v>
      </c>
      <c r="B135" s="127" t="s">
        <v>7</v>
      </c>
      <c r="C135" s="127" t="s">
        <v>40</v>
      </c>
      <c r="D135" s="128" t="s">
        <v>47</v>
      </c>
      <c r="E135" s="129">
        <v>1.603</v>
      </c>
      <c r="F135" s="128" t="s">
        <v>316</v>
      </c>
      <c r="G135" s="129">
        <v>1</v>
      </c>
      <c r="H135" s="129" t="s">
        <v>52</v>
      </c>
      <c r="I135" s="130">
        <f>$J$126-60</f>
        <v>640</v>
      </c>
      <c r="J135" s="131">
        <f t="shared" si="0"/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4</v>
      </c>
      <c r="U135" s="135" t="s">
        <v>289</v>
      </c>
      <c r="V135" s="285">
        <f>($J$126-182-113.25)/2</f>
        <v>202.375</v>
      </c>
      <c r="W135" s="293">
        <f t="shared" si="2"/>
        <v>4</v>
      </c>
    </row>
    <row r="136" spans="1:28" s="1" customFormat="1" ht="18" customHeight="1">
      <c r="A136" s="129">
        <f t="shared" si="1"/>
        <v>4</v>
      </c>
      <c r="B136" s="127" t="s">
        <v>86</v>
      </c>
      <c r="C136" s="127" t="s">
        <v>42</v>
      </c>
      <c r="D136" s="139" t="s">
        <v>49</v>
      </c>
      <c r="E136" s="129">
        <v>0.51600000000000001</v>
      </c>
      <c r="F136" s="128" t="s">
        <v>317</v>
      </c>
      <c r="G136" s="129">
        <v>1</v>
      </c>
      <c r="H136" s="129" t="s">
        <v>52</v>
      </c>
      <c r="I136" s="130">
        <f>$J$126-60</f>
        <v>640</v>
      </c>
      <c r="J136" s="131">
        <f t="shared" si="0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4</v>
      </c>
      <c r="U136" s="283" t="s">
        <v>64</v>
      </c>
      <c r="V136" s="288">
        <f>$J$123-242</f>
        <v>258</v>
      </c>
      <c r="W136" s="286">
        <f>$J$120*T136</f>
        <v>4</v>
      </c>
    </row>
    <row r="137" spans="1:28" s="1" customFormat="1" ht="18" customHeight="1">
      <c r="A137" s="129">
        <f t="shared" si="1"/>
        <v>5</v>
      </c>
      <c r="B137" s="127" t="s">
        <v>88</v>
      </c>
      <c r="C137" s="127" t="s">
        <v>55</v>
      </c>
      <c r="D137" s="139" t="s">
        <v>59</v>
      </c>
      <c r="E137" s="129">
        <v>0.89300000000000002</v>
      </c>
      <c r="F137" s="128" t="s">
        <v>488</v>
      </c>
      <c r="G137" s="129">
        <v>1</v>
      </c>
      <c r="H137" s="129" t="s">
        <v>61</v>
      </c>
      <c r="I137" s="130">
        <f>$J$123</f>
        <v>500</v>
      </c>
      <c r="J137" s="131">
        <f t="shared" ref="J137:J144" si="3">$J$120*G137</f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4</v>
      </c>
      <c r="U137" s="129" t="s">
        <v>64</v>
      </c>
      <c r="V137" s="130">
        <f t="shared" ref="V137" si="4">$J$123-242</f>
        <v>258</v>
      </c>
      <c r="W137" s="131">
        <f t="shared" ref="W137:W138" si="5">$J$120*T137</f>
        <v>4</v>
      </c>
    </row>
    <row r="138" spans="1:28" s="1" customFormat="1" ht="18" customHeight="1">
      <c r="A138" s="129">
        <f t="shared" si="1"/>
        <v>6</v>
      </c>
      <c r="B138" s="127" t="s">
        <v>89</v>
      </c>
      <c r="C138" s="127" t="s">
        <v>56</v>
      </c>
      <c r="D138" s="139" t="s">
        <v>59</v>
      </c>
      <c r="E138" s="129">
        <v>0.89300000000000002</v>
      </c>
      <c r="F138" s="128" t="s">
        <v>489</v>
      </c>
      <c r="G138" s="129">
        <v>1</v>
      </c>
      <c r="H138" s="129" t="s">
        <v>61</v>
      </c>
      <c r="I138" s="130">
        <f>$J$123</f>
        <v>500</v>
      </c>
      <c r="J138" s="131">
        <f t="shared" si="3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4</v>
      </c>
      <c r="U138" s="135" t="s">
        <v>64</v>
      </c>
      <c r="V138" s="136">
        <f>$J$123-242</f>
        <v>258</v>
      </c>
      <c r="W138" s="293">
        <f t="shared" si="5"/>
        <v>4</v>
      </c>
    </row>
    <row r="139" spans="1:28" s="1" customFormat="1" ht="18" customHeight="1">
      <c r="A139" s="129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404</v>
      </c>
      <c r="J139" s="131">
        <f t="shared" si="3"/>
        <v>1</v>
      </c>
      <c r="N139" s="98"/>
    </row>
    <row r="140" spans="1:28" s="1" customFormat="1" ht="18" customHeight="1">
      <c r="A140" s="129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404</v>
      </c>
      <c r="J140" s="131">
        <f t="shared" si="3"/>
        <v>1</v>
      </c>
      <c r="N140" s="98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</row>
    <row r="141" spans="1:28" s="1" customFormat="1" ht="18" customHeight="1">
      <c r="A141" s="129">
        <f t="shared" si="1"/>
        <v>9</v>
      </c>
      <c r="B141" s="127" t="s">
        <v>90</v>
      </c>
      <c r="C141" s="127" t="s">
        <v>43</v>
      </c>
      <c r="D141" s="139" t="s">
        <v>50</v>
      </c>
      <c r="E141" s="129">
        <v>1.1060000000000001</v>
      </c>
      <c r="F141" s="128" t="s">
        <v>318</v>
      </c>
      <c r="G141" s="129">
        <v>2</v>
      </c>
      <c r="H141" s="129" t="s">
        <v>289</v>
      </c>
      <c r="I141" s="178">
        <f>($J$126-182-113.25)/2</f>
        <v>202.375</v>
      </c>
      <c r="J141" s="131">
        <f t="shared" si="3"/>
        <v>2</v>
      </c>
      <c r="N141" s="98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</row>
    <row r="142" spans="1:28" s="1" customFormat="1" ht="18" customHeight="1">
      <c r="A142" s="129">
        <f t="shared" si="1"/>
        <v>10</v>
      </c>
      <c r="B142" s="127" t="s">
        <v>91</v>
      </c>
      <c r="C142" s="127" t="s">
        <v>44</v>
      </c>
      <c r="D142" s="139" t="s">
        <v>50</v>
      </c>
      <c r="E142" s="129">
        <v>1.1060000000000001</v>
      </c>
      <c r="F142" s="128" t="s">
        <v>318</v>
      </c>
      <c r="G142" s="129">
        <v>2</v>
      </c>
      <c r="H142" s="129" t="s">
        <v>289</v>
      </c>
      <c r="I142" s="178">
        <f>($J$126-182-113.25)/2</f>
        <v>202.375</v>
      </c>
      <c r="J142" s="131">
        <f t="shared" si="3"/>
        <v>2</v>
      </c>
      <c r="N142" s="98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</row>
    <row r="143" spans="1:28" s="1" customFormat="1" ht="18" customHeight="1">
      <c r="A143" s="129">
        <f t="shared" si="1"/>
        <v>11</v>
      </c>
      <c r="B143" s="127" t="s">
        <v>92</v>
      </c>
      <c r="C143" s="127" t="s">
        <v>57</v>
      </c>
      <c r="D143" s="139" t="s">
        <v>50</v>
      </c>
      <c r="E143" s="129">
        <v>1.1060000000000001</v>
      </c>
      <c r="F143" s="128" t="s">
        <v>319</v>
      </c>
      <c r="G143" s="129">
        <v>3</v>
      </c>
      <c r="H143" s="129" t="s">
        <v>63</v>
      </c>
      <c r="I143" s="130">
        <f>$J$123-92</f>
        <v>408</v>
      </c>
      <c r="J143" s="131">
        <f t="shared" si="3"/>
        <v>3</v>
      </c>
      <c r="N143" s="98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</row>
    <row r="144" spans="1:28" s="1" customFormat="1" ht="18" customHeight="1">
      <c r="A144" s="129">
        <f t="shared" si="1"/>
        <v>12</v>
      </c>
      <c r="B144" s="127" t="s">
        <v>8</v>
      </c>
      <c r="C144" s="127" t="s">
        <v>58</v>
      </c>
      <c r="D144" s="139" t="s">
        <v>50</v>
      </c>
      <c r="E144" s="129">
        <v>1.1060000000000001</v>
      </c>
      <c r="F144" s="128" t="s">
        <v>497</v>
      </c>
      <c r="G144" s="129">
        <v>1</v>
      </c>
      <c r="H144" s="129" t="s">
        <v>63</v>
      </c>
      <c r="I144" s="130">
        <f>$J$123-92</f>
        <v>408</v>
      </c>
      <c r="J144" s="131">
        <f t="shared" si="3"/>
        <v>1</v>
      </c>
      <c r="N144" s="98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</row>
    <row r="145" spans="1:28" s="1" customFormat="1" ht="18" customHeight="1">
      <c r="A145" s="129">
        <f t="shared" si="1"/>
        <v>13</v>
      </c>
      <c r="B145" s="127" t="str">
        <f t="shared" ref="B145:J145" si="6">IF($D$127=5,O133,IF($D$127=6,O133,IF($D$127=8,O134,IF($D$127=10,O134,IF($D$127=12,O134,IF($D$127=14,O135,IF($D$127=18,O135,IF($D$127=20,O135,IF($D$127=22,O135,)))))))))</f>
        <v>5-6mm คิ้วตบกระจกแนวนอน</v>
      </c>
      <c r="C145" s="127" t="str">
        <f t="shared" si="6"/>
        <v>5-6mm GLAZING BEAD HORIZONTAL</v>
      </c>
      <c r="D145" s="127" t="str">
        <f t="shared" si="6"/>
        <v>B24008</v>
      </c>
      <c r="E145" s="127">
        <f t="shared" si="6"/>
        <v>0.23100000000000001</v>
      </c>
      <c r="F145" s="127" t="str">
        <f t="shared" si="6"/>
        <v>B24008-001</v>
      </c>
      <c r="G145" s="129">
        <f t="shared" si="6"/>
        <v>4</v>
      </c>
      <c r="H145" s="129" t="str">
        <f t="shared" si="6"/>
        <v>(W-182-113.25)/2</v>
      </c>
      <c r="I145" s="178">
        <f t="shared" si="6"/>
        <v>202.375</v>
      </c>
      <c r="J145" s="144">
        <f t="shared" si="6"/>
        <v>4</v>
      </c>
      <c r="N145" s="98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</row>
    <row r="146" spans="1:28" s="1" customFormat="1" ht="18" customHeight="1">
      <c r="A146" s="129">
        <f t="shared" si="1"/>
        <v>14</v>
      </c>
      <c r="B146" s="127" t="str">
        <f t="shared" ref="B146:J146" si="7">IF($D$127=5,O136,IF($D$127=6,O136,IF($D$127=8,O137,IF($D$127=10,O137,IF($D$127=12,O137,IF($D$127=14,O138,IF($D$127=18,O138,IF($D$127=20,O138,IF($D$127=22,O138,)))))))))</f>
        <v>5-6mm คิ้วตบกระจกแนวตั้ง</v>
      </c>
      <c r="C146" s="127" t="str">
        <f t="shared" si="7"/>
        <v>5-6mm GLAZING BEAD VERTICAL</v>
      </c>
      <c r="D146" s="127" t="str">
        <f t="shared" si="7"/>
        <v>B24008</v>
      </c>
      <c r="E146" s="127">
        <f t="shared" si="7"/>
        <v>0.23100000000000001</v>
      </c>
      <c r="F146" s="127" t="str">
        <f t="shared" si="7"/>
        <v>B24008-002</v>
      </c>
      <c r="G146" s="129">
        <f t="shared" si="7"/>
        <v>4</v>
      </c>
      <c r="H146" s="129" t="str">
        <f t="shared" si="7"/>
        <v>H-242</v>
      </c>
      <c r="I146" s="144">
        <f t="shared" si="7"/>
        <v>258</v>
      </c>
      <c r="J146" s="144">
        <f t="shared" si="7"/>
        <v>4</v>
      </c>
      <c r="N146" s="98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</row>
    <row r="147" spans="1:28" s="1" customFormat="1" ht="18" customHeight="1">
      <c r="A147" s="129" t="str">
        <f t="shared" si="1"/>
        <v/>
      </c>
      <c r="B147" s="127"/>
      <c r="C147" s="127"/>
      <c r="D147" s="139"/>
      <c r="E147" s="129"/>
      <c r="F147" s="128"/>
      <c r="G147" s="129"/>
      <c r="H147" s="129"/>
      <c r="I147" s="144"/>
      <c r="J147" s="131">
        <f t="shared" ref="J147:J156" si="8">$J$120*G147</f>
        <v>0</v>
      </c>
      <c r="N147" s="98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</row>
    <row r="148" spans="1:28" s="1" customFormat="1" ht="18" customHeight="1">
      <c r="A148" s="129" t="str">
        <f t="shared" si="1"/>
        <v/>
      </c>
      <c r="B148" s="127"/>
      <c r="C148" s="127"/>
      <c r="D148" s="139"/>
      <c r="E148" s="129"/>
      <c r="F148" s="128"/>
      <c r="G148" s="129"/>
      <c r="H148" s="129"/>
      <c r="I148" s="144"/>
      <c r="J148" s="131">
        <f t="shared" si="8"/>
        <v>0</v>
      </c>
      <c r="N148" s="98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</row>
    <row r="149" spans="1:28" s="1" customFormat="1" ht="18" customHeight="1">
      <c r="A149" s="129" t="str">
        <f t="shared" si="1"/>
        <v/>
      </c>
      <c r="B149" s="127"/>
      <c r="C149" s="127"/>
      <c r="D149" s="139"/>
      <c r="E149" s="129"/>
      <c r="F149" s="128"/>
      <c r="G149" s="129"/>
      <c r="H149" s="129"/>
      <c r="I149" s="144"/>
      <c r="J149" s="131">
        <f t="shared" si="8"/>
        <v>0</v>
      </c>
      <c r="N149" s="98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</row>
    <row r="150" spans="1:28" s="1" customFormat="1" ht="18" customHeight="1">
      <c r="A150" s="129" t="str">
        <f t="shared" si="1"/>
        <v/>
      </c>
      <c r="B150" s="127"/>
      <c r="C150" s="127"/>
      <c r="D150" s="139"/>
      <c r="E150" s="129"/>
      <c r="F150" s="128"/>
      <c r="G150" s="129"/>
      <c r="H150" s="129"/>
      <c r="I150" s="144"/>
      <c r="J150" s="131">
        <f t="shared" si="8"/>
        <v>0</v>
      </c>
      <c r="N150" s="98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</row>
    <row r="151" spans="1:28" s="1" customFormat="1" ht="18" customHeight="1">
      <c r="A151" s="129" t="str">
        <f t="shared" si="1"/>
        <v/>
      </c>
      <c r="B151" s="127"/>
      <c r="C151" s="127"/>
      <c r="D151" s="139"/>
      <c r="E151" s="129"/>
      <c r="F151" s="128"/>
      <c r="G151" s="129"/>
      <c r="H151" s="129"/>
      <c r="I151" s="144"/>
      <c r="J151" s="131">
        <f t="shared" si="8"/>
        <v>0</v>
      </c>
      <c r="N151" s="98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</row>
    <row r="152" spans="1:28" s="1" customFormat="1" ht="18" customHeight="1">
      <c r="A152" s="129" t="str">
        <f t="shared" si="1"/>
        <v/>
      </c>
      <c r="B152" s="127"/>
      <c r="C152" s="127"/>
      <c r="D152" s="139"/>
      <c r="E152" s="129"/>
      <c r="F152" s="128"/>
      <c r="G152" s="129"/>
      <c r="H152" s="129"/>
      <c r="I152" s="144"/>
      <c r="J152" s="131">
        <f t="shared" si="8"/>
        <v>0</v>
      </c>
      <c r="N152" s="98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</row>
    <row r="153" spans="1:28" s="1" customFormat="1" ht="18" customHeight="1">
      <c r="A153" s="129" t="str">
        <f t="shared" si="1"/>
        <v/>
      </c>
      <c r="B153" s="127"/>
      <c r="C153" s="127"/>
      <c r="D153" s="139"/>
      <c r="E153" s="129"/>
      <c r="F153" s="128"/>
      <c r="G153" s="129"/>
      <c r="H153" s="129"/>
      <c r="I153" s="144"/>
      <c r="J153" s="131">
        <f t="shared" si="8"/>
        <v>0</v>
      </c>
      <c r="N153" s="98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</row>
    <row r="154" spans="1:28" s="1" customFormat="1" ht="18" customHeight="1">
      <c r="A154" s="129" t="str">
        <f t="shared" si="1"/>
        <v/>
      </c>
      <c r="B154" s="127"/>
      <c r="C154" s="127"/>
      <c r="D154" s="139"/>
      <c r="E154" s="129"/>
      <c r="F154" s="128"/>
      <c r="G154" s="129"/>
      <c r="H154" s="129"/>
      <c r="I154" s="144"/>
      <c r="J154" s="131">
        <f t="shared" si="8"/>
        <v>0</v>
      </c>
      <c r="N154" s="98"/>
    </row>
    <row r="155" spans="1:28" s="1" customFormat="1" ht="18" customHeight="1">
      <c r="A155" s="129" t="str">
        <f t="shared" si="1"/>
        <v/>
      </c>
      <c r="B155" s="127"/>
      <c r="C155" s="127"/>
      <c r="D155" s="139"/>
      <c r="E155" s="129"/>
      <c r="F155" s="128"/>
      <c r="G155" s="129"/>
      <c r="H155" s="129"/>
      <c r="I155" s="144"/>
      <c r="J155" s="131">
        <f t="shared" si="8"/>
        <v>0</v>
      </c>
      <c r="N155" s="98"/>
    </row>
    <row r="156" spans="1:28" s="1" customFormat="1" ht="18" customHeight="1">
      <c r="A156" s="129" t="str">
        <f t="shared" si="1"/>
        <v/>
      </c>
      <c r="B156" s="127"/>
      <c r="C156" s="127"/>
      <c r="D156" s="139"/>
      <c r="E156" s="129"/>
      <c r="F156" s="128"/>
      <c r="G156" s="129"/>
      <c r="H156" s="129"/>
      <c r="I156" s="144"/>
      <c r="J156" s="131">
        <f t="shared" si="8"/>
        <v>0</v>
      </c>
      <c r="N156" s="98"/>
    </row>
    <row r="157" spans="1:28" s="1" customFormat="1" ht="18" customHeight="1" thickBot="1">
      <c r="A157" s="129" t="str">
        <f t="shared" si="1"/>
        <v/>
      </c>
      <c r="B157" s="167"/>
      <c r="C157" s="167"/>
      <c r="D157" s="168"/>
      <c r="E157" s="166"/>
      <c r="F157" s="168"/>
      <c r="G157" s="166"/>
      <c r="H157" s="166"/>
      <c r="I157" s="171"/>
      <c r="J157" s="172">
        <f t="shared" ref="J157" si="9">$J$120*G157</f>
        <v>0</v>
      </c>
    </row>
    <row r="158" spans="1:28" s="1" customFormat="1" ht="27" outlineLevel="1" thickBot="1">
      <c r="A158" s="169" t="s">
        <v>2</v>
      </c>
      <c r="B158" s="169" t="s">
        <v>29</v>
      </c>
      <c r="C158" s="169" t="s">
        <v>3</v>
      </c>
      <c r="D158" s="169" t="s">
        <v>4</v>
      </c>
      <c r="E158" s="169" t="s">
        <v>5</v>
      </c>
      <c r="F158" s="177" t="s">
        <v>85</v>
      </c>
      <c r="G158" s="169" t="s">
        <v>22</v>
      </c>
      <c r="H158" s="170" t="s">
        <v>23</v>
      </c>
      <c r="I158" s="540"/>
      <c r="J158" s="541"/>
    </row>
    <row r="159" spans="1:28" s="1" customFormat="1" ht="15" customHeight="1" outlineLevel="1">
      <c r="A159" s="21">
        <f>IF(B159="","",1)</f>
        <v>1</v>
      </c>
      <c r="B159" s="173" t="str">
        <f t="shared" ref="B159:C165" si="10">B133</f>
        <v>เฟรมบน</v>
      </c>
      <c r="C159" s="173" t="str">
        <f t="shared" si="10"/>
        <v>HEAD</v>
      </c>
      <c r="D159" s="174" t="str">
        <f>VLOOKUP(C159,$C$133:$H$157,2,0)</f>
        <v>B24001</v>
      </c>
      <c r="E159" s="175">
        <f t="shared" ref="E159:E165" si="11">VLOOKUP(C159,$C$133:$H$157,3,0)</f>
        <v>1.603</v>
      </c>
      <c r="F159" s="175">
        <f>VLOOKUP(C159,$C$133:$J$157,7,0)</f>
        <v>640</v>
      </c>
      <c r="G159" s="175">
        <f t="shared" ref="G159:G165" si="12">VLOOKUP(C159,$C$133:$J$157,8,0)</f>
        <v>1</v>
      </c>
      <c r="H159" s="176">
        <f>ROUNDUP((F159*G159)/6400,0)</f>
        <v>1</v>
      </c>
      <c r="I159" s="500"/>
      <c r="J159" s="501"/>
    </row>
    <row r="160" spans="1:28" s="1" customFormat="1" ht="15" customHeight="1" outlineLevel="1">
      <c r="A160" s="18">
        <f t="shared" ref="A160:A165" si="13">IF(B160="","",+A159+1)</f>
        <v>2</v>
      </c>
      <c r="B160" s="173" t="str">
        <f t="shared" si="10"/>
        <v>บังใบบน</v>
      </c>
      <c r="C160" s="173" t="str">
        <f t="shared" si="10"/>
        <v>DOOR STOP HEAD</v>
      </c>
      <c r="D160" s="174" t="str">
        <f>VLOOKUP(C160,$C$133:$H$157,2,0)</f>
        <v>B24002</v>
      </c>
      <c r="E160" s="175">
        <f t="shared" si="11"/>
        <v>0.27800000000000002</v>
      </c>
      <c r="F160" s="175">
        <f t="shared" ref="F160:F165" si="14">VLOOKUP(C160,$C$133:$I$157,7,0)</f>
        <v>614</v>
      </c>
      <c r="G160" s="175">
        <f t="shared" si="12"/>
        <v>1</v>
      </c>
      <c r="H160" s="176">
        <f>ROUNDUP((F160*G160)/6400,0)</f>
        <v>1</v>
      </c>
      <c r="I160" s="500"/>
      <c r="J160" s="501"/>
    </row>
    <row r="161" spans="1:23" s="1" customFormat="1" ht="15" customHeight="1" outlineLevel="1">
      <c r="A161" s="18">
        <f t="shared" si="13"/>
        <v>3</v>
      </c>
      <c r="B161" s="173" t="str">
        <f t="shared" si="10"/>
        <v xml:space="preserve">เฟรมล่าง </v>
      </c>
      <c r="C161" s="173" t="str">
        <f t="shared" si="10"/>
        <v>SILL</v>
      </c>
      <c r="D161" s="174" t="str">
        <f>VLOOKUP(C161,$C$133:$H$157,2,0)</f>
        <v>B24003</v>
      </c>
      <c r="E161" s="175">
        <f t="shared" si="11"/>
        <v>1.603</v>
      </c>
      <c r="F161" s="175">
        <f t="shared" si="14"/>
        <v>640</v>
      </c>
      <c r="G161" s="175">
        <f t="shared" si="12"/>
        <v>1</v>
      </c>
      <c r="H161" s="176">
        <f t="shared" ref="H161:H162" si="15">ROUNDUP((F161*G161)/6400,0)</f>
        <v>1</v>
      </c>
      <c r="I161" s="500"/>
      <c r="J161" s="501"/>
    </row>
    <row r="162" spans="1:23" s="1" customFormat="1" ht="15" customHeight="1" outlineLevel="1">
      <c r="A162" s="18">
        <f t="shared" si="13"/>
        <v>4</v>
      </c>
      <c r="B162" s="173" t="str">
        <f t="shared" si="10"/>
        <v>ตัวตับธรณี</v>
      </c>
      <c r="C162" s="173" t="str">
        <f t="shared" si="10"/>
        <v>DOOR STOP SILL</v>
      </c>
      <c r="D162" s="174" t="str">
        <f>VLOOKUP(C162,$C$133:$H$157,2,0)</f>
        <v>B24004</v>
      </c>
      <c r="E162" s="175">
        <f t="shared" si="11"/>
        <v>0.51600000000000001</v>
      </c>
      <c r="F162" s="175">
        <f t="shared" si="14"/>
        <v>640</v>
      </c>
      <c r="G162" s="175">
        <f t="shared" si="12"/>
        <v>1</v>
      </c>
      <c r="H162" s="176">
        <f t="shared" si="15"/>
        <v>1</v>
      </c>
      <c r="I162" s="500"/>
      <c r="J162" s="501"/>
    </row>
    <row r="163" spans="1:23" s="1" customFormat="1" ht="15" customHeight="1" outlineLevel="1">
      <c r="A163" s="18">
        <f t="shared" si="13"/>
        <v>5</v>
      </c>
      <c r="B163" s="173" t="str">
        <f t="shared" si="10"/>
        <v>เฟรมข้าง (ซ้าย)</v>
      </c>
      <c r="C163" s="173" t="str">
        <f t="shared" si="10"/>
        <v>JAMB (L)</v>
      </c>
      <c r="D163" s="508" t="str">
        <f>VLOOKUP(C163,$C$133:$H$157,2,0)</f>
        <v>B24005</v>
      </c>
      <c r="E163" s="175">
        <f t="shared" si="11"/>
        <v>0.89300000000000002</v>
      </c>
      <c r="F163" s="175">
        <f t="shared" si="14"/>
        <v>500</v>
      </c>
      <c r="G163" s="175">
        <f t="shared" si="12"/>
        <v>1</v>
      </c>
      <c r="H163" s="516">
        <f>ROUNDUP(((F163*G163)+(F164*G164))/6400,0)</f>
        <v>1</v>
      </c>
      <c r="I163" s="506"/>
      <c r="J163" s="506"/>
    </row>
    <row r="164" spans="1:23" s="1" customFormat="1" ht="15" customHeight="1" outlineLevel="1">
      <c r="A164" s="18">
        <f t="shared" si="13"/>
        <v>6</v>
      </c>
      <c r="B164" s="173" t="str">
        <f t="shared" si="10"/>
        <v>เฟรมข้าง (ขวา)</v>
      </c>
      <c r="C164" s="173" t="str">
        <f t="shared" si="10"/>
        <v>JAMB (R)</v>
      </c>
      <c r="D164" s="509"/>
      <c r="E164" s="175">
        <f t="shared" si="11"/>
        <v>0.89300000000000002</v>
      </c>
      <c r="F164" s="175">
        <f t="shared" si="14"/>
        <v>500</v>
      </c>
      <c r="G164" s="175">
        <f t="shared" si="12"/>
        <v>1</v>
      </c>
      <c r="H164" s="516"/>
      <c r="I164" s="506"/>
      <c r="J164" s="506"/>
    </row>
    <row r="165" spans="1:23" s="1" customFormat="1" ht="15" customHeight="1" outlineLevel="1">
      <c r="A165" s="18">
        <f t="shared" si="13"/>
        <v>7</v>
      </c>
      <c r="B165" s="173" t="str">
        <f t="shared" si="10"/>
        <v>บังใบข้าง (ซ้าย)</v>
      </c>
      <c r="C165" s="173" t="str">
        <f t="shared" si="10"/>
        <v>DOOR STOP JAMB (L)</v>
      </c>
      <c r="D165" s="508" t="str">
        <f>VLOOKUP(C165,$C$133:$H$157,2,0)</f>
        <v>B24006</v>
      </c>
      <c r="E165" s="175">
        <f t="shared" si="11"/>
        <v>0.23499999999999999</v>
      </c>
      <c r="F165" s="175">
        <f t="shared" si="14"/>
        <v>404</v>
      </c>
      <c r="G165" s="175">
        <f t="shared" si="12"/>
        <v>1</v>
      </c>
      <c r="H165" s="516">
        <f>ROUNDUP(((F165*G165)+(F166*G166))/6400,0)</f>
        <v>1</v>
      </c>
      <c r="I165" s="500"/>
      <c r="J165" s="501"/>
    </row>
    <row r="166" spans="1:23" s="1" customFormat="1" ht="15" customHeight="1" outlineLevel="1">
      <c r="A166" s="18">
        <f t="shared" ref="A166:A172" si="16">IF(B166="","",+A165+1)</f>
        <v>8</v>
      </c>
      <c r="B166" s="173" t="str">
        <f t="shared" ref="B166:C166" si="17">B140</f>
        <v>บังใบข้าง (ขวา)</v>
      </c>
      <c r="C166" s="173" t="str">
        <f t="shared" si="17"/>
        <v>DOOR STOP JAMB (R)</v>
      </c>
      <c r="D166" s="509"/>
      <c r="E166" s="175">
        <f t="shared" ref="E166:E172" si="18">VLOOKUP(C166,$C$133:$H$157,3,0)</f>
        <v>0.23499999999999999</v>
      </c>
      <c r="F166" s="175">
        <f t="shared" ref="F166:F172" si="19">VLOOKUP(C166,$C$133:$I$157,7,0)</f>
        <v>404</v>
      </c>
      <c r="G166" s="175">
        <f t="shared" ref="G166:G172" si="20">VLOOKUP(C166,$C$133:$J$157,8,0)</f>
        <v>1</v>
      </c>
      <c r="H166" s="516"/>
      <c r="I166" s="533"/>
      <c r="J166" s="506"/>
    </row>
    <row r="167" spans="1:23" s="1" customFormat="1" ht="13.8" outlineLevel="1">
      <c r="A167" s="18">
        <f t="shared" si="16"/>
        <v>9</v>
      </c>
      <c r="B167" s="173" t="str">
        <f t="shared" ref="B167:C167" si="21">B141</f>
        <v>ขวางบน</v>
      </c>
      <c r="C167" s="173" t="str">
        <f t="shared" si="21"/>
        <v>SASH (Hor) (T)</v>
      </c>
      <c r="D167" s="508" t="str">
        <f t="shared" ref="D167:D171" si="22">VLOOKUP(C167,$C$133:$H$157,2,0)</f>
        <v>B24007</v>
      </c>
      <c r="E167" s="175">
        <f t="shared" si="18"/>
        <v>1.1060000000000001</v>
      </c>
      <c r="F167" s="175">
        <f t="shared" si="19"/>
        <v>202.375</v>
      </c>
      <c r="G167" s="175">
        <f t="shared" si="20"/>
        <v>2</v>
      </c>
      <c r="H167" s="512">
        <f>ROUNDUP(((F167*G167)+(F168*G168)+(F169*G169)+(F170*G170))/6400,0)</f>
        <v>1</v>
      </c>
      <c r="I167" s="533"/>
      <c r="J167" s="506"/>
    </row>
    <row r="168" spans="1:23" s="1" customFormat="1" ht="13.8" outlineLevel="1">
      <c r="A168" s="18">
        <f t="shared" si="16"/>
        <v>10</v>
      </c>
      <c r="B168" s="173" t="str">
        <f t="shared" ref="B168:C168" si="23">B142</f>
        <v>ขวางล่าง</v>
      </c>
      <c r="C168" s="173" t="str">
        <f t="shared" si="23"/>
        <v>SASH (Hor) (B)</v>
      </c>
      <c r="D168" s="510"/>
      <c r="E168" s="175">
        <f t="shared" si="18"/>
        <v>1.1060000000000001</v>
      </c>
      <c r="F168" s="175">
        <f t="shared" si="19"/>
        <v>202.375</v>
      </c>
      <c r="G168" s="175">
        <f t="shared" si="20"/>
        <v>2</v>
      </c>
      <c r="H168" s="514"/>
      <c r="I168" s="533"/>
      <c r="J168" s="506"/>
    </row>
    <row r="169" spans="1:23" s="1" customFormat="1" ht="13.8" outlineLevel="1">
      <c r="A169" s="18">
        <f t="shared" si="16"/>
        <v>11</v>
      </c>
      <c r="B169" s="173" t="str">
        <f t="shared" ref="B169:C169" si="24">B143</f>
        <v>เสา</v>
      </c>
      <c r="C169" s="173" t="str">
        <f t="shared" si="24"/>
        <v xml:space="preserve">SASH (Ver) </v>
      </c>
      <c r="D169" s="510"/>
      <c r="E169" s="175">
        <f t="shared" si="18"/>
        <v>1.1060000000000001</v>
      </c>
      <c r="F169" s="175">
        <f t="shared" si="19"/>
        <v>408</v>
      </c>
      <c r="G169" s="175">
        <f t="shared" si="20"/>
        <v>3</v>
      </c>
      <c r="H169" s="514"/>
      <c r="I169" s="533"/>
      <c r="J169" s="506"/>
    </row>
    <row r="170" spans="1:23" s="1" customFormat="1" ht="13.8" outlineLevel="1">
      <c r="A170" s="18">
        <f t="shared" si="16"/>
        <v>12</v>
      </c>
      <c r="B170" s="173" t="str">
        <f t="shared" ref="B170:C170" si="25">B144</f>
        <v>เสากุญแจ</v>
      </c>
      <c r="C170" s="173" t="str">
        <f t="shared" si="25"/>
        <v xml:space="preserve">SASH (Ver) LOCK </v>
      </c>
      <c r="D170" s="509"/>
      <c r="E170" s="175">
        <f t="shared" si="18"/>
        <v>1.1060000000000001</v>
      </c>
      <c r="F170" s="175">
        <f t="shared" si="19"/>
        <v>408</v>
      </c>
      <c r="G170" s="175">
        <f t="shared" si="20"/>
        <v>1</v>
      </c>
      <c r="H170" s="515"/>
      <c r="I170" s="533"/>
      <c r="J170" s="506"/>
    </row>
    <row r="171" spans="1:23" s="1" customFormat="1" ht="13.8" outlineLevel="1">
      <c r="A171" s="18">
        <f t="shared" si="16"/>
        <v>13</v>
      </c>
      <c r="B171" s="173" t="str">
        <f t="shared" ref="B171:C171" si="26">B145</f>
        <v>5-6mm คิ้วตบกระจกแนวนอน</v>
      </c>
      <c r="C171" s="173" t="str">
        <f t="shared" si="26"/>
        <v>5-6mm GLAZING BEAD HORIZONTAL</v>
      </c>
      <c r="D171" s="508" t="str">
        <f t="shared" si="22"/>
        <v>B24008</v>
      </c>
      <c r="E171" s="175">
        <f t="shared" si="18"/>
        <v>0.23100000000000001</v>
      </c>
      <c r="F171" s="175">
        <f t="shared" si="19"/>
        <v>202.375</v>
      </c>
      <c r="G171" s="175">
        <f t="shared" si="20"/>
        <v>4</v>
      </c>
      <c r="H171" s="512">
        <f>ROUNDUP(((F171*G171)+(F172*G172))/6400,0)</f>
        <v>1</v>
      </c>
      <c r="I171" s="533"/>
      <c r="J171" s="506"/>
    </row>
    <row r="172" spans="1:23" s="1" customFormat="1" outlineLevel="1" thickBot="1">
      <c r="A172" s="18">
        <f t="shared" si="16"/>
        <v>14</v>
      </c>
      <c r="B172" s="173" t="str">
        <f t="shared" ref="B172:C172" si="27">B146</f>
        <v>5-6mm คิ้วตบกระจกแนวตั้ง</v>
      </c>
      <c r="C172" s="173" t="str">
        <f t="shared" si="27"/>
        <v>5-6mm GLAZING BEAD VERTICAL</v>
      </c>
      <c r="D172" s="511"/>
      <c r="E172" s="175">
        <f t="shared" si="18"/>
        <v>0.23100000000000001</v>
      </c>
      <c r="F172" s="175">
        <f t="shared" si="19"/>
        <v>258</v>
      </c>
      <c r="G172" s="175">
        <f t="shared" si="20"/>
        <v>4</v>
      </c>
      <c r="H172" s="513"/>
      <c r="I172" s="500"/>
      <c r="J172" s="501"/>
    </row>
    <row r="173" spans="1:23" s="1" customFormat="1" ht="24.9" customHeight="1" thickBot="1">
      <c r="A173" s="529" t="s">
        <v>9</v>
      </c>
      <c r="B173" s="530"/>
      <c r="C173" s="530"/>
      <c r="D173" s="530"/>
      <c r="E173" s="530"/>
      <c r="F173" s="530"/>
      <c r="G173" s="530"/>
      <c r="H173" s="530"/>
      <c r="I173" s="530"/>
      <c r="J173" s="531"/>
    </row>
    <row r="174" spans="1:23" s="1" customFormat="1" ht="35.1" customHeight="1" thickBot="1">
      <c r="A174" s="102" t="s">
        <v>2</v>
      </c>
      <c r="B174" s="103" t="s">
        <v>29</v>
      </c>
      <c r="C174" s="103" t="s">
        <v>3</v>
      </c>
      <c r="D174" s="103" t="s">
        <v>199</v>
      </c>
      <c r="E174" s="103" t="s">
        <v>5</v>
      </c>
      <c r="F174" s="104" t="s">
        <v>28</v>
      </c>
      <c r="G174" s="103" t="s">
        <v>19</v>
      </c>
      <c r="H174" s="104" t="s">
        <v>200</v>
      </c>
      <c r="I174" s="104" t="s">
        <v>20</v>
      </c>
      <c r="J174" s="115" t="s">
        <v>201</v>
      </c>
      <c r="N174" s="101" t="s">
        <v>191</v>
      </c>
      <c r="O174" s="246" t="s">
        <v>29</v>
      </c>
      <c r="P174" s="246" t="s">
        <v>3</v>
      </c>
      <c r="Q174" s="246" t="s">
        <v>199</v>
      </c>
      <c r="R174" s="246" t="s">
        <v>5</v>
      </c>
      <c r="S174" s="246" t="s">
        <v>28</v>
      </c>
      <c r="T174" s="246" t="s">
        <v>19</v>
      </c>
      <c r="U174" s="246" t="s">
        <v>200</v>
      </c>
      <c r="V174" s="246" t="s">
        <v>20</v>
      </c>
      <c r="W174" s="246" t="s">
        <v>201</v>
      </c>
    </row>
    <row r="175" spans="1:23" s="1" customFormat="1" ht="18" customHeight="1">
      <c r="A175" s="120">
        <f>IF(B175="","",1)</f>
        <v>1</v>
      </c>
      <c r="B175" s="127" t="s">
        <v>110</v>
      </c>
      <c r="C175" s="140" t="s">
        <v>66</v>
      </c>
      <c r="D175" s="128" t="s">
        <v>73</v>
      </c>
      <c r="E175" s="129"/>
      <c r="F175" s="129" t="s">
        <v>73</v>
      </c>
      <c r="G175" s="238" t="s">
        <v>202</v>
      </c>
      <c r="H175" s="129">
        <v>1</v>
      </c>
      <c r="I175" s="130"/>
      <c r="J175" s="131">
        <f t="shared" ref="J175:J186" si="28">$J$120*H175</f>
        <v>1</v>
      </c>
      <c r="N175" s="101" t="s">
        <v>226</v>
      </c>
      <c r="O175" s="280" t="s">
        <v>252</v>
      </c>
      <c r="P175" s="290" t="s">
        <v>248</v>
      </c>
      <c r="Q175" s="280" t="s">
        <v>69</v>
      </c>
      <c r="R175" s="213"/>
      <c r="S175" s="213" t="s">
        <v>69</v>
      </c>
      <c r="T175" s="213" t="s">
        <v>198</v>
      </c>
      <c r="U175" s="291">
        <f>((($I$141*$G$141)+($I$142*$G$142)+($I$143*$G$143)+($I$144*$G$144))/1000)*$J$120</f>
        <v>2.4415</v>
      </c>
      <c r="V175" s="291">
        <v>100</v>
      </c>
      <c r="W175" s="292">
        <f>ROUNDUP((U175)/100,0)</f>
        <v>1</v>
      </c>
    </row>
    <row r="176" spans="1:23" s="1" customFormat="1" ht="18" customHeight="1">
      <c r="A176" s="126">
        <f>IF(B176="","",+A175+1)</f>
        <v>2</v>
      </c>
      <c r="B176" s="127" t="s">
        <v>111</v>
      </c>
      <c r="C176" s="140" t="s">
        <v>67</v>
      </c>
      <c r="D176" s="128" t="s">
        <v>74</v>
      </c>
      <c r="E176" s="129"/>
      <c r="F176" s="129" t="s">
        <v>74</v>
      </c>
      <c r="G176" s="129" t="s">
        <v>202</v>
      </c>
      <c r="H176" s="129">
        <v>4</v>
      </c>
      <c r="I176" s="130"/>
      <c r="J176" s="131">
        <f t="shared" si="28"/>
        <v>4</v>
      </c>
      <c r="N176" s="101" t="s">
        <v>230</v>
      </c>
      <c r="O176" s="280" t="s">
        <v>253</v>
      </c>
      <c r="P176" s="290" t="s">
        <v>249</v>
      </c>
      <c r="Q176" s="280" t="s">
        <v>188</v>
      </c>
      <c r="R176" s="213"/>
      <c r="S176" s="213" t="s">
        <v>188</v>
      </c>
      <c r="T176" s="213" t="s">
        <v>198</v>
      </c>
      <c r="U176" s="291">
        <f>((($I$141*$G$141)+($I$142*$G$142)+($I$143*$G$143)+($I$144*$G$144))/1000)*$J$120</f>
        <v>2.4415</v>
      </c>
      <c r="V176" s="291">
        <v>100</v>
      </c>
      <c r="W176" s="292">
        <f>ROUNDUP((U176)/100,0)</f>
        <v>1</v>
      </c>
    </row>
    <row r="177" spans="1:25" s="1" customFormat="1" ht="18" customHeight="1">
      <c r="A177" s="126">
        <f t="shared" ref="A177:A192" si="29">IF(B177="","",+A176+1)</f>
        <v>3</v>
      </c>
      <c r="B177" s="127" t="s">
        <v>106</v>
      </c>
      <c r="C177" s="140" t="s">
        <v>503</v>
      </c>
      <c r="D177" s="128" t="s">
        <v>75</v>
      </c>
      <c r="E177" s="129"/>
      <c r="F177" s="129" t="s">
        <v>75</v>
      </c>
      <c r="G177" s="129" t="s">
        <v>202</v>
      </c>
      <c r="H177" s="129">
        <v>2</v>
      </c>
      <c r="I177" s="130"/>
      <c r="J177" s="131">
        <f t="shared" si="28"/>
        <v>2</v>
      </c>
      <c r="N177" s="101" t="s">
        <v>229</v>
      </c>
      <c r="O177" s="290" t="s">
        <v>254</v>
      </c>
      <c r="P177" s="290" t="s">
        <v>250</v>
      </c>
      <c r="Q177" s="280" t="s">
        <v>70</v>
      </c>
      <c r="R177" s="213"/>
      <c r="S177" s="213" t="s">
        <v>70</v>
      </c>
      <c r="T177" s="213" t="s">
        <v>198</v>
      </c>
      <c r="U177" s="291">
        <f>((($I$141*$G$141)+($I$142*$G$142)+($I$143*$G$143)+($I$144*$G$144))/1000)*$J$120</f>
        <v>2.4415</v>
      </c>
      <c r="V177" s="291">
        <v>100</v>
      </c>
      <c r="W177" s="292">
        <f t="shared" ref="W177" si="30">ROUNDUP((U177)/100,0)</f>
        <v>1</v>
      </c>
    </row>
    <row r="178" spans="1:25" s="1" customFormat="1" ht="18" customHeight="1">
      <c r="A178" s="126">
        <f t="shared" si="29"/>
        <v>4</v>
      </c>
      <c r="B178" s="127" t="s">
        <v>107</v>
      </c>
      <c r="C178" s="140" t="s">
        <v>504</v>
      </c>
      <c r="D178" s="128" t="s">
        <v>76</v>
      </c>
      <c r="E178" s="129"/>
      <c r="F178" s="129" t="s">
        <v>76</v>
      </c>
      <c r="G178" s="129" t="s">
        <v>202</v>
      </c>
      <c r="H178" s="129">
        <v>2</v>
      </c>
      <c r="I178" s="130"/>
      <c r="J178" s="131">
        <f t="shared" si="28"/>
        <v>2</v>
      </c>
      <c r="N178" s="101" t="s">
        <v>231</v>
      </c>
      <c r="O178" s="290" t="s">
        <v>255</v>
      </c>
      <c r="P178" s="290" t="s">
        <v>251</v>
      </c>
      <c r="Q178" s="280" t="s">
        <v>189</v>
      </c>
      <c r="R178" s="213"/>
      <c r="S178" s="213" t="s">
        <v>189</v>
      </c>
      <c r="T178" s="213" t="s">
        <v>198</v>
      </c>
      <c r="U178" s="291">
        <f>((($I$141*$G$141)+($I$142*$G$142)+($I$143*$G$143)+($I$144*$G$144))/1000)*$J$120</f>
        <v>2.4415</v>
      </c>
      <c r="V178" s="291">
        <v>100</v>
      </c>
      <c r="W178" s="292">
        <f>ROUNDUP((U178)/100,0)</f>
        <v>1</v>
      </c>
    </row>
    <row r="179" spans="1:25" s="1" customFormat="1" ht="18" customHeight="1">
      <c r="A179" s="126">
        <f t="shared" si="29"/>
        <v>5</v>
      </c>
      <c r="B179" s="127" t="s">
        <v>108</v>
      </c>
      <c r="C179" s="140" t="s">
        <v>10</v>
      </c>
      <c r="D179" s="128">
        <v>9</v>
      </c>
      <c r="E179" s="129"/>
      <c r="F179" s="129">
        <v>9</v>
      </c>
      <c r="G179" s="129" t="s">
        <v>202</v>
      </c>
      <c r="H179" s="129">
        <v>16</v>
      </c>
      <c r="I179" s="130"/>
      <c r="J179" s="131">
        <f t="shared" si="28"/>
        <v>16</v>
      </c>
      <c r="N179" s="101" t="s">
        <v>232</v>
      </c>
      <c r="O179" s="290" t="s">
        <v>256</v>
      </c>
      <c r="P179" s="290" t="s">
        <v>247</v>
      </c>
      <c r="Q179" s="280" t="s">
        <v>233</v>
      </c>
      <c r="R179" s="213"/>
      <c r="S179" s="213" t="s">
        <v>233</v>
      </c>
      <c r="T179" s="213" t="s">
        <v>198</v>
      </c>
      <c r="U179" s="291">
        <f>((($I$141*$G$141)+($I$142*$G$142)+($I$143*$G$143)+($I$144*$G$144))/1000)*$J$120</f>
        <v>2.4415</v>
      </c>
      <c r="V179" s="291">
        <v>100</v>
      </c>
      <c r="W179" s="292">
        <f>ROUNDUP((U179)/100,0)</f>
        <v>1</v>
      </c>
    </row>
    <row r="180" spans="1:25" s="1" customFormat="1" ht="18" customHeight="1">
      <c r="A180" s="126">
        <f t="shared" si="29"/>
        <v>6</v>
      </c>
      <c r="B180" s="127" t="s">
        <v>109</v>
      </c>
      <c r="C180" s="140" t="s">
        <v>68</v>
      </c>
      <c r="D180" s="128">
        <v>9</v>
      </c>
      <c r="E180" s="129"/>
      <c r="F180" s="129">
        <v>9</v>
      </c>
      <c r="G180" s="129" t="s">
        <v>202</v>
      </c>
      <c r="H180" s="129">
        <v>32</v>
      </c>
      <c r="I180" s="130"/>
      <c r="J180" s="131">
        <f t="shared" si="28"/>
        <v>32</v>
      </c>
    </row>
    <row r="181" spans="1:25" s="1" customFormat="1" ht="18" customHeight="1">
      <c r="A181" s="126">
        <f t="shared" si="29"/>
        <v>7</v>
      </c>
      <c r="B181" s="127" t="s">
        <v>118</v>
      </c>
      <c r="C181" s="140" t="s">
        <v>77</v>
      </c>
      <c r="D181" s="128" t="s">
        <v>80</v>
      </c>
      <c r="E181" s="129"/>
      <c r="F181" s="451" t="s">
        <v>80</v>
      </c>
      <c r="G181" s="451" t="s">
        <v>185</v>
      </c>
      <c r="H181" s="129">
        <v>1</v>
      </c>
      <c r="I181" s="130"/>
      <c r="J181" s="131">
        <f t="shared" si="28"/>
        <v>1</v>
      </c>
    </row>
    <row r="182" spans="1:25" s="1" customFormat="1" ht="18" customHeight="1">
      <c r="A182" s="126">
        <f t="shared" si="29"/>
        <v>8</v>
      </c>
      <c r="B182" s="127" t="s">
        <v>142</v>
      </c>
      <c r="C182" s="140" t="s">
        <v>141</v>
      </c>
      <c r="D182" s="128" t="s">
        <v>81</v>
      </c>
      <c r="E182" s="129"/>
      <c r="F182" s="451" t="s">
        <v>81</v>
      </c>
      <c r="G182" s="451" t="s">
        <v>185</v>
      </c>
      <c r="H182" s="129">
        <v>1</v>
      </c>
      <c r="I182" s="130"/>
      <c r="J182" s="131">
        <f t="shared" si="28"/>
        <v>1</v>
      </c>
    </row>
    <row r="183" spans="1:25" s="1" customFormat="1" ht="18" customHeight="1">
      <c r="A183" s="126">
        <f t="shared" si="29"/>
        <v>9</v>
      </c>
      <c r="B183" s="127" t="s">
        <v>117</v>
      </c>
      <c r="C183" s="140" t="s">
        <v>79</v>
      </c>
      <c r="D183" s="128" t="s">
        <v>82</v>
      </c>
      <c r="E183" s="129"/>
      <c r="F183" s="451" t="s">
        <v>82</v>
      </c>
      <c r="G183" s="451" t="s">
        <v>185</v>
      </c>
      <c r="H183" s="129">
        <v>1</v>
      </c>
      <c r="I183" s="130"/>
      <c r="J183" s="131">
        <f t="shared" si="28"/>
        <v>1</v>
      </c>
    </row>
    <row r="184" spans="1:25" s="1" customFormat="1" ht="18" customHeight="1">
      <c r="A184" s="126">
        <f t="shared" si="29"/>
        <v>10</v>
      </c>
      <c r="B184" s="127" t="s">
        <v>113</v>
      </c>
      <c r="C184" s="140" t="s">
        <v>502</v>
      </c>
      <c r="D184" s="128" t="s">
        <v>83</v>
      </c>
      <c r="E184" s="129"/>
      <c r="F184" s="451" t="s">
        <v>83</v>
      </c>
      <c r="G184" s="451" t="s">
        <v>185</v>
      </c>
      <c r="H184" s="129">
        <v>1</v>
      </c>
      <c r="I184" s="130"/>
      <c r="J184" s="131">
        <f t="shared" si="28"/>
        <v>1</v>
      </c>
      <c r="N184" s="56"/>
      <c r="O184" s="56"/>
      <c r="P184" s="56"/>
      <c r="Q184" s="289"/>
      <c r="R184" s="289"/>
      <c r="S184" s="289"/>
      <c r="T184" s="17"/>
      <c r="U184" s="17"/>
      <c r="V184" s="17"/>
      <c r="W184" s="56"/>
      <c r="X184" s="56"/>
      <c r="Y184" s="56"/>
    </row>
    <row r="185" spans="1:25" s="1" customFormat="1" ht="18" customHeight="1">
      <c r="A185" s="126">
        <f t="shared" si="29"/>
        <v>11</v>
      </c>
      <c r="B185" s="127" t="s">
        <v>112</v>
      </c>
      <c r="C185" s="140" t="s">
        <v>114</v>
      </c>
      <c r="D185" s="128" t="s">
        <v>520</v>
      </c>
      <c r="E185" s="129"/>
      <c r="F185" s="129" t="s">
        <v>520</v>
      </c>
      <c r="G185" s="129" t="s">
        <v>202</v>
      </c>
      <c r="H185" s="129">
        <v>2</v>
      </c>
      <c r="I185" s="144"/>
      <c r="J185" s="131">
        <f t="shared" si="28"/>
        <v>2</v>
      </c>
      <c r="N185" s="101" t="s">
        <v>227</v>
      </c>
      <c r="O185" s="246" t="s">
        <v>29</v>
      </c>
      <c r="P185" s="246" t="s">
        <v>3</v>
      </c>
      <c r="Q185" s="246" t="s">
        <v>199</v>
      </c>
      <c r="R185" s="246" t="s">
        <v>5</v>
      </c>
      <c r="S185" s="246" t="s">
        <v>28</v>
      </c>
      <c r="T185" s="246" t="s">
        <v>19</v>
      </c>
      <c r="U185" s="246" t="s">
        <v>200</v>
      </c>
      <c r="V185" s="246" t="s">
        <v>20</v>
      </c>
      <c r="W185" s="246" t="s">
        <v>201</v>
      </c>
      <c r="X185" s="56"/>
      <c r="Y185" s="56"/>
    </row>
    <row r="186" spans="1:25" s="1" customFormat="1" ht="18" customHeight="1">
      <c r="A186" s="126">
        <f t="shared" si="29"/>
        <v>12</v>
      </c>
      <c r="B186" s="127" t="s">
        <v>115</v>
      </c>
      <c r="C186" s="140" t="s">
        <v>45</v>
      </c>
      <c r="D186" s="128" t="s">
        <v>84</v>
      </c>
      <c r="E186" s="129"/>
      <c r="F186" s="129" t="s">
        <v>84</v>
      </c>
      <c r="G186" s="129" t="s">
        <v>202</v>
      </c>
      <c r="H186" s="129">
        <v>1</v>
      </c>
      <c r="I186" s="144"/>
      <c r="J186" s="131">
        <f t="shared" si="28"/>
        <v>1</v>
      </c>
      <c r="N186" s="101" t="s">
        <v>240</v>
      </c>
      <c r="O186" s="290" t="s">
        <v>234</v>
      </c>
      <c r="P186" s="290" t="s">
        <v>236</v>
      </c>
      <c r="Q186" s="280" t="s">
        <v>190</v>
      </c>
      <c r="R186" s="213"/>
      <c r="S186" s="213" t="s">
        <v>190</v>
      </c>
      <c r="T186" s="213" t="s">
        <v>198</v>
      </c>
      <c r="U186" s="291">
        <f>((($I$134*$G$134)+($I$136*$G$136)+($I$139*$G$139))/1000)*$J$120</f>
        <v>1.6579999999999999</v>
      </c>
      <c r="V186" s="291">
        <v>300</v>
      </c>
      <c r="W186" s="292">
        <f>ROUNDUP((U186)/V186,0)</f>
        <v>1</v>
      </c>
      <c r="X186" s="56"/>
      <c r="Y186" s="56"/>
    </row>
    <row r="187" spans="1:25" s="1" customFormat="1" ht="18" customHeight="1">
      <c r="A187" s="126">
        <f t="shared" si="29"/>
        <v>13</v>
      </c>
      <c r="B187" s="139">
        <f>IF($D$129="Standard",O186,IF($D$129="Soumdproof",O187,))</f>
        <v>0</v>
      </c>
      <c r="C187" s="139">
        <f t="shared" ref="C187:I187" si="31">IF($D$129="Standard",P186,IF($D$129="Soumdproof",P187,))</f>
        <v>0</v>
      </c>
      <c r="D187" s="139">
        <f t="shared" si="31"/>
        <v>0</v>
      </c>
      <c r="E187" s="143">
        <f t="shared" si="31"/>
        <v>0</v>
      </c>
      <c r="F187" s="143">
        <f t="shared" si="31"/>
        <v>0</v>
      </c>
      <c r="G187" s="143">
        <f t="shared" si="31"/>
        <v>0</v>
      </c>
      <c r="H187" s="261">
        <f>IF($D$129="Standard",U186,IF($D$129="Soumdproof",U187,))</f>
        <v>0</v>
      </c>
      <c r="I187" s="258">
        <f t="shared" si="31"/>
        <v>0</v>
      </c>
      <c r="J187" s="267">
        <f>ROUNDUP((H187)/100,0)</f>
        <v>0</v>
      </c>
      <c r="N187" s="101" t="s">
        <v>241</v>
      </c>
      <c r="O187" s="290" t="s">
        <v>235</v>
      </c>
      <c r="P187" s="290" t="s">
        <v>238</v>
      </c>
      <c r="Q187" s="280" t="s">
        <v>71</v>
      </c>
      <c r="R187" s="213"/>
      <c r="S187" s="213" t="s">
        <v>71</v>
      </c>
      <c r="T187" s="213" t="s">
        <v>198</v>
      </c>
      <c r="U187" s="291">
        <f>((($I$134*$G$134)+($I$136*$G$136)+($I$139*$G$139))/1000)*$J$120</f>
        <v>1.6579999999999999</v>
      </c>
      <c r="V187" s="291">
        <v>100</v>
      </c>
      <c r="W187" s="292">
        <f t="shared" ref="W187:W189" si="32">ROUNDUP((U187)/V187,0)</f>
        <v>1</v>
      </c>
      <c r="X187" s="56"/>
      <c r="Y187" s="56"/>
    </row>
    <row r="188" spans="1:25" s="1" customFormat="1" ht="18" customHeight="1">
      <c r="A188" s="126">
        <f t="shared" si="29"/>
        <v>14</v>
      </c>
      <c r="B188" s="139">
        <f>IF($D$129="Standard",O188,IF($D$129="Soumdproof",O189,))</f>
        <v>0</v>
      </c>
      <c r="C188" s="139">
        <f t="shared" ref="C188:I188" si="33">IF($D$129="Standard",P188,IF($D$129="Soumdproof",P189,))</f>
        <v>0</v>
      </c>
      <c r="D188" s="139">
        <f t="shared" si="33"/>
        <v>0</v>
      </c>
      <c r="E188" s="143">
        <f t="shared" si="33"/>
        <v>0</v>
      </c>
      <c r="F188" s="143">
        <f t="shared" si="33"/>
        <v>0</v>
      </c>
      <c r="G188" s="143">
        <f t="shared" si="33"/>
        <v>0</v>
      </c>
      <c r="H188" s="261">
        <f>IF($D$129="Standard",U188,IF($D$129="Soumdproof",U189,))</f>
        <v>0</v>
      </c>
      <c r="I188" s="258">
        <f t="shared" si="33"/>
        <v>0</v>
      </c>
      <c r="J188" s="267">
        <f>ROUNDUP((H188)/100,0)</f>
        <v>0</v>
      </c>
      <c r="N188" s="101" t="s">
        <v>240</v>
      </c>
      <c r="O188" s="290" t="s">
        <v>245</v>
      </c>
      <c r="P188" s="290" t="s">
        <v>237</v>
      </c>
      <c r="Q188" s="280" t="s">
        <v>72</v>
      </c>
      <c r="R188" s="213"/>
      <c r="S188" s="213" t="s">
        <v>72</v>
      </c>
      <c r="T188" s="213" t="s">
        <v>198</v>
      </c>
      <c r="U188" s="291">
        <f>((($I$143*$G$143*2)+($I$144*$G$144*2)+($I$141*$G$141*2))/1000)*$J$120</f>
        <v>4.0735000000000001</v>
      </c>
      <c r="V188" s="291">
        <v>350</v>
      </c>
      <c r="W188" s="292">
        <f t="shared" si="32"/>
        <v>1</v>
      </c>
      <c r="X188" s="56"/>
      <c r="Y188" s="56"/>
    </row>
    <row r="189" spans="1:25" s="1" customFormat="1" ht="18" customHeight="1">
      <c r="A189" s="126">
        <f t="shared" si="29"/>
        <v>15</v>
      </c>
      <c r="B189" s="241" t="str">
        <f>IF($D$127=5,$O$177,IF($D$127=6,$O$178,IF($D$127=8,$O$179,IF($D$127=10,$O$177,IF($D$127=12,$O$177,IF($D$127=14,$O$179,IF($D$127=18,$O$177,IF($D$127=20,$O$178,IF($D$127=22,"")))))))))</f>
        <v>6,20 mm ยางอัดกระจก</v>
      </c>
      <c r="C189" s="241" t="str">
        <f>IF($D$127=5,$P$177,IF($D$127=6,$P$178,IF($D$127=8,$P$179,IF($D$127=10,$P$177,IF($D$127=12,$P$177,IF($D$127=14,$P$179,IF($D$127=18,$P$177,IF($D$127=20,$P$178,IF($D$127=22,"")))))))))</f>
        <v>6,20 mm ROLL IN WEDGE</v>
      </c>
      <c r="D189" s="241" t="str">
        <f>IF($D$127=5,$Q$177,IF($D$127=6,$Q$178,IF($D$127=8,$Q$179,IF($D$127=10,$Q$177,IF($D$127=12,$Q$177,IF($D$127=14,$Q$179,IF($D$127=18,$Q$177,IF($D$127=20,$Q$178,IF($D$127=22,"")))))))))</f>
        <v>02-034</v>
      </c>
      <c r="E189" s="241">
        <f t="shared" ref="E189" si="34">IF($D$129=5,R177,IF($D$129=6,R178,IF($D$129=8,R179,IF($D$129=10,R177,IF($D$129=12,R177,IF($D$129=14,R179,IF($D$129=18,R177,IF($D$129=20,R178,IF($D$129=22,"",)))))))))</f>
        <v>0</v>
      </c>
      <c r="F189" s="242" t="str">
        <f>IF($D$127=5,$S$177,IF($D$127=6,$S$178,IF($D$127=8,$S$179,IF($D$127=10,$S$177,IF($D$127=12,$S$177,IF($D$127=14,$S$179,IF($D$127=18,$S$177,IF($D$127=20,$S$178,IF($D$127=22,"")))))))))</f>
        <v>02-034</v>
      </c>
      <c r="G189" s="242" t="str">
        <f>IF($D$127=5,$T$177,IF($D$127=6,$T$178,IF($D$127=8,$T$179,IF($D$127=10,$T$177,IF($D$127=12,$T$177,IF($D$127=14,$T$179,IF($D$127=18,$T$177,IF($D$127=20,$T$178,IF($D$127=22,"")))))))))</f>
        <v>M</v>
      </c>
      <c r="H189" s="261">
        <f>IF($D$127=5,$U$177,IF($D$127=6,$U$178,IF($D$127=8,$U$179,IF($D$127=10,$U$177*2,IF($D$127=12,$U$177,IF($D$127=14,$U$179*2,IF($D$127=18,$U$177,IF($D$127=20,$U$178,IF($D$127=22,"")))))))))</f>
        <v>2.4415</v>
      </c>
      <c r="I189" s="258">
        <f>IF($D$127=5,$V$177,IF($D$127=6,$V$178,IF($D$127=8,$V$179,IF($D$127=10,$V$177,IF($D$127=12,$V$177,IF($D$127=14,$V$179,IF($D$127=18,$V$177,IF($D$127=20,$V$178,IF($D$127=22,"")))))))))</f>
        <v>100</v>
      </c>
      <c r="J189" s="260">
        <f>ROUNDUP((H189)/100,0)</f>
        <v>1</v>
      </c>
      <c r="N189" s="101" t="s">
        <v>241</v>
      </c>
      <c r="O189" s="290" t="s">
        <v>246</v>
      </c>
      <c r="P189" s="290" t="s">
        <v>239</v>
      </c>
      <c r="Q189" s="280" t="s">
        <v>193</v>
      </c>
      <c r="R189" s="213"/>
      <c r="S189" s="213" t="s">
        <v>193</v>
      </c>
      <c r="T189" s="213" t="s">
        <v>198</v>
      </c>
      <c r="U189" s="291">
        <f>((($I$143*$G$143*2)+($I$144*$G$144*2)+($I$141*$G$141*2))/1000)*$J$120</f>
        <v>4.0735000000000001</v>
      </c>
      <c r="V189" s="291">
        <v>100</v>
      </c>
      <c r="W189" s="292">
        <f t="shared" si="32"/>
        <v>1</v>
      </c>
      <c r="X189" s="56"/>
      <c r="Y189" s="56"/>
    </row>
    <row r="190" spans="1:25" s="1" customFormat="1" ht="18" customHeight="1">
      <c r="A190" s="126">
        <f t="shared" si="29"/>
        <v>16</v>
      </c>
      <c r="B190" s="241" t="str">
        <f>IF($D$127=5,$O$175,IF($D$127=6,$O$175,IF($D$127=8,$O$177,IF($D$127=10,"",IF($D$127=12,$O$176,IF($D$127=14,"",IF($D$127=18,$O$175,IF($D$127=20,$O$176,IF($D$127=22,"",)))))))))</f>
        <v>5,6,18 mm ยางรองกระจก</v>
      </c>
      <c r="C190" s="241" t="str">
        <f>IF($D$127=5,$P$175,IF($D$127=6,$P$175,IF($D$127=8,$P$177,IF($D$127=10,"",IF($D$127=12,$P$176,IF($D$127=14,"",IF($D$127=18,$P$175,IF($D$127=20,$P$176,IF($D$127=22,"",)))))))))</f>
        <v>5,6,18 mm CAPTIVE WEDGE</v>
      </c>
      <c r="D190" s="241" t="str">
        <f>IF($D$127=5,$Q$175,IF($D$127=6,$Q$175,IF($D$127=8,$Q$177,IF($D$127=10,"",IF($D$127=12,$Q$176,IF($D$127=14,"",IF($D$127=18,$Q$175,IF($D$127=20,$Q$176,IF($D$127=22,"",)))))))))</f>
        <v>02-022</v>
      </c>
      <c r="E190" s="241">
        <f t="shared" ref="E190" si="35">IF($D$129=5,R175,IF($D$129=6,R175,IF($D$129=8,R177,IF($D$129=10,"",IF($D$129=12,R176,IF($D$129=14,"",IF($D$129=18,R175,IF($D$129=20,R176,IF($D$129=22,"",)))))))))</f>
        <v>0</v>
      </c>
      <c r="F190" s="242" t="str">
        <f>IF($D$127=5,$S$175,IF($D$127=6,$S$175,IF($D$127=8,$S$177,IF($D$127=10,"",IF($D$127=12,$S$176,IF($D$127=14,"",IF($D$127=18,$S$175,IF($D$127=20,$S$176,IF($D$127=22,"",)))))))))</f>
        <v>02-022</v>
      </c>
      <c r="G190" s="242" t="str">
        <f>IF($D$127=5,$T$175,IF($D$127=6,$T$175,IF($D$127=8,$T$177,IF($D$127=10,"",IF($D$127=12,$T$176,IF($D$127=14,"",IF($D$127=18,$T$175,IF($D$127=20,$T$176,IF($D$127=22,"",)))))))))</f>
        <v>M</v>
      </c>
      <c r="H190" s="261">
        <f>IF($D$127=5,$U$175,IF($D$127=6,$U$175,IF($D$127=8,$U$177,IF($D$127=10,"",IF($D$127=12,$U$176,IF($D$127=14,"",IF($D$127=18,$U$175,IF($D$127=20,$U$176,IF($D$127=22,"")))))))))</f>
        <v>2.4415</v>
      </c>
      <c r="I190" s="258">
        <f>IF($D$127=5,$V$175,IF($D$127=6,$V$175,IF($D$127=8,$V$177,IF($D$127=10,"",IF($D$127=12,$V$176,IF($D$127=14,"",IF($D$127=18,$V$175,IF($D$127=20,$V$176,IF($D$127=22,"",)))))))))</f>
        <v>100</v>
      </c>
      <c r="J190" s="260">
        <f t="shared" ref="J190" si="36">ROUNDUP((H190)/100,0)</f>
        <v>1</v>
      </c>
      <c r="Y190" s="56"/>
    </row>
    <row r="191" spans="1:25" s="1" customFormat="1" ht="18" customHeight="1">
      <c r="A191" s="126" t="str">
        <f t="shared" si="29"/>
        <v/>
      </c>
      <c r="B191" s="127"/>
      <c r="C191" s="140"/>
      <c r="D191" s="128"/>
      <c r="E191" s="129"/>
      <c r="F191" s="129"/>
      <c r="G191" s="129"/>
      <c r="H191" s="129"/>
      <c r="I191" s="144"/>
      <c r="J191" s="131">
        <f t="shared" ref="J191:J199" si="37">$J$120*H191</f>
        <v>0</v>
      </c>
      <c r="N191" s="56"/>
      <c r="O191" s="56"/>
      <c r="P191" s="56"/>
      <c r="Q191" s="56"/>
      <c r="Y191" s="56"/>
    </row>
    <row r="192" spans="1:25" s="1" customFormat="1" ht="18" customHeight="1">
      <c r="A192" s="126" t="str">
        <f t="shared" si="29"/>
        <v/>
      </c>
      <c r="B192" s="127"/>
      <c r="C192" s="140"/>
      <c r="D192" s="128"/>
      <c r="E192" s="129"/>
      <c r="F192" s="129"/>
      <c r="G192" s="129"/>
      <c r="H192" s="129"/>
      <c r="I192" s="144"/>
      <c r="J192" s="131">
        <f t="shared" si="37"/>
        <v>0</v>
      </c>
      <c r="Y192" s="56"/>
    </row>
    <row r="193" spans="1:25" s="1" customFormat="1" ht="18" customHeight="1">
      <c r="A193" s="126" t="str">
        <f t="shared" ref="A193:A205" si="38">IF(B193="","",+A192+1)</f>
        <v/>
      </c>
      <c r="B193" s="127"/>
      <c r="C193" s="140"/>
      <c r="D193" s="128"/>
      <c r="E193" s="129"/>
      <c r="F193" s="129"/>
      <c r="G193" s="129"/>
      <c r="H193" s="129"/>
      <c r="I193" s="144"/>
      <c r="J193" s="131">
        <f t="shared" si="37"/>
        <v>0</v>
      </c>
      <c r="N193" s="56"/>
      <c r="O193" s="56"/>
      <c r="P193" s="56"/>
      <c r="Q193" s="56"/>
      <c r="Y193" s="56"/>
    </row>
    <row r="194" spans="1:25" s="1" customFormat="1" ht="18" customHeight="1">
      <c r="A194" s="126" t="str">
        <f t="shared" si="38"/>
        <v/>
      </c>
      <c r="B194" s="127"/>
      <c r="C194" s="140"/>
      <c r="D194" s="128"/>
      <c r="E194" s="129"/>
      <c r="F194" s="129"/>
      <c r="G194" s="129"/>
      <c r="H194" s="129"/>
      <c r="I194" s="144"/>
      <c r="J194" s="131">
        <f t="shared" si="37"/>
        <v>0</v>
      </c>
      <c r="Y194" s="56"/>
    </row>
    <row r="195" spans="1:25" ht="18" customHeight="1">
      <c r="A195" s="126" t="str">
        <f t="shared" si="38"/>
        <v/>
      </c>
      <c r="B195" s="127"/>
      <c r="C195" s="140"/>
      <c r="D195" s="128"/>
      <c r="E195" s="129"/>
      <c r="F195" s="129"/>
      <c r="G195" s="129"/>
      <c r="H195" s="129"/>
      <c r="I195" s="144"/>
      <c r="J195" s="131">
        <f t="shared" si="37"/>
        <v>0</v>
      </c>
      <c r="M195" s="1"/>
      <c r="N195" s="56"/>
      <c r="O195" s="56"/>
      <c r="P195" s="56"/>
      <c r="Q195" s="56"/>
      <c r="R195" s="1"/>
      <c r="S195" s="1"/>
      <c r="T195" s="1"/>
      <c r="U195" s="1"/>
      <c r="V195" s="1"/>
      <c r="W195" s="1"/>
      <c r="X195" s="1"/>
      <c r="Y195" s="3"/>
    </row>
    <row r="196" spans="1:25" s="1" customFormat="1" ht="18" customHeight="1">
      <c r="A196" s="126" t="str">
        <f t="shared" si="38"/>
        <v/>
      </c>
      <c r="B196" s="127"/>
      <c r="C196" s="140"/>
      <c r="D196" s="128"/>
      <c r="E196" s="129"/>
      <c r="F196" s="129"/>
      <c r="G196" s="129"/>
      <c r="H196" s="129"/>
      <c r="I196" s="144"/>
      <c r="J196" s="131">
        <f t="shared" si="37"/>
        <v>0</v>
      </c>
      <c r="N196" s="17"/>
      <c r="O196" s="30"/>
      <c r="P196" s="30"/>
      <c r="Q196" s="56"/>
      <c r="Y196" s="56"/>
    </row>
    <row r="197" spans="1:25" s="1" customFormat="1" ht="18" customHeight="1">
      <c r="A197" s="126" t="str">
        <f t="shared" si="38"/>
        <v/>
      </c>
      <c r="B197" s="127"/>
      <c r="C197" s="140"/>
      <c r="D197" s="128"/>
      <c r="E197" s="129"/>
      <c r="F197" s="129"/>
      <c r="G197" s="129"/>
      <c r="H197" s="129"/>
      <c r="I197" s="144"/>
      <c r="J197" s="131">
        <f t="shared" si="37"/>
        <v>0</v>
      </c>
      <c r="N197" s="17"/>
      <c r="O197" s="30"/>
      <c r="P197" s="30"/>
      <c r="Q197" s="56"/>
      <c r="Y197" s="56"/>
    </row>
    <row r="198" spans="1:25" s="1" customFormat="1" ht="18" customHeight="1">
      <c r="A198" s="126" t="str">
        <f>IF(B198="","",+#REF!+1)</f>
        <v/>
      </c>
      <c r="B198" s="127"/>
      <c r="C198" s="140"/>
      <c r="D198" s="128"/>
      <c r="E198" s="129"/>
      <c r="F198" s="129"/>
      <c r="G198" s="129"/>
      <c r="H198" s="129"/>
      <c r="I198" s="144"/>
      <c r="J198" s="131">
        <f t="shared" si="37"/>
        <v>0</v>
      </c>
      <c r="N198" s="17"/>
      <c r="O198" s="30"/>
      <c r="P198" s="30"/>
      <c r="Q198" s="56"/>
    </row>
    <row r="199" spans="1:25" s="1" customFormat="1" ht="18" customHeight="1">
      <c r="A199" s="126" t="str">
        <f t="shared" si="38"/>
        <v/>
      </c>
      <c r="B199" s="127"/>
      <c r="C199" s="140"/>
      <c r="D199" s="128"/>
      <c r="E199" s="129"/>
      <c r="F199" s="129"/>
      <c r="G199" s="129"/>
      <c r="H199" s="129"/>
      <c r="I199" s="144"/>
      <c r="J199" s="131">
        <f t="shared" si="37"/>
        <v>0</v>
      </c>
      <c r="N199" s="17"/>
      <c r="O199" s="30"/>
      <c r="P199" s="333"/>
      <c r="Q199" s="56"/>
    </row>
    <row r="200" spans="1:25" s="1" customFormat="1" ht="18" customHeight="1">
      <c r="A200" s="126"/>
      <c r="B200" s="127"/>
      <c r="C200" s="140"/>
      <c r="D200" s="128"/>
      <c r="E200" s="129"/>
      <c r="F200" s="129"/>
      <c r="G200" s="129"/>
      <c r="H200" s="129"/>
      <c r="I200" s="144"/>
      <c r="J200" s="131"/>
      <c r="N200" s="17"/>
      <c r="O200" s="30"/>
      <c r="P200" s="333"/>
      <c r="Q200" s="56"/>
    </row>
    <row r="201" spans="1:25" s="1" customFormat="1" ht="18" customHeight="1">
      <c r="A201" s="126"/>
      <c r="B201" s="127"/>
      <c r="C201" s="140"/>
      <c r="D201" s="128"/>
      <c r="E201" s="129"/>
      <c r="F201" s="129"/>
      <c r="G201" s="129"/>
      <c r="H201" s="129"/>
      <c r="I201" s="144"/>
      <c r="J201" s="131"/>
      <c r="N201" s="17"/>
      <c r="O201" s="30"/>
      <c r="P201" s="333"/>
      <c r="Q201" s="56"/>
    </row>
    <row r="202" spans="1:25" s="1" customFormat="1" ht="18" customHeight="1">
      <c r="A202" s="126" t="str">
        <f>IF(B202="","",+A199+1)</f>
        <v/>
      </c>
      <c r="B202" s="127"/>
      <c r="C202" s="140"/>
      <c r="D202" s="128"/>
      <c r="E202" s="129"/>
      <c r="F202" s="129"/>
      <c r="G202" s="129"/>
      <c r="H202" s="129"/>
      <c r="I202" s="144"/>
      <c r="J202" s="131">
        <f t="shared" ref="J202:J205" si="39">$J$120*H202</f>
        <v>0</v>
      </c>
      <c r="N202" s="17"/>
      <c r="O202" s="30"/>
      <c r="P202" s="56"/>
      <c r="Q202" s="56"/>
    </row>
    <row r="203" spans="1:25" s="1" customFormat="1" ht="18" customHeight="1">
      <c r="A203" s="126" t="str">
        <f>IF(B203="","",+#REF!+1)</f>
        <v/>
      </c>
      <c r="B203" s="127"/>
      <c r="C203" s="140"/>
      <c r="D203" s="128"/>
      <c r="E203" s="129"/>
      <c r="F203" s="129"/>
      <c r="G203" s="129"/>
      <c r="H203" s="129"/>
      <c r="I203" s="144"/>
      <c r="J203" s="131">
        <f t="shared" si="39"/>
        <v>0</v>
      </c>
      <c r="N203" s="17"/>
      <c r="O203" s="30"/>
      <c r="P203" s="56"/>
      <c r="Q203" s="56"/>
    </row>
    <row r="204" spans="1:25" s="1" customFormat="1" ht="18" customHeight="1">
      <c r="A204" s="126" t="str">
        <f t="shared" si="38"/>
        <v/>
      </c>
      <c r="B204" s="127"/>
      <c r="C204" s="140"/>
      <c r="D204" s="128"/>
      <c r="E204" s="129"/>
      <c r="F204" s="129"/>
      <c r="G204" s="129"/>
      <c r="H204" s="129"/>
      <c r="I204" s="144"/>
      <c r="J204" s="131">
        <f t="shared" si="39"/>
        <v>0</v>
      </c>
      <c r="N204" s="17"/>
      <c r="O204" s="30"/>
      <c r="P204" s="56"/>
      <c r="Q204" s="56"/>
    </row>
    <row r="205" spans="1:25" s="1" customFormat="1" ht="18" customHeight="1">
      <c r="A205" s="132" t="str">
        <f t="shared" si="38"/>
        <v/>
      </c>
      <c r="B205" s="133"/>
      <c r="C205" s="142"/>
      <c r="D205" s="134"/>
      <c r="E205" s="135"/>
      <c r="F205" s="135"/>
      <c r="G205" s="135"/>
      <c r="H205" s="135"/>
      <c r="I205" s="145"/>
      <c r="J205" s="293">
        <f t="shared" si="39"/>
        <v>0</v>
      </c>
      <c r="N205" s="17"/>
      <c r="O205" s="30"/>
      <c r="P205" s="56"/>
      <c r="Q205" s="56"/>
    </row>
    <row r="206" spans="1:25" ht="18" customHeight="1">
      <c r="A206" s="109"/>
      <c r="B206" s="33"/>
      <c r="C206" s="33"/>
      <c r="D206" s="161"/>
      <c r="E206" s="109"/>
      <c r="F206" s="109"/>
      <c r="G206" s="109"/>
      <c r="H206" s="109"/>
      <c r="I206" s="294"/>
      <c r="J206" s="99" t="str">
        <f>LEFT($J$111,10)&amp;"-02"</f>
        <v>FG-240-2PL-02</v>
      </c>
      <c r="N206" s="17"/>
      <c r="O206" s="30"/>
      <c r="P206" s="3"/>
      <c r="Q206" s="3"/>
    </row>
    <row r="207" spans="1:25" ht="12.75" customHeight="1">
      <c r="K207" s="7"/>
      <c r="L207" s="7"/>
      <c r="M207" s="2"/>
      <c r="N207" s="17"/>
      <c r="O207" s="30"/>
      <c r="P207" s="3"/>
      <c r="Q207" s="3"/>
    </row>
    <row r="208" spans="1:25" ht="30" customHeight="1">
      <c r="B208" s="6"/>
      <c r="C208" s="5"/>
      <c r="D208" s="95"/>
      <c r="E208" s="95"/>
      <c r="F208" s="95"/>
      <c r="G208" s="95"/>
      <c r="H208" s="95"/>
      <c r="I208" s="95"/>
      <c r="J208" s="90" t="str">
        <f>$J$2</f>
        <v>HOMELIFE</v>
      </c>
      <c r="K208" s="11"/>
      <c r="L208" s="11"/>
      <c r="M208" s="2"/>
      <c r="N208" s="17"/>
      <c r="O208" s="30"/>
      <c r="P208" s="3"/>
      <c r="Q208" s="3"/>
    </row>
    <row r="209" spans="1:17" ht="24.9" customHeight="1">
      <c r="B209" s="6"/>
      <c r="C209" s="28"/>
      <c r="D209" s="28"/>
      <c r="E209" s="28"/>
      <c r="F209" s="28"/>
      <c r="G209" s="28"/>
      <c r="H209" s="28"/>
      <c r="I209" s="28"/>
      <c r="J209" s="91" t="str">
        <f>$J$3</f>
        <v>Fabricators Guide</v>
      </c>
      <c r="K209" s="11"/>
      <c r="L209" s="11"/>
      <c r="M209" s="2"/>
      <c r="N209" s="17"/>
      <c r="O209" s="30"/>
      <c r="P209" s="3"/>
      <c r="Q209" s="3"/>
    </row>
    <row r="210" spans="1:17" ht="24.9" customHeight="1">
      <c r="B210" s="8"/>
      <c r="C210" s="28"/>
      <c r="D210" s="28"/>
      <c r="E210" s="28"/>
      <c r="F210" s="28"/>
      <c r="G210" s="28"/>
      <c r="H210" s="28"/>
      <c r="I210" s="28"/>
      <c r="J210" s="91" t="str">
        <f>$J$4</f>
        <v xml:space="preserve">240 Series Bi Fold Door </v>
      </c>
      <c r="K210" s="48"/>
      <c r="L210" s="48"/>
      <c r="M210" s="4"/>
      <c r="N210" s="17"/>
      <c r="O210" s="30"/>
      <c r="P210" s="3"/>
      <c r="Q210" s="3"/>
    </row>
    <row r="211" spans="1:17" s="1" customFormat="1" ht="15" customHeight="1" thickBot="1">
      <c r="A211" s="78"/>
      <c r="B211" s="78"/>
      <c r="C211" s="78"/>
      <c r="D211" s="82"/>
      <c r="E211" s="78"/>
      <c r="F211" s="78"/>
      <c r="G211" s="78"/>
      <c r="H211" s="78"/>
      <c r="I211" s="78"/>
      <c r="J211" s="113"/>
      <c r="K211" s="4"/>
      <c r="L211" s="4"/>
      <c r="M211" s="4"/>
      <c r="N211" s="17"/>
      <c r="O211" s="30"/>
      <c r="P211" s="56"/>
      <c r="Q211" s="56"/>
    </row>
    <row r="212" spans="1:17" s="1" customFormat="1" ht="24.9" customHeight="1" thickBot="1">
      <c r="A212" s="502" t="s">
        <v>30</v>
      </c>
      <c r="B212" s="503"/>
      <c r="C212" s="503"/>
      <c r="D212" s="503"/>
      <c r="E212" s="503"/>
      <c r="F212" s="503"/>
      <c r="G212" s="503"/>
      <c r="H212" s="503"/>
      <c r="I212" s="503"/>
      <c r="J212" s="504"/>
      <c r="K212" s="20"/>
      <c r="L212" s="20"/>
      <c r="M212" s="20"/>
      <c r="N212" s="17"/>
      <c r="O212" s="30"/>
      <c r="P212" s="56"/>
      <c r="Q212" s="56"/>
    </row>
    <row r="213" spans="1:17">
      <c r="N213" s="17"/>
      <c r="O213" s="30"/>
      <c r="P213" s="3"/>
      <c r="Q213" s="3"/>
    </row>
    <row r="214" spans="1:17">
      <c r="N214" s="17"/>
      <c r="O214" s="30"/>
      <c r="P214" s="3"/>
      <c r="Q214" s="3"/>
    </row>
    <row r="215" spans="1:17">
      <c r="N215" s="17"/>
      <c r="O215" s="30"/>
      <c r="P215" s="3"/>
      <c r="Q215" s="3"/>
    </row>
    <row r="216" spans="1:17" ht="15.6">
      <c r="A216" s="17"/>
      <c r="B216" s="56"/>
      <c r="C216" s="328"/>
      <c r="D216" s="30"/>
      <c r="E216" s="29"/>
      <c r="F216" s="30"/>
      <c r="G216" s="1"/>
      <c r="H216" s="1"/>
      <c r="N216" s="17"/>
      <c r="O216" s="30"/>
      <c r="P216" s="3"/>
      <c r="Q216" s="3"/>
    </row>
    <row r="217" spans="1:17" ht="15.6">
      <c r="A217" s="109"/>
      <c r="B217" s="33"/>
      <c r="C217" s="327"/>
      <c r="D217" s="161"/>
      <c r="E217" s="109"/>
      <c r="F217" s="161"/>
      <c r="G217" s="1"/>
      <c r="H217" s="328"/>
      <c r="N217" s="17"/>
      <c r="O217" s="30"/>
      <c r="P217" s="3"/>
      <c r="Q217" s="3"/>
    </row>
    <row r="218" spans="1:17" s="1" customFormat="1" ht="15" customHeight="1">
      <c r="A218" s="93"/>
      <c r="B218" s="93"/>
      <c r="C218" s="56"/>
      <c r="D218" s="30"/>
      <c r="E218" s="29"/>
      <c r="F218" s="160"/>
      <c r="H218" s="328"/>
      <c r="I218" s="160"/>
      <c r="J218" s="116"/>
      <c r="N218" s="17"/>
      <c r="O218" s="30"/>
      <c r="P218" s="56"/>
      <c r="Q218" s="56"/>
    </row>
    <row r="219" spans="1:17" s="1" customFormat="1" ht="15" customHeight="1">
      <c r="A219" s="17"/>
      <c r="B219" s="56"/>
      <c r="C219" s="89" t="s">
        <v>272</v>
      </c>
      <c r="D219" s="30"/>
      <c r="E219" s="29"/>
      <c r="F219" s="30"/>
      <c r="J219" s="17"/>
      <c r="N219" s="56"/>
      <c r="O219" s="56"/>
      <c r="P219" s="56"/>
      <c r="Q219" s="56"/>
    </row>
    <row r="220" spans="1:17" s="1" customFormat="1" ht="15" customHeight="1">
      <c r="A220" s="17"/>
      <c r="B220" s="56"/>
      <c r="C220" s="328" t="s">
        <v>275</v>
      </c>
      <c r="D220" s="30"/>
      <c r="E220" s="29"/>
      <c r="F220" s="30"/>
      <c r="H220" s="89"/>
      <c r="J220" s="17"/>
      <c r="N220" s="56"/>
      <c r="O220" s="56"/>
      <c r="P220" s="56"/>
      <c r="Q220" s="56"/>
    </row>
    <row r="221" spans="1:17" s="1" customFormat="1" ht="15.6">
      <c r="A221" s="109"/>
      <c r="B221" s="33"/>
      <c r="C221" s="327" t="s">
        <v>273</v>
      </c>
      <c r="D221" s="161"/>
      <c r="E221" s="109"/>
      <c r="F221" s="161"/>
      <c r="J221" s="109"/>
      <c r="N221" s="56"/>
      <c r="O221" s="56"/>
      <c r="P221" s="56"/>
      <c r="Q221" s="56"/>
    </row>
    <row r="222" spans="1:17" s="1" customFormat="1" ht="15" customHeight="1">
      <c r="A222" s="109"/>
      <c r="B222" s="33"/>
      <c r="C222" s="374">
        <f>$I$133</f>
        <v>640</v>
      </c>
      <c r="D222" s="161"/>
      <c r="E222" s="35"/>
      <c r="F222" s="161"/>
      <c r="G222" s="68"/>
      <c r="I222" s="109"/>
      <c r="J222" s="109"/>
      <c r="N222" s="56"/>
      <c r="O222" s="56"/>
      <c r="P222" s="56"/>
      <c r="Q222" s="56"/>
    </row>
    <row r="223" spans="1:17" s="1" customFormat="1" ht="15" customHeight="1">
      <c r="A223" s="109"/>
      <c r="B223" s="33"/>
      <c r="C223" s="363">
        <f>$J$133</f>
        <v>1</v>
      </c>
      <c r="D223" s="161"/>
      <c r="E223" s="35"/>
      <c r="F223" s="161"/>
      <c r="G223" s="326"/>
      <c r="I223" s="109"/>
      <c r="J223" s="109"/>
      <c r="N223" s="56"/>
      <c r="O223" s="56"/>
      <c r="P223" s="56"/>
      <c r="Q223" s="56"/>
    </row>
    <row r="224" spans="1:17" s="1" customFormat="1" ht="15" customHeight="1">
      <c r="A224" s="109"/>
      <c r="B224" s="33"/>
      <c r="D224" s="161"/>
      <c r="E224" s="109"/>
      <c r="F224" s="161"/>
      <c r="G224" s="326"/>
      <c r="J224" s="12"/>
      <c r="N224" s="56"/>
      <c r="O224" s="56"/>
      <c r="P224" s="56"/>
      <c r="Q224" s="56"/>
    </row>
    <row r="225" spans="1:17" s="1" customFormat="1" ht="15" customHeight="1">
      <c r="A225" s="92"/>
      <c r="B225" s="92"/>
      <c r="C225" s="13"/>
      <c r="D225" s="161"/>
      <c r="E225" s="109"/>
      <c r="F225" s="161"/>
      <c r="G225" s="68"/>
      <c r="J225" s="12"/>
      <c r="N225" s="56"/>
      <c r="O225" s="56"/>
      <c r="P225" s="56"/>
      <c r="Q225" s="56"/>
    </row>
    <row r="226" spans="1:17" s="1" customFormat="1" ht="15" customHeight="1">
      <c r="A226" s="92"/>
      <c r="B226" s="92"/>
      <c r="C226" s="13"/>
      <c r="D226" s="161"/>
      <c r="E226" s="109"/>
      <c r="F226" s="161"/>
      <c r="H226" s="109"/>
      <c r="J226" s="12"/>
      <c r="N226" s="56"/>
      <c r="O226" s="56"/>
      <c r="P226" s="56"/>
      <c r="Q226" s="56"/>
    </row>
    <row r="227" spans="1:17" s="1" customFormat="1" ht="15" customHeight="1">
      <c r="A227" s="92"/>
      <c r="B227" s="92"/>
      <c r="C227" s="13"/>
      <c r="D227" s="161"/>
      <c r="E227" s="109"/>
      <c r="F227" s="161"/>
      <c r="H227" s="109"/>
      <c r="I227" s="109"/>
      <c r="J227" s="109"/>
      <c r="N227" s="56"/>
      <c r="O227" s="56"/>
      <c r="P227" s="56"/>
      <c r="Q227" s="56"/>
    </row>
    <row r="228" spans="1:17" s="1" customFormat="1" ht="15" customHeight="1">
      <c r="A228" s="92"/>
      <c r="B228" s="92"/>
      <c r="C228" s="327"/>
      <c r="D228" s="161"/>
      <c r="E228" s="109"/>
      <c r="F228" s="161"/>
      <c r="H228" s="109"/>
      <c r="I228" s="109"/>
      <c r="J228" s="109"/>
      <c r="N228" s="56"/>
      <c r="O228" s="56"/>
      <c r="P228" s="56"/>
      <c r="Q228" s="56"/>
    </row>
    <row r="229" spans="1:17" s="1" customFormat="1" ht="15" customHeight="1">
      <c r="A229" s="92"/>
      <c r="B229" s="92"/>
      <c r="C229" s="340"/>
      <c r="D229" s="161"/>
      <c r="E229" s="109"/>
      <c r="F229" s="161"/>
      <c r="H229" s="109"/>
      <c r="I229" s="109"/>
      <c r="J229" s="109"/>
      <c r="N229" s="56"/>
      <c r="O229" s="56"/>
      <c r="P229" s="56"/>
      <c r="Q229" s="56"/>
    </row>
    <row r="230" spans="1:17" s="1" customFormat="1" ht="15.9" customHeight="1">
      <c r="A230" s="45"/>
      <c r="B230" s="45"/>
      <c r="D230" s="161"/>
      <c r="E230" s="109"/>
      <c r="F230" s="161"/>
      <c r="I230" s="109"/>
      <c r="J230" s="109"/>
      <c r="N230" s="56"/>
      <c r="O230" s="56"/>
      <c r="P230" s="56"/>
      <c r="Q230" s="56"/>
    </row>
    <row r="231" spans="1:17" s="1" customFormat="1" ht="15.9" customHeight="1">
      <c r="A231" s="109"/>
      <c r="B231" s="109"/>
      <c r="D231" s="161"/>
      <c r="E231" s="109"/>
      <c r="F231" s="161"/>
      <c r="I231" s="109"/>
      <c r="J231" s="109"/>
    </row>
    <row r="232" spans="1:17" s="1" customFormat="1" ht="15.9" customHeight="1">
      <c r="A232" s="39"/>
      <c r="B232" s="38"/>
      <c r="D232" s="161"/>
      <c r="E232" s="109"/>
      <c r="F232" s="109"/>
      <c r="I232" s="32"/>
      <c r="J232" s="40"/>
    </row>
    <row r="233" spans="1:17" s="1" customFormat="1" ht="15.9" customHeight="1">
      <c r="A233" s="44"/>
      <c r="B233" s="44"/>
      <c r="C233" s="89" t="s">
        <v>274</v>
      </c>
      <c r="D233" s="84"/>
      <c r="E233" s="44"/>
      <c r="F233" s="44"/>
      <c r="G233" s="109"/>
      <c r="H233" s="109"/>
      <c r="I233" s="319"/>
      <c r="J233" s="117"/>
    </row>
    <row r="234" spans="1:17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I234" s="319"/>
      <c r="J234" s="117"/>
    </row>
    <row r="235" spans="1:17" s="1" customFormat="1" ht="15.9" customHeight="1">
      <c r="A235" s="109"/>
      <c r="B235" s="33"/>
      <c r="C235" s="327" t="s">
        <v>653</v>
      </c>
      <c r="D235" s="161"/>
      <c r="E235" s="109"/>
      <c r="F235" s="161"/>
      <c r="G235" s="109"/>
      <c r="H235" s="109"/>
      <c r="I235" s="319"/>
      <c r="J235" s="117"/>
    </row>
    <row r="236" spans="1:17" s="1" customFormat="1" ht="15.9" customHeight="1">
      <c r="A236" s="109"/>
      <c r="B236" s="33"/>
      <c r="C236" s="374">
        <f>$I$134</f>
        <v>614</v>
      </c>
      <c r="D236" s="161"/>
      <c r="E236" s="109"/>
      <c r="F236" s="161"/>
      <c r="G236" s="109"/>
      <c r="H236" s="109"/>
      <c r="I236" s="319"/>
      <c r="J236" s="117"/>
    </row>
    <row r="237" spans="1:17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319"/>
      <c r="J237" s="117"/>
    </row>
    <row r="238" spans="1:17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J238" s="12"/>
    </row>
    <row r="239" spans="1:17" s="1" customFormat="1" ht="15.9" customHeight="1">
      <c r="A239" s="109"/>
      <c r="B239" s="33"/>
      <c r="D239" s="161"/>
      <c r="E239" s="109"/>
      <c r="F239" s="161"/>
      <c r="G239" s="109"/>
      <c r="H239" s="109"/>
      <c r="I239" s="109"/>
      <c r="J239" s="24"/>
    </row>
    <row r="240" spans="1:17" s="1" customFormat="1" ht="15.9" customHeight="1">
      <c r="A240" s="109"/>
      <c r="B240" s="33"/>
      <c r="D240" s="161"/>
      <c r="E240" s="109"/>
      <c r="F240" s="161"/>
      <c r="G240" s="109"/>
      <c r="H240" s="109"/>
      <c r="I240" s="109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109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36"/>
      <c r="I242" s="89"/>
      <c r="J242" s="118"/>
    </row>
    <row r="243" spans="1:10" s="1" customFormat="1" ht="15.9" customHeight="1">
      <c r="A243" s="109"/>
      <c r="B243" s="33"/>
      <c r="D243" s="161"/>
      <c r="E243" s="109"/>
      <c r="F243" s="161"/>
      <c r="G243" s="109"/>
      <c r="H243" s="109"/>
      <c r="I243" s="319"/>
      <c r="J243" s="117"/>
    </row>
    <row r="244" spans="1:10" s="1" customFormat="1" ht="15.9" customHeight="1">
      <c r="A244" s="109"/>
      <c r="B244" s="33"/>
      <c r="C244" s="89" t="s">
        <v>276</v>
      </c>
      <c r="D244" s="161"/>
      <c r="E244" s="109"/>
      <c r="F244" s="161"/>
      <c r="G244" s="109"/>
      <c r="H244" s="109"/>
      <c r="I244" s="319"/>
      <c r="J244" s="117"/>
    </row>
    <row r="245" spans="1:10" s="1" customFormat="1" ht="15.9" customHeight="1">
      <c r="A245" s="109"/>
      <c r="B245" s="33"/>
      <c r="C245" s="328" t="s">
        <v>275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27" t="s">
        <v>273</v>
      </c>
      <c r="D246" s="161"/>
      <c r="E246" s="109"/>
      <c r="F246" s="161"/>
      <c r="G246" s="109"/>
      <c r="H246" s="109"/>
      <c r="I246" s="24"/>
      <c r="J246" s="24"/>
    </row>
    <row r="247" spans="1:10" s="1" customFormat="1" ht="15.9" customHeight="1">
      <c r="A247" s="109"/>
      <c r="B247" s="33"/>
      <c r="C247" s="374">
        <f>$I$135</f>
        <v>640</v>
      </c>
      <c r="D247" s="161"/>
      <c r="E247" s="109"/>
      <c r="F247" s="161"/>
      <c r="G247" s="109"/>
      <c r="H247" s="109"/>
      <c r="I247" s="109"/>
      <c r="J247" s="24"/>
    </row>
    <row r="248" spans="1:10" s="1" customFormat="1" ht="15.9" customHeight="1">
      <c r="A248" s="109"/>
      <c r="B248" s="33"/>
      <c r="C248" s="363">
        <f>$J$135</f>
        <v>1</v>
      </c>
      <c r="D248" s="161"/>
      <c r="E248" s="109"/>
      <c r="F248" s="161"/>
      <c r="G248" s="109"/>
      <c r="H248" s="109"/>
      <c r="I248" s="24"/>
      <c r="J248" s="24"/>
    </row>
    <row r="249" spans="1:10" s="1" customFormat="1" ht="15.9" customHeight="1">
      <c r="A249" s="109"/>
      <c r="B249" s="33"/>
      <c r="C249" s="161"/>
      <c r="D249" s="161"/>
      <c r="E249" s="109"/>
      <c r="F249" s="161"/>
      <c r="G249" s="109"/>
      <c r="H249" s="109"/>
      <c r="I249" s="24"/>
      <c r="J249" s="24"/>
    </row>
    <row r="250" spans="1:10" s="1" customFormat="1" ht="15" customHeight="1">
      <c r="A250" s="109"/>
      <c r="B250" s="33"/>
      <c r="C250" s="33"/>
      <c r="D250" s="161"/>
      <c r="E250" s="109"/>
      <c r="F250" s="109"/>
      <c r="G250" s="44"/>
      <c r="H250" s="109"/>
      <c r="I250" s="24"/>
      <c r="J250" s="24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4"/>
      <c r="H251" s="109"/>
      <c r="I251" s="44"/>
      <c r="J251" s="119"/>
    </row>
    <row r="252" spans="1:10" s="1" customFormat="1" ht="15.9" customHeight="1">
      <c r="A252" s="109"/>
      <c r="B252" s="33"/>
      <c r="C252" s="33"/>
      <c r="D252" s="161"/>
      <c r="E252" s="109"/>
      <c r="F252" s="109"/>
      <c r="G252" s="44"/>
      <c r="H252" s="109"/>
      <c r="I252" s="44"/>
      <c r="J252" s="119"/>
    </row>
    <row r="253" spans="1:10" s="1" customFormat="1" ht="15.9" customHeight="1">
      <c r="A253" s="109"/>
      <c r="B253" s="33"/>
      <c r="C253" s="33"/>
      <c r="D253" s="161"/>
      <c r="E253" s="109"/>
      <c r="F253" s="109"/>
      <c r="G253" s="40"/>
      <c r="H253" s="109"/>
      <c r="I253" s="32"/>
      <c r="J253" s="40"/>
    </row>
    <row r="254" spans="1:10" s="1" customFormat="1" ht="15.9" customHeight="1">
      <c r="A254" s="109"/>
      <c r="B254" s="33"/>
      <c r="D254" s="161"/>
      <c r="E254" s="109"/>
      <c r="F254" s="109"/>
      <c r="G254" s="109"/>
      <c r="H254" s="109"/>
      <c r="J254" s="12"/>
    </row>
    <row r="255" spans="1:10" s="1" customFormat="1" ht="15.9" customHeight="1">
      <c r="A255" s="44"/>
      <c r="B255" s="44"/>
      <c r="D255" s="84"/>
      <c r="E255" s="44"/>
      <c r="F255" s="44"/>
      <c r="G255" s="109"/>
      <c r="H255" s="109"/>
      <c r="J255" s="12"/>
    </row>
    <row r="256" spans="1:10" s="1" customFormat="1" ht="15.9" customHeight="1">
      <c r="A256" s="40"/>
      <c r="B256" s="40"/>
      <c r="C256" s="89" t="s">
        <v>277</v>
      </c>
      <c r="D256" s="85"/>
      <c r="E256" s="40"/>
      <c r="F256" s="32"/>
      <c r="G256" s="109"/>
      <c r="J256" s="12"/>
    </row>
    <row r="257" spans="1:10" s="1" customFormat="1" ht="15.9" customHeight="1">
      <c r="A257" s="27"/>
      <c r="B257" s="33"/>
      <c r="C257" s="328" t="s">
        <v>275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27" t="s">
        <v>273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74">
        <f>$I$136</f>
        <v>640</v>
      </c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63">
        <f>$J$136</f>
        <v>1</v>
      </c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33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33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33"/>
      <c r="D264" s="161"/>
      <c r="E264" s="109"/>
      <c r="F264" s="109"/>
      <c r="G264" s="109"/>
      <c r="I264" s="24"/>
      <c r="J264" s="24"/>
    </row>
    <row r="265" spans="1:10" s="1" customFormat="1" ht="15.9" customHeight="1">
      <c r="A265" s="27"/>
      <c r="B265" s="33"/>
      <c r="C265" s="46"/>
      <c r="D265" s="161"/>
      <c r="E265" s="109"/>
      <c r="F265" s="109"/>
      <c r="G265" s="109"/>
      <c r="I265" s="24"/>
      <c r="J265" s="24"/>
    </row>
    <row r="266" spans="1:10" s="1" customFormat="1" ht="15.9" customHeight="1">
      <c r="A266" s="27"/>
      <c r="B266" s="33"/>
      <c r="C266" s="161"/>
      <c r="D266" s="161"/>
      <c r="E266" s="109"/>
      <c r="F266" s="109"/>
      <c r="G266" s="109"/>
      <c r="I266" s="24"/>
      <c r="J266" s="24"/>
    </row>
    <row r="267" spans="1:10" s="1" customFormat="1" ht="15.9" customHeight="1">
      <c r="A267" s="27"/>
      <c r="B267" s="33"/>
      <c r="C267" s="33"/>
      <c r="D267" s="161"/>
      <c r="E267" s="109"/>
      <c r="F267" s="109"/>
      <c r="G267" s="109"/>
      <c r="I267" s="24"/>
      <c r="J267" s="24"/>
    </row>
    <row r="268" spans="1:10" s="1" customFormat="1" ht="15.9" customHeight="1">
      <c r="A268" s="27"/>
      <c r="B268" s="33"/>
      <c r="C268" s="89" t="s">
        <v>278</v>
      </c>
      <c r="D268" s="161"/>
      <c r="E268" s="109"/>
      <c r="F268" s="109"/>
      <c r="G268" s="109"/>
      <c r="H268" s="109"/>
      <c r="I268" s="24"/>
      <c r="J268" s="24"/>
    </row>
    <row r="269" spans="1:10" s="1" customFormat="1" ht="15.9" customHeight="1">
      <c r="A269" s="27"/>
      <c r="B269" s="33"/>
      <c r="C269" s="328" t="s">
        <v>287</v>
      </c>
      <c r="D269" s="328"/>
      <c r="E269" s="328"/>
      <c r="F269" s="109"/>
      <c r="G269" s="109"/>
      <c r="H269" s="109"/>
      <c r="I269" s="24"/>
      <c r="J269" s="24"/>
    </row>
    <row r="270" spans="1:10" s="1" customFormat="1" ht="15.9" customHeight="1">
      <c r="A270" s="27"/>
      <c r="B270" s="33"/>
      <c r="C270" s="327" t="s">
        <v>279</v>
      </c>
      <c r="D270" s="327"/>
      <c r="E270" s="327"/>
      <c r="F270" s="109"/>
      <c r="G270" s="109"/>
      <c r="H270" s="109"/>
      <c r="I270" s="24"/>
      <c r="J270" s="24"/>
    </row>
    <row r="271" spans="1:10" s="1" customFormat="1" ht="15.9" customHeight="1">
      <c r="A271" s="27"/>
      <c r="B271" s="33"/>
      <c r="C271" s="374">
        <f>$I$137</f>
        <v>500</v>
      </c>
      <c r="D271" s="161"/>
      <c r="E271" s="109"/>
      <c r="F271" s="109"/>
      <c r="G271" s="33"/>
      <c r="H271" s="33"/>
      <c r="I271" s="24"/>
      <c r="J271" s="24"/>
    </row>
    <row r="272" spans="1:10" s="1" customFormat="1" ht="15.9" customHeight="1">
      <c r="A272" s="27"/>
      <c r="B272" s="33"/>
      <c r="C272" s="363">
        <f>$J$137+$J$138</f>
        <v>2</v>
      </c>
      <c r="D272" s="161"/>
      <c r="E272" s="109"/>
      <c r="F272" s="109"/>
      <c r="G272" s="109"/>
      <c r="H272" s="109"/>
      <c r="I272" s="24"/>
      <c r="J272" s="24"/>
    </row>
    <row r="273" spans="1:10" s="1" customFormat="1" ht="15.9" customHeight="1">
      <c r="A273" s="27"/>
      <c r="B273" s="33"/>
      <c r="D273" s="89"/>
      <c r="E273" s="89"/>
      <c r="F273" s="109"/>
      <c r="G273" s="109"/>
      <c r="H273" s="109"/>
      <c r="I273" s="24"/>
      <c r="J273" s="24"/>
    </row>
    <row r="274" spans="1:10" s="1" customFormat="1" ht="15.9" customHeight="1">
      <c r="A274" s="27"/>
      <c r="B274" s="33"/>
      <c r="D274" s="89"/>
      <c r="E274" s="89"/>
      <c r="F274" s="109"/>
      <c r="G274" s="109"/>
      <c r="H274" s="109"/>
      <c r="J274" s="12"/>
    </row>
    <row r="275" spans="1:10" s="1" customFormat="1" ht="15.9" customHeight="1">
      <c r="A275" s="27"/>
      <c r="D275" s="328"/>
      <c r="E275" s="328"/>
      <c r="F275" s="109"/>
      <c r="G275" s="109"/>
      <c r="H275" s="109"/>
      <c r="J275" s="12"/>
    </row>
    <row r="276" spans="1:10" s="1" customFormat="1" ht="15.9" customHeight="1">
      <c r="A276" s="27"/>
      <c r="D276" s="328"/>
      <c r="E276" s="328"/>
      <c r="F276" s="109"/>
      <c r="G276" s="109"/>
      <c r="H276" s="109"/>
      <c r="J276" s="12"/>
    </row>
    <row r="277" spans="1:10" s="1" customFormat="1" ht="15.9" customHeight="1">
      <c r="A277" s="27"/>
      <c r="D277" s="328"/>
      <c r="E277" s="328"/>
      <c r="F277" s="109"/>
      <c r="G277" s="109"/>
      <c r="H277" s="109"/>
      <c r="J277" s="12"/>
    </row>
    <row r="278" spans="1:10" s="1" customFormat="1" ht="15.9" customHeight="1">
      <c r="A278" s="27"/>
      <c r="B278" s="33"/>
      <c r="D278" s="328"/>
      <c r="E278" s="328"/>
      <c r="F278" s="109"/>
      <c r="G278" s="109"/>
      <c r="J278" s="12"/>
    </row>
    <row r="279" spans="1:10" s="1" customFormat="1" ht="15.9" customHeight="1">
      <c r="A279" s="27"/>
      <c r="B279" s="33"/>
      <c r="C279" s="33"/>
      <c r="D279" s="161"/>
      <c r="E279" s="109"/>
      <c r="F279" s="109"/>
      <c r="G279" s="109"/>
      <c r="J279" s="12"/>
    </row>
    <row r="280" spans="1:10" s="1" customFormat="1" ht="15.9" customHeight="1">
      <c r="A280" s="27"/>
      <c r="B280" s="33"/>
      <c r="C280" s="89" t="s">
        <v>280</v>
      </c>
      <c r="D280" s="162"/>
      <c r="E280" s="24"/>
      <c r="F280" s="109"/>
      <c r="G280" s="109"/>
      <c r="J280" s="12"/>
    </row>
    <row r="281" spans="1:10" s="1" customFormat="1" ht="15.9" customHeight="1">
      <c r="A281" s="27"/>
      <c r="B281" s="33"/>
      <c r="C281" s="328" t="s">
        <v>649</v>
      </c>
      <c r="D281" s="328"/>
      <c r="E281" s="328"/>
      <c r="F281" s="109"/>
      <c r="G281" s="109"/>
      <c r="J281" s="12"/>
    </row>
    <row r="282" spans="1:10" s="1" customFormat="1" ht="15.9" customHeight="1">
      <c r="A282" s="27"/>
      <c r="B282" s="33"/>
      <c r="C282" s="327" t="s">
        <v>650</v>
      </c>
      <c r="D282" s="327"/>
      <c r="E282" s="327"/>
      <c r="F282" s="109"/>
      <c r="G282" s="109"/>
      <c r="I282" s="24"/>
      <c r="J282" s="24"/>
    </row>
    <row r="283" spans="1:10" s="1" customFormat="1" ht="15.9" customHeight="1">
      <c r="A283" s="27"/>
      <c r="B283" s="33"/>
      <c r="C283" s="374">
        <f>$I$139</f>
        <v>404</v>
      </c>
      <c r="F283" s="109"/>
      <c r="G283" s="109"/>
      <c r="I283" s="24"/>
      <c r="J283" s="24"/>
    </row>
    <row r="284" spans="1:10" s="1" customFormat="1" ht="15.9" customHeight="1">
      <c r="A284" s="27"/>
      <c r="B284" s="33"/>
      <c r="C284" s="363">
        <f>$J$139+$J$140</f>
        <v>2</v>
      </c>
      <c r="F284" s="109"/>
      <c r="G284" s="109"/>
      <c r="I284" s="24"/>
      <c r="J284" s="24"/>
    </row>
    <row r="285" spans="1:10" s="1" customFormat="1" ht="15.9" customHeight="1">
      <c r="A285" s="27"/>
      <c r="B285" s="33"/>
      <c r="F285" s="109"/>
      <c r="G285" s="109"/>
      <c r="H285" s="109"/>
      <c r="I285" s="109"/>
      <c r="J285" s="24"/>
    </row>
    <row r="286" spans="1:10" s="1" customFormat="1" ht="15.9" customHeight="1">
      <c r="A286" s="27"/>
      <c r="B286" s="33"/>
      <c r="F286" s="109"/>
      <c r="G286" s="109"/>
      <c r="H286" s="109"/>
      <c r="I286" s="109"/>
      <c r="J286" s="24"/>
    </row>
    <row r="287" spans="1:10" s="1" customFormat="1" ht="15.9" customHeight="1">
      <c r="A287" s="27"/>
      <c r="B287" s="33"/>
      <c r="C287" s="33"/>
      <c r="D287" s="161"/>
      <c r="E287" s="109"/>
      <c r="F287" s="109"/>
      <c r="G287" s="109"/>
      <c r="H287" s="109"/>
      <c r="I287" s="109"/>
      <c r="J287" s="24"/>
    </row>
    <row r="288" spans="1:10" s="1" customFormat="1" ht="15.9" customHeight="1">
      <c r="A288" s="27"/>
      <c r="B288" s="33"/>
      <c r="C288" s="33"/>
      <c r="D288" s="161"/>
      <c r="E288" s="109"/>
      <c r="F288" s="109"/>
      <c r="G288" s="109"/>
      <c r="H288" s="109"/>
      <c r="I288" s="109"/>
      <c r="J288" s="24"/>
    </row>
    <row r="289" spans="1:10" s="1" customFormat="1" ht="15.9" customHeight="1">
      <c r="A289" s="27"/>
      <c r="B289" s="33"/>
      <c r="F289" s="109"/>
      <c r="G289" s="109"/>
      <c r="H289" s="109"/>
      <c r="I289" s="109"/>
      <c r="J289" s="24"/>
    </row>
    <row r="290" spans="1:10" s="1" customFormat="1" ht="15.9" customHeight="1">
      <c r="A290" s="27"/>
      <c r="B290" s="33"/>
      <c r="F290" s="109"/>
      <c r="G290" s="109"/>
      <c r="H290" s="109"/>
      <c r="I290" s="109"/>
      <c r="J290" s="24"/>
    </row>
    <row r="291" spans="1:10" s="1" customFormat="1" ht="15.9" customHeight="1">
      <c r="A291" s="27"/>
      <c r="B291" s="33"/>
      <c r="C291" s="89" t="s">
        <v>283</v>
      </c>
      <c r="F291" s="109"/>
      <c r="G291" s="109"/>
      <c r="H291" s="109"/>
      <c r="J291" s="12"/>
    </row>
    <row r="292" spans="1:10" s="1" customFormat="1" ht="15.9" customHeight="1">
      <c r="A292" s="27"/>
      <c r="B292" s="33"/>
      <c r="C292" s="94" t="s">
        <v>462</v>
      </c>
      <c r="D292" s="161"/>
      <c r="E292" s="109"/>
      <c r="F292" s="109"/>
      <c r="G292" s="109"/>
      <c r="H292" s="109"/>
      <c r="J292" s="12"/>
    </row>
    <row r="293" spans="1:10" s="1" customFormat="1" ht="15.9" customHeight="1">
      <c r="A293" s="27"/>
      <c r="B293" s="33"/>
      <c r="C293" s="327" t="s">
        <v>463</v>
      </c>
      <c r="D293" s="161"/>
      <c r="E293" s="109"/>
      <c r="F293" s="109"/>
      <c r="G293" s="109"/>
      <c r="H293" s="109"/>
      <c r="J293" s="12"/>
    </row>
    <row r="294" spans="1:10" s="1" customFormat="1" ht="15.9" customHeight="1">
      <c r="A294" s="27"/>
      <c r="B294" s="33"/>
      <c r="C294" s="328" t="s">
        <v>281</v>
      </c>
      <c r="D294" s="328"/>
      <c r="E294" s="328"/>
      <c r="F294" s="109"/>
      <c r="G294" s="109"/>
      <c r="I294" s="162"/>
      <c r="J294" s="24"/>
    </row>
    <row r="295" spans="1:10" s="1" customFormat="1" ht="15.9" customHeight="1">
      <c r="A295" s="27"/>
      <c r="B295" s="33"/>
      <c r="C295" s="327" t="s">
        <v>282</v>
      </c>
      <c r="D295" s="327"/>
      <c r="E295" s="327"/>
      <c r="F295" s="109"/>
      <c r="G295" s="109"/>
      <c r="I295" s="109"/>
      <c r="J295" s="24"/>
    </row>
    <row r="296" spans="1:10" s="1" customFormat="1" ht="15.9" customHeight="1">
      <c r="A296" s="27"/>
      <c r="B296" s="33"/>
      <c r="C296" s="374">
        <f>$I$141</f>
        <v>202.375</v>
      </c>
      <c r="F296" s="109"/>
      <c r="G296" s="109"/>
      <c r="I296" s="24"/>
      <c r="J296" s="24"/>
    </row>
    <row r="297" spans="1:10" s="1" customFormat="1" ht="15.9" customHeight="1">
      <c r="A297" s="27"/>
      <c r="B297" s="33"/>
      <c r="C297" s="363">
        <f>$J$141+$J$142</f>
        <v>4</v>
      </c>
      <c r="D297" s="161"/>
      <c r="E297" s="109"/>
      <c r="F297" s="109"/>
      <c r="G297" s="109"/>
      <c r="H297" s="161"/>
      <c r="I297" s="24"/>
      <c r="J297" s="24"/>
    </row>
    <row r="298" spans="1:10" s="1" customFormat="1" ht="15.9" customHeight="1">
      <c r="A298" s="27"/>
      <c r="B298" s="33"/>
      <c r="C298" s="374">
        <f>$I$143</f>
        <v>408</v>
      </c>
      <c r="D298" s="161"/>
      <c r="E298" s="109"/>
      <c r="F298" s="109"/>
      <c r="G298" s="109"/>
      <c r="H298" s="109"/>
      <c r="I298" s="24"/>
      <c r="J298" s="24"/>
    </row>
    <row r="299" spans="1:10" s="1" customFormat="1" ht="15.9" customHeight="1">
      <c r="A299" s="27"/>
      <c r="B299" s="33"/>
      <c r="C299" s="363">
        <f>$J$143+$J$144</f>
        <v>4</v>
      </c>
      <c r="D299" s="161"/>
      <c r="E299" s="109"/>
      <c r="F299" s="109"/>
      <c r="G299" s="109"/>
      <c r="H299" s="109"/>
      <c r="I299" s="24"/>
      <c r="J299" s="24"/>
    </row>
    <row r="300" spans="1:10" s="1" customFormat="1" ht="15.9" customHeight="1">
      <c r="A300" s="27"/>
      <c r="B300" s="33"/>
      <c r="D300" s="161"/>
      <c r="E300" s="109"/>
      <c r="F300" s="109"/>
      <c r="G300" s="109"/>
      <c r="H300" s="109"/>
      <c r="I300" s="24"/>
      <c r="J300" s="24"/>
    </row>
    <row r="301" spans="1:10" s="1" customFormat="1" ht="15.9" customHeight="1">
      <c r="A301" s="27"/>
      <c r="B301" s="33"/>
      <c r="C301" s="33"/>
      <c r="D301" s="161"/>
      <c r="E301" s="109"/>
      <c r="F301" s="109"/>
      <c r="G301" s="109"/>
      <c r="H301" s="109"/>
      <c r="I301" s="44"/>
      <c r="J301" s="119"/>
    </row>
    <row r="302" spans="1:10" s="1" customFormat="1" ht="15.9" customHeight="1">
      <c r="A302" s="27"/>
      <c r="B302" s="33"/>
      <c r="C302" s="23"/>
      <c r="D302" s="161"/>
      <c r="E302" s="109"/>
      <c r="F302" s="109"/>
      <c r="G302" s="109"/>
      <c r="H302" s="109"/>
      <c r="I302" s="96"/>
      <c r="J302" s="24"/>
    </row>
    <row r="303" spans="1:10" s="1" customFormat="1" ht="15.9" customHeight="1">
      <c r="A303" s="27"/>
      <c r="B303" s="33"/>
      <c r="C303" s="89" t="s">
        <v>284</v>
      </c>
      <c r="D303" s="161"/>
      <c r="E303" s="109"/>
      <c r="F303" s="109"/>
      <c r="G303" s="109"/>
      <c r="H303" s="109"/>
      <c r="I303" s="96"/>
      <c r="J303" s="24"/>
    </row>
    <row r="304" spans="1:10" s="1" customFormat="1" ht="15.9" customHeight="1">
      <c r="A304" s="27"/>
      <c r="B304" s="33"/>
      <c r="C304" s="94" t="s">
        <v>462</v>
      </c>
      <c r="D304" s="161"/>
      <c r="E304" s="109"/>
      <c r="F304" s="109"/>
      <c r="G304" s="44"/>
      <c r="H304" s="44"/>
      <c r="I304" s="96"/>
      <c r="J304" s="24"/>
    </row>
    <row r="305" spans="1:14" s="1" customFormat="1" ht="15.9" customHeight="1">
      <c r="A305" s="27"/>
      <c r="B305" s="33"/>
      <c r="C305" s="327" t="s">
        <v>463</v>
      </c>
      <c r="D305" s="328"/>
      <c r="E305" s="328"/>
      <c r="F305" s="109"/>
      <c r="G305" s="40"/>
      <c r="H305" s="32"/>
      <c r="I305" s="96"/>
      <c r="J305" s="24"/>
    </row>
    <row r="306" spans="1:14" s="1" customFormat="1" ht="15.9" customHeight="1">
      <c r="A306" s="41"/>
      <c r="B306" s="33"/>
      <c r="C306" s="328" t="s">
        <v>286</v>
      </c>
      <c r="D306" s="327"/>
      <c r="E306" s="327"/>
      <c r="F306" s="109"/>
      <c r="G306" s="109"/>
      <c r="H306" s="109"/>
      <c r="I306" s="96"/>
      <c r="J306" s="24"/>
    </row>
    <row r="307" spans="1:14" s="1" customFormat="1" ht="15.9" customHeight="1">
      <c r="A307" s="44"/>
      <c r="B307" s="44"/>
      <c r="C307" s="327" t="s">
        <v>285</v>
      </c>
      <c r="D307" s="86"/>
      <c r="E307" s="79"/>
      <c r="F307" s="44"/>
      <c r="G307" s="109"/>
      <c r="H307" s="109"/>
      <c r="I307" s="96"/>
      <c r="J307" s="24"/>
    </row>
    <row r="308" spans="1:14" s="1" customFormat="1" ht="15.9" customHeight="1">
      <c r="A308" s="40"/>
      <c r="B308" s="40"/>
      <c r="C308" s="374">
        <f>$I$145</f>
        <v>202.375</v>
      </c>
      <c r="D308" s="87"/>
      <c r="E308" s="80"/>
      <c r="F308" s="32"/>
      <c r="G308" s="109"/>
      <c r="H308" s="109"/>
      <c r="I308" s="96"/>
      <c r="J308" s="24"/>
    </row>
    <row r="309" spans="1:14" s="1" customFormat="1" ht="15.9" customHeight="1">
      <c r="A309" s="109"/>
      <c r="B309" s="33"/>
      <c r="C309" s="363">
        <f>$J$145</f>
        <v>4</v>
      </c>
      <c r="D309" s="15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74">
        <f>$I$146</f>
        <v>258</v>
      </c>
      <c r="D310" s="15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C311" s="363">
        <f>$J$146</f>
        <v>4</v>
      </c>
      <c r="D311" s="15"/>
      <c r="F311" s="109"/>
      <c r="G311" s="109"/>
      <c r="H311" s="109"/>
      <c r="I311" s="96"/>
      <c r="J311" s="24"/>
    </row>
    <row r="312" spans="1:14" s="1" customFormat="1" ht="15.9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25"/>
      <c r="B313" s="26"/>
      <c r="C313" s="26"/>
      <c r="D313" s="83"/>
      <c r="E313" s="25"/>
      <c r="F313" s="25"/>
      <c r="G313" s="25"/>
      <c r="H313" s="25"/>
      <c r="I313" s="27"/>
      <c r="J313" s="99" t="str">
        <f>LEFT($J$111,10)&amp;"-03"</f>
        <v>FG-240-2PL-03</v>
      </c>
    </row>
    <row r="314" spans="1:14" ht="12.75" customHeight="1">
      <c r="A314" s="17"/>
      <c r="B314" s="20"/>
      <c r="C314" s="20"/>
      <c r="D314" s="30"/>
      <c r="E314" s="17"/>
      <c r="F314" s="17"/>
      <c r="G314" s="17"/>
      <c r="H314" s="17"/>
      <c r="I314" s="179"/>
      <c r="J314" s="179"/>
    </row>
    <row r="315" spans="1:14" ht="30" customHeight="1">
      <c r="B315" s="6"/>
      <c r="C315" s="5"/>
      <c r="D315" s="95"/>
      <c r="E315" s="95"/>
      <c r="F315" s="95"/>
      <c r="G315" s="95"/>
      <c r="H315" s="95"/>
      <c r="I315" s="95"/>
      <c r="J315" s="90" t="str">
        <f>$J$2</f>
        <v>HOMELIFE</v>
      </c>
      <c r="K315" s="11"/>
      <c r="L315" s="11"/>
      <c r="M315" s="2"/>
      <c r="N315" s="2"/>
    </row>
    <row r="316" spans="1:14" ht="24.9" customHeight="1">
      <c r="B316" s="6"/>
      <c r="C316" s="28"/>
      <c r="D316" s="28"/>
      <c r="E316" s="28"/>
      <c r="F316" s="28"/>
      <c r="G316" s="28"/>
      <c r="H316" s="28"/>
      <c r="I316" s="28"/>
      <c r="J316" s="91" t="str">
        <f>$J$3</f>
        <v>Fabricators Guide</v>
      </c>
      <c r="K316" s="11"/>
      <c r="L316" s="11"/>
      <c r="M316" s="2"/>
      <c r="N316" s="2"/>
    </row>
    <row r="317" spans="1:14" ht="24.9" customHeight="1">
      <c r="B317" s="8"/>
      <c r="C317" s="28"/>
      <c r="D317" s="28"/>
      <c r="E317" s="28"/>
      <c r="F317" s="28"/>
      <c r="G317" s="28"/>
      <c r="H317" s="28"/>
      <c r="I317" s="28"/>
      <c r="J317" s="91" t="str">
        <f>$J$4</f>
        <v xml:space="preserve">240 Series Bi Fold Door </v>
      </c>
      <c r="K317" s="48"/>
      <c r="L317" s="48"/>
      <c r="M317" s="4"/>
      <c r="N317" s="4"/>
    </row>
    <row r="318" spans="1:14" ht="15" customHeight="1" thickBot="1"/>
    <row r="319" spans="1:14" s="1" customFormat="1" ht="24.9" customHeight="1" thickBot="1">
      <c r="A319" s="502" t="s">
        <v>33</v>
      </c>
      <c r="B319" s="503"/>
      <c r="C319" s="503"/>
      <c r="D319" s="503"/>
      <c r="E319" s="503"/>
      <c r="F319" s="503"/>
      <c r="G319" s="503"/>
      <c r="H319" s="503"/>
      <c r="I319" s="503"/>
      <c r="J319" s="504"/>
    </row>
    <row r="320" spans="1:14" s="1" customFormat="1" ht="15" customHeight="1">
      <c r="A320" s="17"/>
      <c r="B320" s="55"/>
      <c r="C320" s="55"/>
      <c r="D320" s="30"/>
      <c r="E320" s="29"/>
      <c r="F320" s="30"/>
      <c r="G320" s="31"/>
      <c r="H320" s="31"/>
      <c r="I320" s="31"/>
      <c r="J320" s="17"/>
    </row>
    <row r="321" spans="1:10" s="1" customFormat="1" ht="15" customHeight="1">
      <c r="A321" s="17"/>
      <c r="B321" s="55"/>
      <c r="C321" s="30"/>
      <c r="D321" s="30"/>
      <c r="E321" s="29"/>
      <c r="F321" s="30"/>
      <c r="G321" s="17"/>
      <c r="H321" s="31"/>
      <c r="I321" s="17"/>
      <c r="J321" s="17"/>
    </row>
    <row r="322" spans="1:10" s="1" customFormat="1" ht="15" customHeight="1">
      <c r="A322" s="49"/>
      <c r="B322" s="33"/>
      <c r="C322" s="50"/>
      <c r="D322" s="73"/>
      <c r="E322" s="49"/>
      <c r="F322" s="50"/>
      <c r="G322" s="49"/>
      <c r="H322" s="34"/>
      <c r="I322" s="49"/>
      <c r="J322" s="109"/>
    </row>
    <row r="323" spans="1:10" s="1" customFormat="1" ht="15" customHeight="1">
      <c r="A323" s="109"/>
      <c r="B323" s="33"/>
      <c r="C323" s="161"/>
      <c r="D323" s="161"/>
      <c r="E323" s="109"/>
      <c r="F323" s="161"/>
      <c r="G323" s="109"/>
      <c r="H323" s="34"/>
      <c r="I323" s="109"/>
      <c r="J323" s="109"/>
    </row>
    <row r="324" spans="1:10" s="1" customFormat="1" ht="15" customHeight="1">
      <c r="A324" s="109"/>
      <c r="B324" s="33"/>
      <c r="C324" s="161"/>
      <c r="D324" s="161"/>
      <c r="E324" s="109"/>
      <c r="F324" s="161"/>
      <c r="G324" s="109"/>
      <c r="H324" s="34"/>
      <c r="I324" s="109"/>
      <c r="J324" s="109"/>
    </row>
    <row r="325" spans="1:10" s="1" customFormat="1" ht="15" customHeight="1">
      <c r="A325" s="109"/>
      <c r="B325" s="33"/>
      <c r="C325" s="161"/>
      <c r="D325" s="161"/>
      <c r="E325" s="109"/>
      <c r="F325" s="161"/>
      <c r="G325" s="109"/>
      <c r="H325" s="34"/>
      <c r="I325" s="109"/>
      <c r="J325" s="109"/>
    </row>
    <row r="326" spans="1:10" s="1" customFormat="1" ht="15" customHeight="1">
      <c r="A326" s="49"/>
      <c r="B326" s="33"/>
      <c r="C326" s="50"/>
      <c r="D326" s="73"/>
      <c r="E326" s="35"/>
      <c r="F326" s="51"/>
      <c r="G326" s="49"/>
      <c r="H326" s="34"/>
      <c r="I326" s="49"/>
      <c r="J326" s="109"/>
    </row>
    <row r="327" spans="1:10" s="1" customFormat="1" ht="15" customHeight="1">
      <c r="A327" s="49"/>
      <c r="B327" s="33"/>
      <c r="C327" s="50"/>
      <c r="D327" s="73"/>
      <c r="E327" s="35"/>
      <c r="F327" s="50"/>
      <c r="G327" s="49"/>
      <c r="H327" s="34"/>
      <c r="I327" s="49"/>
      <c r="J327" s="109"/>
    </row>
    <row r="328" spans="1:10" s="1" customFormat="1" ht="15" customHeight="1">
      <c r="A328" s="49"/>
      <c r="B328" s="33"/>
      <c r="C328" s="42"/>
      <c r="D328" s="73"/>
      <c r="E328" s="49"/>
      <c r="F328" s="505"/>
      <c r="G328" s="505"/>
      <c r="H328" s="54"/>
      <c r="I328" s="42"/>
      <c r="J328" s="109"/>
    </row>
    <row r="329" spans="1:10" s="1" customFormat="1" ht="15" customHeight="1">
      <c r="A329" s="39"/>
      <c r="B329" s="39"/>
      <c r="C329" s="51"/>
      <c r="D329" s="73"/>
      <c r="E329" s="49"/>
      <c r="F329" s="507"/>
      <c r="G329" s="507"/>
      <c r="H329" s="54"/>
      <c r="I329" s="51"/>
      <c r="J329" s="109"/>
    </row>
    <row r="330" spans="1:10" s="1" customFormat="1" ht="15" customHeight="1">
      <c r="A330" s="53"/>
      <c r="B330" s="53"/>
      <c r="C330" s="50"/>
      <c r="D330" s="73"/>
      <c r="E330" s="49"/>
      <c r="F330" s="54"/>
      <c r="G330" s="54"/>
      <c r="H330" s="54"/>
      <c r="I330" s="50"/>
      <c r="J330" s="109"/>
    </row>
    <row r="331" spans="1:10" s="1" customFormat="1" ht="15" customHeight="1">
      <c r="A331" s="64" t="str">
        <f>A18</f>
        <v>240-2 Panel (L)</v>
      </c>
      <c r="B331" s="53"/>
      <c r="C331" s="50"/>
      <c r="D331" s="73"/>
      <c r="E331" s="49"/>
      <c r="F331" s="54"/>
      <c r="G331" s="54"/>
      <c r="H331" s="54"/>
      <c r="I331" s="49"/>
      <c r="J331" s="109"/>
    </row>
    <row r="332" spans="1:10" s="1" customFormat="1" ht="15" customHeight="1">
      <c r="A332" s="76" t="str">
        <f>A19</f>
        <v xml:space="preserve">Outside Bi Fold Door </v>
      </c>
      <c r="B332" s="45"/>
      <c r="C332" s="42"/>
      <c r="D332" s="73"/>
      <c r="E332" s="49"/>
      <c r="F332" s="507"/>
      <c r="G332" s="507"/>
      <c r="H332" s="54"/>
      <c r="I332" s="49"/>
      <c r="J332" s="109"/>
    </row>
    <row r="333" spans="1:10" s="1" customFormat="1" ht="15.9" customHeight="1">
      <c r="A333" s="49"/>
      <c r="B333" s="49"/>
      <c r="C333" s="50"/>
      <c r="D333" s="73"/>
      <c r="E333" s="49"/>
      <c r="F333" s="37"/>
      <c r="G333" s="38"/>
      <c r="H333" s="49"/>
      <c r="I333" s="49"/>
      <c r="J333" s="109"/>
    </row>
    <row r="334" spans="1:10" s="1" customFormat="1" ht="15.9" customHeight="1">
      <c r="A334" s="39"/>
      <c r="C334" s="43"/>
      <c r="D334" s="73"/>
      <c r="E334" s="49"/>
      <c r="F334" s="49"/>
      <c r="G334" s="49"/>
      <c r="H334" s="49"/>
      <c r="I334" s="49"/>
      <c r="J334" s="109"/>
    </row>
    <row r="335" spans="1:10" s="1" customFormat="1" ht="15.9" customHeight="1">
      <c r="A335" s="44"/>
      <c r="C335" s="44"/>
      <c r="D335" s="84"/>
      <c r="E335" s="44"/>
      <c r="F335" s="44"/>
      <c r="G335" s="44"/>
      <c r="H335" s="44"/>
      <c r="I335" s="44"/>
      <c r="J335" s="119"/>
    </row>
    <row r="336" spans="1:10" s="1" customFormat="1" ht="15.9" customHeight="1">
      <c r="A336" s="40"/>
      <c r="C336" s="50"/>
      <c r="D336" s="85"/>
      <c r="E336" s="40"/>
      <c r="F336" s="32"/>
      <c r="G336" s="40"/>
      <c r="H336" s="32"/>
      <c r="I336" s="32"/>
      <c r="J336" s="40"/>
    </row>
    <row r="337" spans="1:10" s="1" customFormat="1" ht="15.9" customHeight="1">
      <c r="A337" s="49"/>
      <c r="C337" s="51"/>
      <c r="D337" s="73"/>
      <c r="E337" s="49"/>
      <c r="F337" s="50"/>
      <c r="G337" s="49"/>
      <c r="H337" s="49"/>
      <c r="I337" s="24"/>
      <c r="J337" s="24"/>
    </row>
    <row r="338" spans="1:10" s="1" customFormat="1" ht="15.9" customHeight="1">
      <c r="A338" s="49"/>
      <c r="B338" s="33"/>
      <c r="C338" s="50"/>
      <c r="D338" s="73"/>
      <c r="E338" s="49"/>
      <c r="F338" s="50"/>
      <c r="G338" s="49"/>
      <c r="H338" s="49"/>
      <c r="I338" s="24"/>
      <c r="J338" s="24"/>
    </row>
    <row r="339" spans="1:10" s="1" customFormat="1" ht="15.9" customHeight="1">
      <c r="A339" s="49"/>
      <c r="B339" s="33"/>
      <c r="C339" s="44"/>
      <c r="D339" s="73"/>
      <c r="E339" s="49"/>
      <c r="F339" s="50"/>
      <c r="G339" s="49"/>
      <c r="H339" s="162"/>
      <c r="I339" s="162"/>
      <c r="J339" s="162"/>
    </row>
    <row r="340" spans="1:10" s="1" customFormat="1" ht="15.9" customHeight="1">
      <c r="A340" s="49"/>
      <c r="B340" s="33"/>
      <c r="C340" s="42"/>
      <c r="D340" s="73"/>
      <c r="E340" s="49"/>
      <c r="F340" s="50"/>
      <c r="G340" s="49"/>
      <c r="H340" s="161"/>
      <c r="I340" s="161"/>
      <c r="J340" s="161"/>
    </row>
    <row r="341" spans="1:10" s="1" customFormat="1" ht="15.9" customHeight="1">
      <c r="A341" s="49"/>
      <c r="B341" s="33"/>
      <c r="C341" s="51"/>
      <c r="D341" s="73"/>
      <c r="E341" s="49"/>
      <c r="F341" s="50"/>
      <c r="G341" s="49"/>
      <c r="H341" s="161"/>
      <c r="I341" s="161"/>
      <c r="J341" s="161"/>
    </row>
    <row r="342" spans="1:10" s="1" customFormat="1" ht="15.9" customHeight="1">
      <c r="A342" s="49"/>
      <c r="B342" s="33"/>
      <c r="C342" s="50"/>
      <c r="D342" s="73"/>
      <c r="E342" s="49"/>
      <c r="F342" s="50"/>
      <c r="G342" s="49"/>
      <c r="H342" s="49"/>
      <c r="I342" s="49"/>
      <c r="J342" s="24"/>
    </row>
    <row r="343" spans="1:10" s="1" customFormat="1" ht="15.9" customHeight="1">
      <c r="A343" s="49"/>
      <c r="B343" s="33"/>
      <c r="C343" s="33"/>
      <c r="D343" s="73"/>
      <c r="E343" s="49"/>
      <c r="F343" s="50"/>
      <c r="G343" s="49"/>
      <c r="H343" s="49"/>
      <c r="I343" s="24"/>
      <c r="J343" s="24"/>
    </row>
    <row r="344" spans="1:10" s="1" customFormat="1" ht="15.9" customHeight="1">
      <c r="A344" s="49"/>
      <c r="B344" s="33"/>
      <c r="C344" s="33"/>
      <c r="D344" s="73"/>
      <c r="E344" s="49"/>
      <c r="F344" s="50"/>
      <c r="G344" s="49"/>
      <c r="H344" s="49"/>
      <c r="I344" s="24"/>
      <c r="J344" s="24"/>
    </row>
    <row r="345" spans="1:10" s="1" customFormat="1" ht="15.9" customHeight="1">
      <c r="A345" s="49"/>
      <c r="B345" s="33"/>
      <c r="C345" s="33"/>
      <c r="D345" s="73"/>
      <c r="E345" s="49"/>
      <c r="F345" s="50"/>
      <c r="G345" s="49"/>
      <c r="H345" s="49"/>
      <c r="I345" s="24"/>
      <c r="J345" s="24"/>
    </row>
    <row r="346" spans="1:10" s="1" customFormat="1" ht="15.9" customHeight="1">
      <c r="A346" s="49"/>
      <c r="B346" s="33"/>
      <c r="C346" s="44"/>
      <c r="D346" s="73"/>
      <c r="E346" s="49"/>
      <c r="F346" s="50"/>
      <c r="G346" s="49"/>
      <c r="H346" s="49"/>
      <c r="I346" s="24"/>
      <c r="J346" s="24"/>
    </row>
    <row r="347" spans="1:10" s="1" customFormat="1" ht="15.9" customHeight="1">
      <c r="A347" s="49"/>
      <c r="B347" s="33"/>
      <c r="C347" s="50"/>
      <c r="D347" s="73"/>
      <c r="E347" s="49"/>
      <c r="F347" s="50"/>
      <c r="G347" s="49"/>
      <c r="H347" s="49"/>
      <c r="I347" s="24"/>
      <c r="J347" s="24"/>
    </row>
    <row r="348" spans="1:10" s="1" customFormat="1" ht="15.9" customHeight="1">
      <c r="A348" s="49"/>
      <c r="B348" s="33"/>
      <c r="C348" s="51"/>
      <c r="D348" s="73"/>
      <c r="E348" s="49"/>
      <c r="F348" s="50"/>
      <c r="G348" s="49"/>
      <c r="H348" s="49"/>
      <c r="I348" s="24"/>
      <c r="J348" s="24"/>
    </row>
    <row r="349" spans="1:10" s="1" customFormat="1" ht="15.9" customHeight="1">
      <c r="A349" s="49"/>
      <c r="B349" s="33"/>
      <c r="C349" s="50"/>
      <c r="D349" s="73"/>
      <c r="E349" s="49"/>
      <c r="F349" s="50"/>
      <c r="G349" s="49"/>
      <c r="H349" s="49"/>
      <c r="I349" s="49"/>
      <c r="J349" s="24"/>
    </row>
    <row r="350" spans="1:10" s="1" customFormat="1" ht="15.9" customHeight="1">
      <c r="A350" s="49"/>
      <c r="B350" s="33"/>
      <c r="C350" s="33"/>
      <c r="D350" s="73"/>
      <c r="E350" s="49"/>
      <c r="F350" s="49"/>
      <c r="G350" s="49"/>
      <c r="H350" s="49"/>
      <c r="I350" s="24"/>
      <c r="J350" s="24"/>
    </row>
    <row r="351" spans="1:10" s="1" customFormat="1" ht="15.9" customHeight="1">
      <c r="A351" s="49"/>
      <c r="B351" s="33"/>
      <c r="C351" s="33"/>
      <c r="D351" s="73"/>
      <c r="E351" s="49"/>
      <c r="F351" s="49"/>
      <c r="G351" s="49"/>
      <c r="H351" s="52"/>
      <c r="I351" s="24"/>
      <c r="J351" s="24"/>
    </row>
    <row r="352" spans="1:10" s="1" customFormat="1" ht="15" customHeight="1">
      <c r="A352" s="49"/>
      <c r="B352" s="33"/>
      <c r="C352" s="33"/>
      <c r="D352" s="73"/>
      <c r="E352" s="49"/>
      <c r="F352" s="49"/>
      <c r="G352" s="49"/>
      <c r="H352" s="49"/>
      <c r="I352" s="24"/>
      <c r="J352" s="24"/>
    </row>
    <row r="353" spans="1:10" s="23" customFormat="1" ht="15.9" customHeight="1">
      <c r="A353" s="49"/>
      <c r="B353" s="33"/>
      <c r="C353" s="33"/>
      <c r="D353" s="73"/>
      <c r="E353" s="49"/>
      <c r="F353" s="49"/>
      <c r="G353" s="49"/>
      <c r="H353" s="49"/>
      <c r="I353" s="49"/>
      <c r="J353" s="109"/>
    </row>
    <row r="354" spans="1:10" s="1" customFormat="1" ht="15.9" customHeight="1">
      <c r="A354" s="44"/>
      <c r="B354" s="44"/>
      <c r="C354" s="44"/>
      <c r="D354" s="84"/>
      <c r="E354" s="44"/>
      <c r="F354" s="44"/>
      <c r="G354" s="44"/>
      <c r="H354" s="44"/>
      <c r="I354" s="44"/>
      <c r="J354" s="119"/>
    </row>
    <row r="355" spans="1:10" s="1" customFormat="1" ht="15.9" customHeight="1">
      <c r="A355" s="40"/>
      <c r="B355" s="40"/>
      <c r="C355" s="44"/>
      <c r="D355" s="85"/>
      <c r="E355" s="40"/>
      <c r="F355" s="32"/>
      <c r="G355" s="40"/>
      <c r="H355" s="32"/>
      <c r="I355" s="32"/>
      <c r="J355" s="40"/>
    </row>
    <row r="356" spans="1:10" s="1" customFormat="1" ht="15.9" customHeight="1">
      <c r="A356" s="27"/>
      <c r="B356" s="33"/>
      <c r="C356" s="42"/>
      <c r="D356" s="73"/>
      <c r="E356" s="49"/>
      <c r="F356" s="49"/>
      <c r="G356" s="49"/>
      <c r="H356" s="42"/>
      <c r="I356" s="24"/>
      <c r="J356" s="24"/>
    </row>
    <row r="357" spans="1:10" s="1" customFormat="1" ht="15.9" customHeight="1">
      <c r="A357" s="27"/>
      <c r="B357" s="33"/>
      <c r="C357" s="51"/>
      <c r="D357" s="73"/>
      <c r="E357" s="49"/>
      <c r="F357" s="49"/>
      <c r="G357" s="49"/>
      <c r="H357" s="163"/>
      <c r="I357" s="163"/>
      <c r="J357" s="163"/>
    </row>
    <row r="358" spans="1:10" s="1" customFormat="1" ht="15.9" customHeight="1">
      <c r="A358" s="27"/>
      <c r="B358" s="33"/>
      <c r="C358" s="50"/>
      <c r="D358" s="73"/>
      <c r="E358" s="49"/>
      <c r="F358" s="49"/>
      <c r="G358" s="49"/>
      <c r="H358" s="161"/>
      <c r="I358" s="161"/>
      <c r="J358" s="161"/>
    </row>
    <row r="359" spans="1:10" s="1" customFormat="1" ht="15.9" customHeight="1">
      <c r="A359" s="27"/>
      <c r="B359" s="33"/>
      <c r="C359" s="33"/>
      <c r="D359" s="73"/>
      <c r="E359" s="49"/>
      <c r="F359" s="49"/>
      <c r="G359" s="49"/>
      <c r="H359" s="49"/>
      <c r="I359" s="24"/>
      <c r="J359" s="24"/>
    </row>
    <row r="360" spans="1:10" s="1" customFormat="1" ht="15.9" customHeight="1">
      <c r="A360" s="27"/>
      <c r="B360" s="33"/>
      <c r="C360" s="33"/>
      <c r="D360" s="73"/>
      <c r="E360" s="49"/>
      <c r="F360" s="49"/>
      <c r="G360" s="49"/>
      <c r="H360" s="49"/>
      <c r="I360" s="24"/>
      <c r="J360" s="24"/>
    </row>
    <row r="361" spans="1:10" s="1" customFormat="1" ht="15.9" customHeight="1">
      <c r="A361" s="27"/>
      <c r="B361" s="33"/>
      <c r="C361" s="46"/>
      <c r="D361" s="73"/>
      <c r="E361" s="49"/>
      <c r="F361" s="49"/>
      <c r="G361" s="49"/>
      <c r="H361" s="49"/>
      <c r="I361" s="24"/>
      <c r="J361" s="24"/>
    </row>
    <row r="362" spans="1:10" s="1" customFormat="1" ht="15.9" customHeight="1">
      <c r="A362" s="27"/>
      <c r="B362" s="33"/>
      <c r="C362" s="50"/>
      <c r="D362" s="73"/>
      <c r="E362" s="49"/>
      <c r="F362" s="49"/>
      <c r="G362" s="49"/>
      <c r="H362" s="49"/>
      <c r="I362" s="24"/>
      <c r="J362" s="24"/>
    </row>
    <row r="363" spans="1:10" s="1" customFormat="1" ht="15.9" customHeight="1">
      <c r="A363" s="27"/>
      <c r="B363" s="33"/>
      <c r="C363" s="33"/>
      <c r="D363" s="73"/>
      <c r="E363" s="49"/>
      <c r="F363" s="49"/>
      <c r="G363" s="49"/>
      <c r="H363" s="49"/>
      <c r="I363" s="24"/>
      <c r="J363" s="24"/>
    </row>
    <row r="364" spans="1:10" s="1" customFormat="1" ht="15.9" customHeight="1">
      <c r="A364" s="27"/>
      <c r="B364" s="33"/>
      <c r="C364" s="33"/>
      <c r="D364" s="73"/>
      <c r="E364" s="49"/>
      <c r="F364" s="49"/>
      <c r="G364" s="49"/>
      <c r="H364" s="49"/>
      <c r="I364" s="24"/>
      <c r="J364" s="24"/>
    </row>
    <row r="365" spans="1:10" s="1" customFormat="1" ht="15.9" customHeight="1">
      <c r="A365" s="27"/>
      <c r="B365" s="33"/>
      <c r="C365" s="33"/>
      <c r="D365" s="73"/>
      <c r="E365" s="49"/>
      <c r="F365" s="49"/>
      <c r="G365" s="49"/>
      <c r="H365" s="49"/>
      <c r="I365" s="24"/>
      <c r="J365" s="24"/>
    </row>
    <row r="366" spans="1:10" s="1" customFormat="1" ht="15.9" customHeight="1">
      <c r="A366" s="27"/>
      <c r="B366" s="33"/>
      <c r="C366" s="33"/>
      <c r="D366" s="73"/>
      <c r="E366" s="49"/>
      <c r="F366" s="49"/>
      <c r="G366" s="49"/>
      <c r="H366" s="49"/>
      <c r="I366" s="24"/>
      <c r="J366" s="24"/>
    </row>
    <row r="367" spans="1:10" s="1" customFormat="1" ht="15.9" customHeight="1">
      <c r="A367" s="27"/>
      <c r="C367" s="33"/>
      <c r="D367" s="73"/>
      <c r="E367" s="49"/>
      <c r="F367" s="49"/>
      <c r="G367" s="49"/>
      <c r="H367" s="49"/>
      <c r="I367" s="24"/>
      <c r="J367" s="24"/>
    </row>
    <row r="368" spans="1:10" s="1" customFormat="1" ht="15.9" customHeight="1">
      <c r="A368" s="27"/>
      <c r="B368" s="33"/>
      <c r="C368" s="33"/>
      <c r="D368" s="73"/>
      <c r="E368" s="49"/>
      <c r="F368" s="49"/>
      <c r="G368" s="49"/>
      <c r="H368" s="49"/>
      <c r="I368" s="24"/>
      <c r="J368" s="24"/>
    </row>
    <row r="369" spans="1:10" s="1" customFormat="1" ht="15.9" customHeight="1">
      <c r="A369" s="27"/>
      <c r="B369" s="33"/>
      <c r="C369" s="33"/>
      <c r="D369" s="73"/>
      <c r="E369" s="49"/>
      <c r="F369" s="49"/>
      <c r="G369" s="49"/>
      <c r="H369" s="49"/>
      <c r="I369" s="24"/>
      <c r="J369" s="24"/>
    </row>
    <row r="370" spans="1:10" s="1" customFormat="1" ht="15.9" customHeight="1">
      <c r="A370" s="27"/>
      <c r="D370" s="73"/>
      <c r="E370" s="49"/>
      <c r="F370" s="49"/>
      <c r="G370" s="33"/>
      <c r="H370" s="33"/>
      <c r="I370" s="24"/>
      <c r="J370" s="24"/>
    </row>
    <row r="371" spans="1:10" s="1" customFormat="1" ht="15.9" customHeight="1">
      <c r="A371" s="27"/>
      <c r="B371" s="33"/>
      <c r="C371" s="33"/>
      <c r="D371" s="73"/>
      <c r="E371" s="49"/>
      <c r="F371" s="49"/>
      <c r="G371" s="49"/>
      <c r="H371" s="49"/>
      <c r="I371" s="24"/>
      <c r="J371" s="24"/>
    </row>
    <row r="372" spans="1:10" s="1" customFormat="1" ht="15.9" customHeight="1">
      <c r="A372" s="27"/>
      <c r="B372" s="33"/>
      <c r="C372" s="33"/>
      <c r="D372" s="73"/>
      <c r="E372" s="49"/>
      <c r="F372" s="49"/>
      <c r="G372" s="49"/>
      <c r="H372" s="49"/>
      <c r="I372" s="24"/>
      <c r="J372" s="24"/>
    </row>
    <row r="373" spans="1:10" s="1" customFormat="1" ht="15.9" customHeight="1">
      <c r="A373" s="27"/>
      <c r="B373" s="33"/>
      <c r="C373" s="33"/>
      <c r="D373" s="73"/>
      <c r="E373" s="49"/>
      <c r="F373" s="49"/>
      <c r="G373" s="49"/>
      <c r="H373" s="49"/>
      <c r="I373" s="24"/>
      <c r="J373" s="24"/>
    </row>
    <row r="374" spans="1:10" s="1" customFormat="1" ht="15.9" customHeight="1">
      <c r="A374" s="27"/>
      <c r="B374" s="33"/>
      <c r="C374" s="33"/>
      <c r="D374" s="73"/>
      <c r="E374" s="49"/>
      <c r="F374" s="49"/>
      <c r="G374" s="49"/>
      <c r="H374" s="42"/>
      <c r="I374" s="24"/>
      <c r="J374" s="24"/>
    </row>
    <row r="375" spans="1:10" s="1" customFormat="1" ht="15.9" customHeight="1">
      <c r="A375" s="27"/>
      <c r="B375" s="33"/>
      <c r="C375" s="47"/>
      <c r="D375" s="73"/>
      <c r="E375" s="49"/>
      <c r="F375" s="49"/>
      <c r="G375" s="49"/>
      <c r="H375" s="163"/>
      <c r="I375" s="163"/>
      <c r="J375" s="163"/>
    </row>
    <row r="376" spans="1:10" s="1" customFormat="1" ht="15.9" customHeight="1">
      <c r="A376" s="27"/>
      <c r="B376" s="33"/>
      <c r="C376" s="46"/>
      <c r="D376" s="73"/>
      <c r="E376" s="49"/>
      <c r="F376" s="49"/>
      <c r="G376" s="49"/>
      <c r="H376" s="161"/>
      <c r="I376" s="161"/>
      <c r="J376" s="161"/>
    </row>
    <row r="377" spans="1:10" s="1" customFormat="1" ht="15.9" customHeight="1">
      <c r="A377" s="27"/>
      <c r="B377" s="33"/>
      <c r="C377" s="50"/>
      <c r="D377" s="73"/>
      <c r="E377" s="49"/>
      <c r="F377" s="49"/>
      <c r="G377" s="49"/>
      <c r="H377" s="42"/>
      <c r="I377" s="24"/>
      <c r="J377" s="24"/>
    </row>
    <row r="378" spans="1:10" s="1" customFormat="1" ht="15.9" customHeight="1">
      <c r="A378" s="27"/>
      <c r="B378" s="33"/>
      <c r="C378" s="33"/>
      <c r="D378" s="73"/>
      <c r="E378" s="49"/>
      <c r="F378" s="49"/>
      <c r="G378" s="49"/>
      <c r="H378" s="163"/>
      <c r="I378" s="163"/>
      <c r="J378" s="163"/>
    </row>
    <row r="379" spans="1:10" s="1" customFormat="1" ht="15.9" customHeight="1">
      <c r="A379" s="27"/>
      <c r="B379" s="33"/>
      <c r="C379" s="33"/>
      <c r="D379" s="73"/>
      <c r="E379" s="49"/>
      <c r="F379" s="49"/>
      <c r="G379" s="49"/>
      <c r="H379" s="161"/>
      <c r="I379" s="161"/>
      <c r="J379" s="161"/>
    </row>
    <row r="380" spans="1:10" s="1" customFormat="1" ht="15.9" customHeight="1">
      <c r="A380" s="27"/>
      <c r="B380" s="33"/>
      <c r="C380" s="33"/>
      <c r="D380" s="73"/>
      <c r="E380" s="49"/>
      <c r="F380" s="49"/>
      <c r="G380" s="49"/>
      <c r="H380" s="49"/>
      <c r="I380" s="24"/>
      <c r="J380" s="24"/>
    </row>
    <row r="381" spans="1:10" s="1" customFormat="1" ht="15.9" customHeight="1">
      <c r="A381" s="27"/>
      <c r="B381" s="33"/>
      <c r="C381" s="33"/>
      <c r="D381" s="73"/>
      <c r="E381" s="49"/>
      <c r="F381" s="49"/>
      <c r="G381" s="49"/>
      <c r="H381" s="49"/>
      <c r="I381" s="24"/>
      <c r="J381" s="24"/>
    </row>
    <row r="382" spans="1:10" s="1" customFormat="1" ht="15.9" customHeight="1">
      <c r="A382" s="27"/>
      <c r="B382" s="33"/>
      <c r="C382" s="33"/>
      <c r="D382" s="73"/>
      <c r="E382" s="49"/>
      <c r="F382" s="49"/>
      <c r="G382" s="49"/>
      <c r="H382" s="49"/>
      <c r="I382" s="24"/>
      <c r="J382" s="24"/>
    </row>
    <row r="383" spans="1:10" s="1" customFormat="1" ht="15.9" customHeight="1">
      <c r="A383" s="27"/>
      <c r="B383" s="33"/>
      <c r="C383" s="33"/>
      <c r="D383" s="73"/>
      <c r="E383" s="49"/>
      <c r="F383" s="49"/>
      <c r="G383" s="49"/>
      <c r="H383" s="49"/>
      <c r="I383" s="49"/>
      <c r="J383" s="24"/>
    </row>
    <row r="384" spans="1:10" s="1" customFormat="1" ht="15.9" customHeight="1">
      <c r="A384" s="27"/>
      <c r="B384" s="33"/>
      <c r="C384" s="33"/>
      <c r="D384" s="73"/>
      <c r="E384" s="49"/>
      <c r="F384" s="49"/>
      <c r="G384" s="49"/>
      <c r="H384" s="49"/>
      <c r="I384" s="49"/>
      <c r="J384" s="24"/>
    </row>
    <row r="385" spans="1:10" s="1" customFormat="1" ht="15.9" customHeight="1">
      <c r="A385" s="27"/>
      <c r="B385" s="33"/>
      <c r="C385" s="33"/>
      <c r="D385" s="73"/>
      <c r="E385" s="49"/>
      <c r="F385" s="49"/>
      <c r="G385" s="49"/>
      <c r="H385" s="49"/>
      <c r="I385" s="49"/>
      <c r="J385" s="24"/>
    </row>
    <row r="386" spans="1:10" s="1" customFormat="1" ht="15.9" customHeight="1">
      <c r="A386" s="27"/>
      <c r="B386" s="33"/>
      <c r="C386" s="33"/>
      <c r="D386" s="73"/>
      <c r="E386" s="49"/>
      <c r="F386" s="49"/>
      <c r="G386" s="49"/>
      <c r="H386" s="49"/>
      <c r="I386" s="49"/>
      <c r="J386" s="24"/>
    </row>
    <row r="387" spans="1:10" s="1" customFormat="1" ht="15.9" customHeight="1">
      <c r="A387" s="27"/>
      <c r="B387" s="33"/>
      <c r="C387" s="33"/>
      <c r="D387" s="73"/>
      <c r="E387" s="49"/>
      <c r="F387" s="49"/>
      <c r="G387" s="49"/>
      <c r="H387" s="164"/>
      <c r="I387" s="164"/>
      <c r="J387" s="164"/>
    </row>
    <row r="388" spans="1:10" s="1" customFormat="1" ht="15.9" customHeight="1">
      <c r="A388" s="27"/>
      <c r="B388" s="33"/>
      <c r="C388" s="33"/>
      <c r="D388" s="73"/>
      <c r="E388" s="49"/>
      <c r="F388" s="49"/>
      <c r="G388" s="49"/>
      <c r="H388" s="165"/>
      <c r="I388" s="165"/>
      <c r="J388" s="165"/>
    </row>
    <row r="389" spans="1:10" s="1" customFormat="1" ht="15.9" customHeight="1">
      <c r="A389" s="27"/>
      <c r="B389" s="33"/>
      <c r="C389" s="47"/>
      <c r="D389" s="73"/>
      <c r="E389" s="49"/>
      <c r="F389" s="49"/>
      <c r="G389" s="49"/>
      <c r="H389" s="161"/>
      <c r="I389" s="161"/>
      <c r="J389" s="161"/>
    </row>
    <row r="390" spans="1:10" s="1" customFormat="1" ht="15.9" customHeight="1">
      <c r="A390" s="27"/>
      <c r="B390" s="33"/>
      <c r="C390" s="46"/>
      <c r="D390" s="73"/>
      <c r="E390" s="49"/>
      <c r="F390" s="49"/>
      <c r="G390" s="49"/>
      <c r="H390" s="49"/>
      <c r="I390" s="24"/>
      <c r="J390" s="24"/>
    </row>
    <row r="391" spans="1:10" s="1" customFormat="1" ht="15.9" customHeight="1">
      <c r="A391" s="27"/>
      <c r="B391" s="33"/>
      <c r="C391" s="50"/>
      <c r="D391" s="73"/>
      <c r="E391" s="49"/>
      <c r="F391" s="49"/>
      <c r="G391" s="49"/>
      <c r="H391" s="49"/>
      <c r="I391" s="49"/>
      <c r="J391" s="24"/>
    </row>
    <row r="392" spans="1:10" s="1" customFormat="1" ht="15.9" customHeight="1">
      <c r="A392" s="27"/>
      <c r="B392" s="33"/>
      <c r="C392" s="33"/>
      <c r="D392" s="73"/>
      <c r="E392" s="49"/>
      <c r="F392" s="49"/>
      <c r="G392" s="49"/>
      <c r="H392" s="49"/>
      <c r="I392" s="24"/>
      <c r="J392" s="24"/>
    </row>
    <row r="393" spans="1:10" s="1" customFormat="1" ht="15.9" customHeight="1">
      <c r="A393" s="27"/>
      <c r="B393" s="33"/>
      <c r="C393" s="33"/>
      <c r="D393" s="73"/>
      <c r="E393" s="49"/>
      <c r="F393" s="49"/>
      <c r="G393" s="49"/>
      <c r="H393" s="49"/>
      <c r="I393" s="24"/>
      <c r="J393" s="24"/>
    </row>
    <row r="394" spans="1:10" s="1" customFormat="1" ht="15.9" customHeight="1">
      <c r="A394" s="27"/>
      <c r="B394" s="33"/>
      <c r="C394" s="33"/>
      <c r="D394" s="73"/>
      <c r="E394" s="49"/>
      <c r="F394" s="49"/>
      <c r="G394" s="49"/>
      <c r="H394" s="49"/>
      <c r="I394" s="24"/>
      <c r="J394" s="24"/>
    </row>
    <row r="395" spans="1:10" s="1" customFormat="1" ht="15.9" customHeight="1">
      <c r="A395" s="41"/>
      <c r="B395" s="33"/>
      <c r="C395" s="33"/>
      <c r="D395" s="73"/>
      <c r="E395" s="49"/>
      <c r="F395" s="49"/>
      <c r="G395" s="49"/>
      <c r="H395" s="49"/>
      <c r="I395" s="49"/>
      <c r="J395" s="109"/>
    </row>
    <row r="396" spans="1:10" s="1" customFormat="1" ht="15.9" customHeight="1">
      <c r="A396" s="41"/>
      <c r="B396" s="33"/>
      <c r="C396" s="33"/>
      <c r="D396" s="73"/>
      <c r="E396" s="65"/>
      <c r="F396" s="65"/>
      <c r="G396" s="65"/>
      <c r="H396" s="65"/>
      <c r="I396" s="65"/>
      <c r="J396" s="109"/>
    </row>
    <row r="397" spans="1:10" s="1" customFormat="1" ht="15.9" customHeight="1">
      <c r="A397" s="41"/>
      <c r="B397" s="33"/>
      <c r="C397" s="33"/>
      <c r="D397" s="73"/>
      <c r="E397" s="65"/>
      <c r="F397" s="65"/>
      <c r="G397" s="65"/>
      <c r="H397" s="65"/>
      <c r="I397" s="65"/>
      <c r="J397" s="109"/>
    </row>
    <row r="398" spans="1:10" s="1" customFormat="1" ht="15.9" customHeight="1">
      <c r="A398" s="41"/>
      <c r="B398" s="33"/>
      <c r="C398" s="33"/>
      <c r="D398" s="73"/>
      <c r="E398" s="65"/>
      <c r="F398" s="65"/>
      <c r="G398" s="65"/>
      <c r="H398" s="65"/>
      <c r="I398" s="65"/>
      <c r="J398" s="109"/>
    </row>
    <row r="399" spans="1:10" s="1" customFormat="1" ht="15.9" customHeight="1">
      <c r="A399" s="41"/>
      <c r="B399" s="33"/>
      <c r="C399" s="33"/>
      <c r="D399" s="73"/>
      <c r="E399" s="65"/>
      <c r="F399" s="65"/>
      <c r="G399" s="65"/>
      <c r="H399" s="65"/>
      <c r="I399" s="65"/>
      <c r="J399" s="109"/>
    </row>
    <row r="400" spans="1:10" s="1" customFormat="1" ht="15.9" customHeight="1">
      <c r="A400" s="41"/>
      <c r="B400" s="33"/>
      <c r="C400" s="33"/>
      <c r="D400" s="73"/>
      <c r="E400" s="65"/>
      <c r="F400" s="65"/>
      <c r="G400" s="65"/>
      <c r="H400" s="65"/>
      <c r="I400" s="65"/>
      <c r="J400" s="109"/>
    </row>
    <row r="401" spans="1:10" s="1" customFormat="1" ht="15.9" customHeight="1">
      <c r="A401" s="41"/>
      <c r="B401" s="33"/>
      <c r="C401" s="33"/>
      <c r="D401" s="73"/>
      <c r="E401" s="65"/>
      <c r="F401" s="65"/>
      <c r="G401" s="65"/>
      <c r="H401" s="65"/>
      <c r="I401" s="65"/>
      <c r="J401" s="109"/>
    </row>
    <row r="402" spans="1:10" s="1" customFormat="1" ht="15.9" customHeight="1">
      <c r="A402" s="41"/>
      <c r="B402" s="33"/>
      <c r="C402" s="33"/>
      <c r="D402" s="73"/>
      <c r="E402" s="65"/>
      <c r="F402" s="65"/>
      <c r="G402" s="65"/>
      <c r="H402" s="65"/>
      <c r="I402" s="65"/>
      <c r="J402" s="109"/>
    </row>
    <row r="403" spans="1:10" s="23" customFormat="1" ht="15.9" customHeight="1">
      <c r="A403" s="41"/>
      <c r="B403" s="33"/>
      <c r="C403" s="33"/>
      <c r="D403" s="73"/>
      <c r="E403" s="65"/>
      <c r="F403" s="65"/>
      <c r="G403" s="65"/>
      <c r="H403" s="65"/>
      <c r="I403" s="65"/>
      <c r="J403" s="109"/>
    </row>
    <row r="404" spans="1:10" s="1" customFormat="1" ht="15.9" customHeight="1">
      <c r="A404" s="44"/>
      <c r="B404" s="44"/>
      <c r="C404" s="44"/>
      <c r="D404" s="84"/>
      <c r="E404" s="44"/>
      <c r="F404" s="44"/>
      <c r="G404" s="44"/>
      <c r="H404" s="44"/>
      <c r="I404" s="44"/>
      <c r="J404" s="119"/>
    </row>
    <row r="405" spans="1:10" s="1" customFormat="1" ht="15.9" customHeight="1">
      <c r="A405" s="44"/>
      <c r="B405" s="44"/>
      <c r="C405" s="44"/>
      <c r="D405" s="84"/>
      <c r="E405" s="44"/>
      <c r="F405" s="44"/>
      <c r="G405" s="44"/>
      <c r="H405" s="44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9"/>
      <c r="B418" s="33"/>
      <c r="C418" s="33"/>
      <c r="D418" s="73"/>
      <c r="E418" s="49"/>
      <c r="F418" s="49"/>
      <c r="G418" s="49"/>
      <c r="H418" s="49"/>
      <c r="I418" s="24"/>
      <c r="J418" s="24"/>
      <c r="K418" s="71"/>
    </row>
    <row r="419" spans="1:14" s="1" customFormat="1" ht="15.9" customHeight="1">
      <c r="A419" s="49"/>
      <c r="B419" s="33"/>
      <c r="C419" s="33"/>
      <c r="D419" s="73"/>
      <c r="E419" s="49"/>
      <c r="F419" s="49"/>
      <c r="G419" s="49"/>
      <c r="H419" s="49"/>
      <c r="I419" s="24"/>
    </row>
    <row r="420" spans="1:14" ht="18">
      <c r="A420" s="49"/>
      <c r="B420" s="33"/>
      <c r="C420" s="33"/>
      <c r="D420" s="73"/>
      <c r="E420" s="49"/>
      <c r="F420" s="49"/>
      <c r="G420" s="49"/>
      <c r="H420" s="49"/>
      <c r="I420" s="49"/>
      <c r="J420" s="99" t="str">
        <f>LEFT($J$111,10)&amp;"-04"</f>
        <v>FG-240-2PL-04</v>
      </c>
      <c r="K420" s="7"/>
      <c r="L420" s="7"/>
      <c r="M420" s="2"/>
      <c r="N420" s="2"/>
    </row>
    <row r="421" spans="1:14" ht="12.75" customHeight="1">
      <c r="A421" s="109"/>
      <c r="B421" s="33"/>
      <c r="C421" s="33"/>
      <c r="D421" s="106"/>
      <c r="E421" s="109"/>
      <c r="F421" s="109"/>
      <c r="G421" s="109"/>
      <c r="H421" s="109"/>
      <c r="I421" s="109"/>
      <c r="J421" s="114"/>
      <c r="K421" s="7"/>
      <c r="L421" s="7"/>
      <c r="M421" s="2"/>
      <c r="N421" s="2"/>
    </row>
    <row r="422" spans="1:14" ht="30" customHeight="1">
      <c r="B422" s="6"/>
      <c r="C422" s="5"/>
      <c r="D422" s="95"/>
      <c r="E422" s="95"/>
      <c r="F422" s="95"/>
      <c r="G422" s="95"/>
      <c r="H422" s="95"/>
      <c r="I422" s="95"/>
      <c r="J422" s="90" t="str">
        <f>J2</f>
        <v>HOMELIFE</v>
      </c>
      <c r="K422" s="11"/>
      <c r="L422" s="11"/>
      <c r="M422" s="2"/>
      <c r="N422" s="2"/>
    </row>
    <row r="423" spans="1:14" ht="24.9" customHeight="1">
      <c r="B423" s="6"/>
      <c r="C423" s="28"/>
      <c r="D423" s="28"/>
      <c r="E423" s="28"/>
      <c r="F423" s="28"/>
      <c r="G423" s="28"/>
      <c r="H423" s="28"/>
      <c r="I423" s="28"/>
      <c r="J423" s="91" t="str">
        <f>J3</f>
        <v>Fabricators Guide</v>
      </c>
      <c r="K423" s="11"/>
      <c r="L423" s="11"/>
      <c r="M423" s="2"/>
      <c r="N423" s="2"/>
    </row>
    <row r="424" spans="1:14" ht="24.9" customHeight="1">
      <c r="B424" s="8"/>
      <c r="C424" s="28"/>
      <c r="D424" s="28"/>
      <c r="E424" s="28"/>
      <c r="F424" s="28"/>
      <c r="G424" s="28"/>
      <c r="H424" s="28"/>
      <c r="I424" s="28"/>
      <c r="J424" s="91" t="str">
        <f>J4</f>
        <v xml:space="preserve">240 Series Bi Fold Door </v>
      </c>
      <c r="K424" s="48"/>
      <c r="L424" s="48"/>
      <c r="M424" s="4"/>
      <c r="N424" s="4"/>
    </row>
    <row r="425" spans="1:14" s="1" customFormat="1" ht="15" customHeight="1" thickBot="1">
      <c r="A425" s="78"/>
      <c r="B425" s="78"/>
      <c r="C425" s="78"/>
      <c r="D425" s="82"/>
      <c r="E425" s="78"/>
      <c r="F425" s="78"/>
      <c r="G425" s="78"/>
      <c r="H425" s="78"/>
      <c r="I425" s="78"/>
      <c r="J425" s="100"/>
      <c r="K425" s="4"/>
      <c r="L425" s="4"/>
      <c r="M425" s="4"/>
      <c r="N425" s="4"/>
    </row>
    <row r="426" spans="1:14" s="1" customFormat="1" ht="24.9" customHeight="1" thickBot="1">
      <c r="A426" s="502" t="s">
        <v>34</v>
      </c>
      <c r="B426" s="503"/>
      <c r="C426" s="503"/>
      <c r="D426" s="503"/>
      <c r="E426" s="503"/>
      <c r="F426" s="503"/>
      <c r="G426" s="503"/>
      <c r="H426" s="503"/>
      <c r="I426" s="503"/>
      <c r="J426" s="504"/>
    </row>
    <row r="427" spans="1:14" s="1" customFormat="1" ht="15" customHeight="1">
      <c r="A427" s="17"/>
      <c r="B427" s="56"/>
      <c r="C427" s="56"/>
      <c r="D427" s="30"/>
      <c r="E427" s="29"/>
      <c r="F427" s="30"/>
      <c r="H427" s="44"/>
      <c r="I427" s="44"/>
      <c r="J427" s="119"/>
    </row>
    <row r="428" spans="1:14" s="1" customFormat="1" ht="15" customHeight="1">
      <c r="A428" s="17"/>
      <c r="B428" s="56"/>
      <c r="C428" s="56"/>
      <c r="D428" s="30"/>
      <c r="E428" s="29"/>
      <c r="F428" s="30"/>
      <c r="H428" s="44"/>
      <c r="I428" s="44"/>
      <c r="J428" s="119"/>
    </row>
    <row r="429" spans="1:14" s="1" customFormat="1" ht="15" customHeight="1">
      <c r="A429" s="17"/>
      <c r="B429" s="56"/>
      <c r="C429" s="56"/>
      <c r="D429" s="30"/>
      <c r="E429" s="29"/>
      <c r="F429" s="30"/>
      <c r="H429" s="44"/>
      <c r="I429" s="44"/>
      <c r="J429" s="119"/>
    </row>
    <row r="430" spans="1:14" s="1" customFormat="1" ht="15" customHeight="1">
      <c r="A430" s="59"/>
      <c r="B430" s="33"/>
      <c r="C430" s="60"/>
      <c r="D430" s="73"/>
      <c r="E430" s="59"/>
      <c r="F430" s="60"/>
      <c r="H430" s="44"/>
      <c r="I430" s="44"/>
      <c r="J430" s="119"/>
    </row>
    <row r="431" spans="1:14" s="1" customFormat="1" ht="15" customHeight="1">
      <c r="A431" s="59"/>
      <c r="B431" s="33"/>
      <c r="C431" s="60"/>
      <c r="D431" s="73"/>
      <c r="E431" s="35"/>
      <c r="F431" s="61"/>
      <c r="H431" s="44"/>
      <c r="I431" s="44"/>
      <c r="J431" s="119"/>
    </row>
    <row r="432" spans="1:14" s="1" customFormat="1" ht="15" customHeight="1">
      <c r="A432" s="59"/>
      <c r="B432" s="33"/>
      <c r="C432" s="60"/>
      <c r="D432" s="73"/>
      <c r="E432" s="35"/>
      <c r="F432" s="60"/>
      <c r="H432" s="44"/>
      <c r="I432" s="44"/>
      <c r="J432" s="119"/>
    </row>
    <row r="433" spans="1:10" s="1" customFormat="1" ht="15" customHeight="1">
      <c r="A433" s="59"/>
      <c r="B433" s="33"/>
      <c r="C433" s="42"/>
      <c r="D433" s="73"/>
      <c r="E433" s="59"/>
      <c r="F433" s="69"/>
      <c r="H433" s="44"/>
      <c r="I433" s="44"/>
      <c r="J433" s="119"/>
    </row>
    <row r="434" spans="1:10" s="1" customFormat="1" ht="15" customHeight="1">
      <c r="A434" s="39"/>
      <c r="B434" s="39"/>
      <c r="C434" s="61"/>
      <c r="D434" s="73"/>
      <c r="E434" s="59"/>
      <c r="F434" s="68"/>
      <c r="H434" s="44"/>
      <c r="I434" s="44"/>
      <c r="J434" s="119"/>
    </row>
    <row r="435" spans="1:10" s="1" customFormat="1" ht="15" customHeight="1">
      <c r="A435" s="57"/>
      <c r="B435" s="57"/>
      <c r="C435" s="60"/>
      <c r="D435" s="73"/>
      <c r="E435" s="59"/>
      <c r="F435" s="58"/>
      <c r="H435" s="44"/>
      <c r="I435" s="44"/>
      <c r="J435" s="119"/>
    </row>
    <row r="436" spans="1:10" s="1" customFormat="1" ht="15" customHeight="1">
      <c r="B436" s="57"/>
      <c r="C436" s="60"/>
      <c r="D436" s="73"/>
      <c r="E436" s="59"/>
      <c r="F436" s="58"/>
      <c r="H436" s="44"/>
      <c r="I436" s="44"/>
      <c r="J436" s="119"/>
    </row>
    <row r="437" spans="1:10" s="1" customFormat="1" ht="15" customHeight="1">
      <c r="A437" s="64" t="str">
        <f>A18</f>
        <v>240-2 Panel (L)</v>
      </c>
      <c r="C437" s="42"/>
      <c r="D437" s="73"/>
      <c r="E437" s="59"/>
      <c r="F437" s="68"/>
      <c r="H437" s="44"/>
      <c r="I437" s="44"/>
      <c r="J437" s="119"/>
    </row>
    <row r="438" spans="1:10" s="1" customFormat="1" ht="15.9" customHeight="1">
      <c r="A438" s="76" t="str">
        <f>A19</f>
        <v xml:space="preserve">Outside Bi Fold Door </v>
      </c>
      <c r="C438" s="60"/>
      <c r="D438" s="73"/>
      <c r="E438" s="59"/>
      <c r="F438" s="37"/>
      <c r="H438" s="44"/>
      <c r="I438" s="44"/>
      <c r="J438" s="119"/>
    </row>
    <row r="439" spans="1:10" s="1" customFormat="1" ht="15.9" customHeight="1">
      <c r="A439" s="39"/>
      <c r="B439" s="38"/>
      <c r="C439" s="43"/>
      <c r="D439" s="73"/>
      <c r="E439" s="59"/>
      <c r="F439" s="59"/>
      <c r="H439" s="44"/>
      <c r="I439" s="44"/>
      <c r="J439" s="119"/>
    </row>
    <row r="440" spans="1:10" s="1" customFormat="1" ht="15.9" customHeight="1">
      <c r="A440" s="44"/>
      <c r="C440" s="44"/>
      <c r="D440" s="84"/>
      <c r="E440" s="44"/>
      <c r="F440" s="44"/>
      <c r="H440" s="44"/>
      <c r="I440" s="44"/>
      <c r="J440" s="119"/>
    </row>
    <row r="441" spans="1:10" s="1" customFormat="1" ht="15.9" customHeight="1">
      <c r="A441" s="40"/>
      <c r="C441" s="60"/>
      <c r="D441" s="85"/>
      <c r="E441" s="40"/>
      <c r="F441" s="32"/>
      <c r="H441" s="44"/>
      <c r="I441" s="44"/>
      <c r="J441" s="119"/>
    </row>
    <row r="442" spans="1:10" s="1" customFormat="1" ht="35.1" customHeight="1">
      <c r="A442" s="59"/>
      <c r="B442" s="64"/>
      <c r="C442" s="61"/>
      <c r="D442" s="73"/>
      <c r="E442" s="59"/>
      <c r="F442" s="60"/>
      <c r="G442" s="59"/>
      <c r="H442" s="59"/>
      <c r="I442" s="24"/>
      <c r="J442" s="24"/>
    </row>
    <row r="448" spans="1:10" s="1" customFormat="1" ht="15.9" customHeight="1">
      <c r="A448" s="59"/>
      <c r="B448" s="33"/>
      <c r="C448" s="33"/>
      <c r="D448" s="73"/>
      <c r="E448" s="59"/>
      <c r="F448" s="60"/>
      <c r="G448" s="59"/>
      <c r="H448" s="59"/>
      <c r="I448" s="24"/>
      <c r="J448" s="24"/>
    </row>
    <row r="449" spans="1:10" s="1" customFormat="1" ht="15.9" customHeight="1">
      <c r="A449" s="59"/>
      <c r="B449" s="33"/>
      <c r="C449" s="33"/>
      <c r="D449" s="73"/>
      <c r="E449" s="59"/>
      <c r="F449" s="60"/>
      <c r="G449" s="59"/>
      <c r="H449" s="59"/>
      <c r="I449" s="24"/>
      <c r="J449" s="24"/>
    </row>
    <row r="450" spans="1:10" s="1" customFormat="1" ht="15.9" customHeight="1">
      <c r="A450" s="59"/>
      <c r="B450" s="33"/>
      <c r="C450" s="33"/>
      <c r="D450" s="73"/>
      <c r="E450" s="59"/>
      <c r="F450" s="60"/>
      <c r="G450" s="59"/>
      <c r="H450" s="59"/>
      <c r="I450" s="24"/>
      <c r="J450" s="24"/>
    </row>
    <row r="451" spans="1:10" s="1" customFormat="1" ht="15.9" customHeight="1">
      <c r="A451" s="59"/>
      <c r="B451" s="33"/>
      <c r="C451" s="44"/>
      <c r="D451" s="73"/>
      <c r="E451" s="59"/>
      <c r="F451" s="60"/>
      <c r="G451" s="59"/>
      <c r="H451" s="59"/>
      <c r="I451" s="24"/>
      <c r="J451" s="24"/>
    </row>
    <row r="452" spans="1:10" s="1" customFormat="1" ht="15.9" customHeight="1">
      <c r="A452" s="59"/>
      <c r="B452" s="33"/>
      <c r="C452" s="60"/>
      <c r="D452" s="73"/>
      <c r="E452" s="59"/>
      <c r="F452" s="60"/>
      <c r="G452" s="59"/>
      <c r="H452" s="59"/>
      <c r="I452" s="24"/>
      <c r="J452" s="24"/>
    </row>
    <row r="453" spans="1:10" s="1" customFormat="1" ht="15.9" customHeight="1">
      <c r="A453" s="59"/>
      <c r="B453" s="33"/>
      <c r="C453" s="61"/>
      <c r="D453" s="73"/>
      <c r="E453" s="59"/>
      <c r="F453" s="60"/>
      <c r="G453" s="59"/>
      <c r="H453" s="59"/>
      <c r="I453" s="24"/>
      <c r="J453" s="24"/>
    </row>
    <row r="454" spans="1:10" s="1" customFormat="1" ht="15.9" customHeight="1">
      <c r="A454" s="59"/>
      <c r="B454" s="33"/>
      <c r="C454" s="60"/>
      <c r="D454" s="73"/>
      <c r="E454" s="59"/>
      <c r="F454" s="60"/>
      <c r="G454" s="59"/>
      <c r="H454" s="59"/>
      <c r="I454" s="59"/>
      <c r="J454" s="24"/>
    </row>
    <row r="455" spans="1:10" s="1" customFormat="1" ht="15.9" customHeight="1">
      <c r="A455" s="59"/>
      <c r="B455" s="33"/>
      <c r="C455" s="33"/>
      <c r="D455" s="73"/>
      <c r="E455" s="59"/>
      <c r="F455" s="59"/>
      <c r="G455" s="59"/>
      <c r="H455" s="59"/>
      <c r="I455" s="24"/>
      <c r="J455" s="24"/>
    </row>
    <row r="456" spans="1:10" s="1" customFormat="1" ht="15.9" customHeight="1">
      <c r="A456" s="59"/>
      <c r="B456" s="33"/>
      <c r="C456" s="33"/>
      <c r="D456" s="73"/>
      <c r="E456" s="59"/>
      <c r="F456" s="59"/>
      <c r="G456" s="59"/>
      <c r="H456" s="62"/>
      <c r="I456" s="24"/>
      <c r="J456" s="24"/>
    </row>
    <row r="457" spans="1:10" s="1" customFormat="1" ht="15" customHeight="1">
      <c r="A457" s="59"/>
      <c r="B457" s="33"/>
      <c r="C457" s="33"/>
      <c r="D457" s="73"/>
      <c r="E457" s="59"/>
      <c r="F457" s="59"/>
      <c r="G457" s="59"/>
      <c r="H457" s="59"/>
      <c r="I457" s="24"/>
      <c r="J457" s="24"/>
    </row>
    <row r="458" spans="1:10" s="23" customFormat="1" ht="15.9" customHeight="1">
      <c r="A458" s="59"/>
      <c r="B458" s="33"/>
      <c r="C458" s="33"/>
      <c r="D458" s="73"/>
      <c r="E458" s="59"/>
      <c r="F458" s="59"/>
      <c r="G458" s="59"/>
      <c r="H458" s="59"/>
      <c r="I458" s="59"/>
      <c r="J458" s="109"/>
    </row>
    <row r="459" spans="1:10" s="1" customFormat="1" ht="15.9" customHeight="1">
      <c r="A459" s="44"/>
      <c r="B459" s="44"/>
      <c r="C459" s="44"/>
      <c r="D459" s="84"/>
      <c r="E459" s="44"/>
      <c r="F459" s="44"/>
      <c r="G459" s="44"/>
      <c r="H459" s="44"/>
      <c r="I459" s="44"/>
      <c r="J459" s="119"/>
    </row>
    <row r="460" spans="1:10" s="1" customFormat="1" ht="15.9" customHeight="1">
      <c r="A460" s="40"/>
      <c r="B460" s="40"/>
      <c r="C460" s="44"/>
      <c r="D460" s="85"/>
      <c r="E460" s="40"/>
      <c r="F460" s="32"/>
      <c r="G460" s="40"/>
      <c r="H460" s="32"/>
      <c r="I460" s="32"/>
      <c r="J460" s="40"/>
    </row>
    <row r="461" spans="1:10" s="1" customFormat="1" ht="15.9" customHeight="1">
      <c r="A461" s="27"/>
      <c r="B461" s="33"/>
      <c r="C461" s="42"/>
      <c r="D461" s="73"/>
      <c r="E461" s="59"/>
      <c r="F461" s="59"/>
      <c r="G461" s="59"/>
      <c r="H461" s="42"/>
      <c r="I461" s="24"/>
      <c r="J461" s="24"/>
    </row>
    <row r="462" spans="1:10" s="1" customFormat="1" ht="15.9" customHeight="1">
      <c r="A462" s="27"/>
      <c r="B462" s="33"/>
      <c r="C462" s="61"/>
      <c r="D462" s="73"/>
      <c r="E462" s="59"/>
      <c r="F462" s="59"/>
      <c r="G462" s="59"/>
      <c r="H462" s="67"/>
      <c r="I462" s="67"/>
      <c r="J462" s="108"/>
    </row>
    <row r="463" spans="1:10" s="1" customFormat="1" ht="15.9" customHeight="1">
      <c r="A463" s="27"/>
      <c r="B463" s="33"/>
      <c r="C463" s="60"/>
      <c r="D463" s="73"/>
      <c r="E463" s="59"/>
      <c r="F463" s="59"/>
      <c r="G463" s="59"/>
      <c r="H463" s="38"/>
      <c r="I463" s="38"/>
      <c r="J463" s="109"/>
    </row>
    <row r="464" spans="1:10" s="1" customFormat="1" ht="15.9" customHeight="1">
      <c r="A464" s="27"/>
      <c r="B464" s="33"/>
      <c r="C464" s="33"/>
      <c r="D464" s="73"/>
      <c r="E464" s="59"/>
      <c r="F464" s="59"/>
      <c r="G464" s="59"/>
      <c r="H464" s="59"/>
      <c r="I464" s="24"/>
      <c r="J464" s="24"/>
    </row>
    <row r="465" spans="1:10" s="1" customFormat="1" ht="15.9" customHeight="1">
      <c r="A465" s="27"/>
      <c r="B465" s="33"/>
      <c r="C465" s="33"/>
      <c r="D465" s="73"/>
      <c r="E465" s="59"/>
      <c r="F465" s="59"/>
      <c r="G465" s="59"/>
      <c r="H465" s="59"/>
      <c r="I465" s="24"/>
      <c r="J465" s="24"/>
    </row>
    <row r="466" spans="1:10" s="1" customFormat="1" ht="15.9" customHeight="1">
      <c r="A466" s="27"/>
      <c r="B466" s="33"/>
      <c r="C466" s="46"/>
      <c r="D466" s="73"/>
      <c r="E466" s="59"/>
      <c r="F466" s="59"/>
      <c r="G466" s="59"/>
      <c r="H466" s="59"/>
      <c r="I466" s="24"/>
      <c r="J466" s="24"/>
    </row>
    <row r="467" spans="1:10" s="1" customFormat="1" ht="15.9" customHeight="1">
      <c r="A467" s="27"/>
      <c r="B467" s="33"/>
      <c r="C467" s="60"/>
      <c r="D467" s="73"/>
      <c r="E467" s="59"/>
      <c r="F467" s="59"/>
      <c r="G467" s="59"/>
      <c r="H467" s="59"/>
      <c r="I467" s="24"/>
      <c r="J467" s="24"/>
    </row>
    <row r="468" spans="1:10" s="1" customFormat="1" ht="15.9" customHeight="1">
      <c r="A468" s="27"/>
      <c r="B468" s="33"/>
      <c r="C468" s="33"/>
      <c r="D468" s="73"/>
      <c r="E468" s="59"/>
      <c r="F468" s="59"/>
      <c r="G468" s="59"/>
      <c r="H468" s="59"/>
      <c r="I468" s="24"/>
      <c r="J468" s="24"/>
    </row>
    <row r="469" spans="1:10" s="1" customFormat="1" ht="15.9" customHeight="1">
      <c r="A469" s="27"/>
      <c r="B469" s="33"/>
      <c r="C469" s="33"/>
      <c r="D469" s="73"/>
      <c r="E469" s="59"/>
      <c r="F469" s="59"/>
      <c r="G469" s="59"/>
      <c r="H469" s="59"/>
      <c r="I469" s="24"/>
      <c r="J469" s="24"/>
    </row>
    <row r="470" spans="1:10" s="1" customFormat="1" ht="15.9" customHeight="1">
      <c r="A470" s="27"/>
      <c r="B470" s="33"/>
      <c r="C470" s="33"/>
      <c r="D470" s="73"/>
      <c r="E470" s="59"/>
      <c r="F470" s="59"/>
      <c r="G470" s="59"/>
      <c r="H470" s="59"/>
      <c r="I470" s="24"/>
      <c r="J470" s="24"/>
    </row>
    <row r="471" spans="1:10" s="1" customFormat="1" ht="15.9" customHeight="1">
      <c r="A471" s="27"/>
      <c r="B471" s="33"/>
      <c r="C471" s="33"/>
      <c r="D471" s="73"/>
      <c r="E471" s="59"/>
      <c r="F471" s="59"/>
      <c r="G471" s="59"/>
      <c r="H471" s="59"/>
      <c r="I471" s="24"/>
      <c r="J471" s="24"/>
    </row>
    <row r="472" spans="1:10" s="1" customFormat="1" ht="15.9" customHeight="1">
      <c r="A472" s="27"/>
      <c r="C472" s="33"/>
      <c r="D472" s="73"/>
      <c r="E472" s="59"/>
      <c r="F472" s="59"/>
      <c r="G472" s="59"/>
      <c r="H472" s="59"/>
      <c r="I472" s="24"/>
      <c r="J472" s="24"/>
    </row>
    <row r="473" spans="1:10" s="1" customFormat="1" ht="15.9" customHeight="1">
      <c r="A473" s="27"/>
      <c r="B473" s="33"/>
      <c r="C473" s="33"/>
      <c r="D473" s="73"/>
      <c r="E473" s="59"/>
      <c r="F473" s="59"/>
      <c r="G473" s="59"/>
      <c r="H473" s="59"/>
      <c r="I473" s="24"/>
      <c r="J473" s="24"/>
    </row>
    <row r="474" spans="1:10" s="1" customFormat="1" ht="15.9" customHeight="1">
      <c r="A474" s="27"/>
      <c r="B474" s="33"/>
      <c r="C474" s="33"/>
      <c r="D474" s="73"/>
      <c r="E474" s="59"/>
      <c r="F474" s="59"/>
      <c r="G474" s="59"/>
      <c r="H474" s="59"/>
      <c r="I474" s="24"/>
      <c r="J474" s="24"/>
    </row>
    <row r="475" spans="1:10" s="1" customFormat="1" ht="15.9" customHeight="1">
      <c r="A475" s="27"/>
      <c r="D475" s="73"/>
      <c r="E475" s="59"/>
      <c r="F475" s="59"/>
      <c r="G475" s="33"/>
      <c r="H475" s="33"/>
      <c r="I475" s="24"/>
      <c r="J475" s="24"/>
    </row>
    <row r="476" spans="1:10" s="1" customFormat="1" ht="15.9" customHeight="1">
      <c r="A476" s="27"/>
      <c r="B476" s="33"/>
      <c r="C476" s="33"/>
      <c r="D476" s="73"/>
      <c r="E476" s="59"/>
      <c r="F476" s="59"/>
      <c r="G476" s="59"/>
      <c r="H476" s="59"/>
      <c r="I476" s="24"/>
      <c r="J476" s="24"/>
    </row>
    <row r="477" spans="1:10" s="1" customFormat="1" ht="15.9" customHeight="1">
      <c r="A477" s="27"/>
      <c r="B477" s="33"/>
      <c r="C477" s="33"/>
      <c r="D477" s="73"/>
      <c r="E477" s="59"/>
      <c r="F477" s="59"/>
      <c r="G477" s="59"/>
      <c r="H477" s="59"/>
      <c r="I477" s="24"/>
      <c r="J477" s="24"/>
    </row>
    <row r="478" spans="1:10" s="1" customFormat="1" ht="15.9" customHeight="1">
      <c r="A478" s="27"/>
      <c r="B478" s="33"/>
      <c r="C478" s="33"/>
      <c r="D478" s="73"/>
      <c r="E478" s="59"/>
      <c r="F478" s="59"/>
      <c r="G478" s="59"/>
      <c r="H478" s="59"/>
      <c r="I478" s="24"/>
      <c r="J478" s="24"/>
    </row>
    <row r="479" spans="1:10" s="1" customFormat="1" ht="15.9" customHeight="1">
      <c r="A479" s="27"/>
      <c r="B479" s="33"/>
      <c r="C479" s="33"/>
      <c r="D479" s="73"/>
      <c r="E479" s="59"/>
      <c r="F479" s="59"/>
      <c r="G479" s="59"/>
      <c r="H479" s="42"/>
      <c r="I479" s="24"/>
      <c r="J479" s="24"/>
    </row>
    <row r="480" spans="1:10" s="1" customFormat="1" ht="15.9" customHeight="1">
      <c r="A480" s="27"/>
      <c r="B480" s="33"/>
      <c r="C480" s="47"/>
      <c r="D480" s="73"/>
      <c r="E480" s="59"/>
      <c r="F480" s="59"/>
      <c r="G480" s="59"/>
      <c r="H480" s="67"/>
      <c r="I480" s="67"/>
      <c r="J480" s="108"/>
    </row>
    <row r="481" spans="1:10" s="1" customFormat="1" ht="15.9" customHeight="1">
      <c r="A481" s="27"/>
      <c r="B481" s="33"/>
      <c r="C481" s="46"/>
      <c r="D481" s="73"/>
      <c r="E481" s="59"/>
      <c r="F481" s="59"/>
      <c r="G481" s="59"/>
      <c r="H481" s="38"/>
      <c r="I481" s="38"/>
      <c r="J481" s="109"/>
    </row>
    <row r="482" spans="1:10" s="1" customFormat="1" ht="15.9" customHeight="1">
      <c r="A482" s="27"/>
      <c r="B482" s="33"/>
      <c r="C482" s="60"/>
      <c r="D482" s="73"/>
      <c r="E482" s="59"/>
      <c r="F482" s="59"/>
      <c r="G482" s="59"/>
      <c r="H482" s="42"/>
      <c r="I482" s="24"/>
      <c r="J482" s="24"/>
    </row>
    <row r="483" spans="1:10" s="1" customFormat="1" ht="15.9" customHeight="1">
      <c r="A483" s="27"/>
      <c r="B483" s="33"/>
      <c r="C483" s="33"/>
      <c r="D483" s="73"/>
      <c r="E483" s="59"/>
      <c r="F483" s="59"/>
      <c r="G483" s="59"/>
      <c r="H483" s="67"/>
      <c r="I483" s="67"/>
      <c r="J483" s="108"/>
    </row>
    <row r="484" spans="1:10" s="1" customFormat="1" ht="15.9" customHeight="1">
      <c r="A484" s="27"/>
      <c r="B484" s="33"/>
      <c r="C484" s="33"/>
      <c r="D484" s="73"/>
      <c r="E484" s="59"/>
      <c r="F484" s="59"/>
      <c r="G484" s="59"/>
      <c r="H484" s="38"/>
      <c r="I484" s="38"/>
      <c r="J484" s="109"/>
    </row>
    <row r="485" spans="1:10" s="1" customFormat="1" ht="15.9" customHeight="1">
      <c r="A485" s="27"/>
      <c r="B485" s="33"/>
      <c r="C485" s="33"/>
      <c r="D485" s="73"/>
      <c r="E485" s="59"/>
      <c r="F485" s="59"/>
      <c r="G485" s="59"/>
      <c r="H485" s="59"/>
      <c r="I485" s="24"/>
      <c r="J485" s="24"/>
    </row>
    <row r="486" spans="1:10" s="1" customFormat="1" ht="15.9" customHeight="1">
      <c r="A486" s="27"/>
      <c r="B486" s="33"/>
      <c r="C486" s="33"/>
      <c r="D486" s="73"/>
      <c r="E486" s="59"/>
      <c r="F486" s="59"/>
      <c r="G486" s="59"/>
      <c r="H486" s="59"/>
      <c r="I486" s="24"/>
      <c r="J486" s="24"/>
    </row>
    <row r="487" spans="1:10" s="1" customFormat="1" ht="15.9" customHeight="1">
      <c r="A487" s="27"/>
      <c r="B487" s="33"/>
      <c r="C487" s="33"/>
      <c r="D487" s="73"/>
      <c r="E487" s="59"/>
      <c r="F487" s="59"/>
      <c r="G487" s="59"/>
      <c r="H487" s="59"/>
      <c r="I487" s="24"/>
      <c r="J487" s="24"/>
    </row>
    <row r="488" spans="1:10" s="1" customFormat="1" ht="15.9" customHeight="1">
      <c r="A488" s="27"/>
      <c r="B488" s="33"/>
      <c r="C488" s="33"/>
      <c r="D488" s="73"/>
      <c r="E488" s="59"/>
      <c r="F488" s="59"/>
      <c r="G488" s="59"/>
      <c r="H488" s="59"/>
      <c r="I488" s="59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109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109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109"/>
      <c r="J491" s="24"/>
    </row>
    <row r="492" spans="1:10" s="1" customFormat="1" ht="15.9" customHeight="1">
      <c r="A492" s="27"/>
      <c r="B492" s="33"/>
      <c r="C492" s="33"/>
      <c r="D492" s="161"/>
      <c r="E492" s="109"/>
      <c r="F492" s="109"/>
      <c r="G492" s="109"/>
      <c r="H492" s="109"/>
      <c r="I492" s="109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109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109"/>
      <c r="J494" s="24"/>
    </row>
    <row r="495" spans="1:10" s="1" customFormat="1" ht="15.9" customHeight="1">
      <c r="A495" s="27"/>
      <c r="B495" s="33"/>
      <c r="C495" s="33"/>
      <c r="D495" s="161"/>
      <c r="E495" s="109"/>
      <c r="F495" s="109"/>
      <c r="G495" s="109"/>
      <c r="H495" s="109"/>
      <c r="I495" s="109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109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109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109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109"/>
      <c r="I499" s="109"/>
      <c r="J499" s="24"/>
    </row>
    <row r="500" spans="1:10" s="1" customFormat="1" ht="15.9" customHeight="1">
      <c r="A500" s="27"/>
      <c r="B500" s="33"/>
      <c r="C500" s="33"/>
      <c r="D500" s="161"/>
      <c r="E500" s="109"/>
      <c r="F500" s="109"/>
      <c r="G500" s="109"/>
      <c r="H500" s="109"/>
      <c r="I500" s="109"/>
      <c r="J500" s="24"/>
    </row>
    <row r="501" spans="1:10" s="1" customFormat="1" ht="15.9" customHeight="1">
      <c r="A501" s="27"/>
      <c r="B501" s="33"/>
      <c r="C501" s="33"/>
      <c r="D501" s="161"/>
      <c r="E501" s="109"/>
      <c r="F501" s="109"/>
      <c r="G501" s="109"/>
      <c r="H501" s="109"/>
      <c r="I501" s="109"/>
      <c r="J501" s="24"/>
    </row>
    <row r="502" spans="1:10" s="1" customFormat="1" ht="15.9" customHeight="1">
      <c r="A502" s="27"/>
      <c r="B502" s="33"/>
      <c r="C502" s="33"/>
      <c r="D502" s="161"/>
      <c r="E502" s="109"/>
      <c r="F502" s="109"/>
      <c r="G502" s="109"/>
      <c r="H502" s="109"/>
      <c r="I502" s="109"/>
      <c r="J502" s="24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109"/>
      <c r="I503" s="109"/>
      <c r="J503" s="24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109"/>
      <c r="I504" s="109"/>
      <c r="J504" s="24"/>
    </row>
    <row r="505" spans="1:10" s="1" customFormat="1" ht="15.9" customHeight="1">
      <c r="A505" s="27"/>
      <c r="B505" s="33"/>
      <c r="C505" s="33"/>
      <c r="D505" s="73"/>
      <c r="E505" s="59"/>
      <c r="F505" s="59"/>
      <c r="G505" s="59"/>
      <c r="H505" s="59"/>
      <c r="I505" s="59"/>
      <c r="J505" s="24"/>
    </row>
    <row r="506" spans="1:10" s="1" customFormat="1" ht="15.9" customHeight="1">
      <c r="A506" s="27"/>
      <c r="B506" s="33"/>
      <c r="C506" s="33"/>
      <c r="D506" s="73"/>
      <c r="E506" s="59"/>
      <c r="F506" s="59"/>
      <c r="G506" s="59"/>
      <c r="H506" s="59"/>
      <c r="I506" s="59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109"/>
      <c r="J512" s="24"/>
    </row>
    <row r="513" spans="1:23" s="1" customFormat="1" ht="15.9" customHeight="1">
      <c r="A513" s="44"/>
      <c r="B513" s="44"/>
      <c r="C513" s="44"/>
      <c r="D513" s="84"/>
      <c r="E513" s="44"/>
      <c r="F513" s="44"/>
      <c r="G513" s="44"/>
      <c r="H513" s="44"/>
      <c r="I513" s="44"/>
      <c r="J513" s="119"/>
    </row>
    <row r="514" spans="1:23" s="1" customFormat="1" ht="15.9" customHeight="1">
      <c r="A514" s="44"/>
      <c r="B514" s="44"/>
      <c r="C514" s="44"/>
      <c r="D514" s="84"/>
      <c r="E514" s="44"/>
      <c r="F514" s="44"/>
      <c r="G514" s="44"/>
      <c r="H514" s="44"/>
      <c r="I514" s="44"/>
      <c r="J514" s="119"/>
    </row>
    <row r="515" spans="1:23" s="1" customFormat="1" ht="15.9" customHeight="1">
      <c r="W515" s="56"/>
    </row>
    <row r="516" spans="1:23" s="1" customFormat="1" ht="15.9" customHeight="1" thickBot="1">
      <c r="W516" s="56"/>
    </row>
    <row r="517" spans="1:23" s="1" customFormat="1" ht="24.9" customHeight="1" thickBot="1">
      <c r="A517" s="502" t="s">
        <v>401</v>
      </c>
      <c r="B517" s="503"/>
      <c r="C517" s="503"/>
      <c r="D517" s="503"/>
      <c r="E517" s="503"/>
      <c r="F517" s="503"/>
      <c r="G517" s="503"/>
      <c r="H517" s="503"/>
      <c r="I517" s="503"/>
      <c r="J517" s="504"/>
      <c r="W517" s="56"/>
    </row>
    <row r="518" spans="1:23" s="1" customFormat="1" ht="35.1" customHeight="1" thickBot="1">
      <c r="A518" s="309" t="s">
        <v>2</v>
      </c>
      <c r="B518" s="310" t="s">
        <v>3</v>
      </c>
      <c r="C518" s="311" t="s">
        <v>3</v>
      </c>
      <c r="D518" s="312" t="s">
        <v>35</v>
      </c>
      <c r="E518" s="311" t="s">
        <v>5</v>
      </c>
      <c r="F518" s="313" t="s">
        <v>27</v>
      </c>
      <c r="G518" s="314"/>
      <c r="H518" s="312" t="s">
        <v>27</v>
      </c>
      <c r="I518" s="312" t="s">
        <v>26</v>
      </c>
      <c r="J518" s="315" t="s">
        <v>6</v>
      </c>
      <c r="N518" s="249" t="s">
        <v>3</v>
      </c>
      <c r="O518" s="249" t="s">
        <v>3</v>
      </c>
      <c r="W518" s="56"/>
    </row>
    <row r="519" spans="1:23" s="1" customFormat="1" ht="15.9" customHeight="1">
      <c r="A519" s="123">
        <f>IF(C519="","",1)</f>
        <v>1</v>
      </c>
      <c r="B519" s="121" t="str">
        <f>IF($D$127=5,N519,IF($D$127=6,N520,IF($D$127=8,N521,IF($D$127=10,N522,IF($D$127=12,N523,IF($D$127=14,N524,IF($D$127=18,N525,IF($D$127=20,N526,IF($D$127=22,N527,)))))))))</f>
        <v>กระจก 6 mm (สูง) (กว้าง)</v>
      </c>
      <c r="C519" s="121" t="str">
        <f>IF($D$127=5,O519,IF($D$127=6,O520,IF($D$127=8,O521,IF($D$127=10,O522,IF($D$127=12,O523,IF($D$127=14,O524,IF($D$127=18,O525,IF($D$127=20,O526,IF($D$127=22,O527,)))))))))</f>
        <v>GLASS thk.6 mm (H) (W)</v>
      </c>
      <c r="D519" s="124">
        <f>$J$123-215</f>
        <v>285</v>
      </c>
      <c r="E519" s="123" t="s">
        <v>11</v>
      </c>
      <c r="F519" s="527" t="s">
        <v>271</v>
      </c>
      <c r="G519" s="528"/>
      <c r="H519" s="123" t="s">
        <v>290</v>
      </c>
      <c r="I519" s="124">
        <f>(($J$126-182-113.25)/2)-13</f>
        <v>189.375</v>
      </c>
      <c r="J519" s="151">
        <f>$J$120*2</f>
        <v>2</v>
      </c>
      <c r="M519" s="1">
        <f>ROW()</f>
        <v>519</v>
      </c>
      <c r="N519" s="19" t="s">
        <v>194</v>
      </c>
      <c r="O519" s="19" t="s">
        <v>195</v>
      </c>
      <c r="W519" s="56"/>
    </row>
    <row r="520" spans="1:23" s="1" customFormat="1" ht="15.9" customHeight="1">
      <c r="A520" s="152"/>
      <c r="B520" s="127"/>
      <c r="C520" s="295"/>
      <c r="D520" s="296" t="s">
        <v>0</v>
      </c>
      <c r="E520" s="238"/>
      <c r="F520" s="251"/>
      <c r="G520" s="297"/>
      <c r="H520" s="295"/>
      <c r="I520" s="298"/>
      <c r="J520" s="299"/>
      <c r="M520" s="1">
        <f>ROW()</f>
        <v>520</v>
      </c>
      <c r="N520" s="19" t="s">
        <v>53</v>
      </c>
      <c r="O520" s="19" t="s">
        <v>54</v>
      </c>
      <c r="W520" s="56"/>
    </row>
    <row r="521" spans="1:23" s="1" customFormat="1" ht="15.9" customHeight="1">
      <c r="A521" s="152"/>
      <c r="B521" s="127"/>
      <c r="C521" s="295"/>
      <c r="D521" s="296"/>
      <c r="E521" s="238"/>
      <c r="F521" s="251"/>
      <c r="G521" s="297"/>
      <c r="H521" s="295"/>
      <c r="I521" s="298"/>
      <c r="J521" s="299"/>
      <c r="M521" s="1">
        <f>ROW()</f>
        <v>521</v>
      </c>
      <c r="N521" s="19" t="s">
        <v>257</v>
      </c>
      <c r="O521" s="19" t="s">
        <v>258</v>
      </c>
      <c r="W521" s="56"/>
    </row>
    <row r="522" spans="1:23" s="1" customFormat="1" ht="15.9" customHeight="1">
      <c r="A522" s="152"/>
      <c r="B522" s="127"/>
      <c r="C522" s="127"/>
      <c r="D522" s="128"/>
      <c r="E522" s="129"/>
      <c r="F522" s="155"/>
      <c r="G522" s="156"/>
      <c r="H522" s="129"/>
      <c r="I522" s="130"/>
      <c r="J522" s="153"/>
      <c r="M522" s="1">
        <f>ROW()</f>
        <v>522</v>
      </c>
      <c r="N522" s="19" t="s">
        <v>259</v>
      </c>
      <c r="O522" s="19" t="s">
        <v>265</v>
      </c>
      <c r="W522" s="56"/>
    </row>
    <row r="523" spans="1:23" s="1" customFormat="1" ht="15.9" customHeight="1">
      <c r="A523" s="135" t="str">
        <f>IF(B523="","",+A520+1)</f>
        <v/>
      </c>
      <c r="B523" s="133"/>
      <c r="C523" s="133"/>
      <c r="D523" s="134"/>
      <c r="E523" s="135"/>
      <c r="F523" s="158"/>
      <c r="G523" s="159"/>
      <c r="H523" s="135"/>
      <c r="I523" s="145"/>
      <c r="J523" s="136"/>
      <c r="M523" s="1">
        <f>ROW()</f>
        <v>523</v>
      </c>
      <c r="N523" s="19" t="s">
        <v>260</v>
      </c>
      <c r="O523" s="19" t="s">
        <v>266</v>
      </c>
      <c r="W523" s="56"/>
    </row>
    <row r="524" spans="1:23" s="1" customFormat="1" ht="15.9" customHeight="1">
      <c r="A524" s="109" t="str">
        <f>IF(B524="","",+A523+1)</f>
        <v/>
      </c>
      <c r="B524" s="33"/>
      <c r="C524" s="33"/>
      <c r="D524" s="161"/>
      <c r="E524" s="109"/>
      <c r="F524" s="109"/>
      <c r="G524" s="109"/>
      <c r="H524" s="109"/>
      <c r="I524" s="109"/>
      <c r="J524" s="99" t="str">
        <f>LEFT($J$111,10)&amp;"-05"</f>
        <v>FG-240-2PL-05</v>
      </c>
      <c r="M524" s="1">
        <f>ROW()</f>
        <v>524</v>
      </c>
      <c r="N524" s="19" t="s">
        <v>261</v>
      </c>
      <c r="O524" s="19" t="s">
        <v>267</v>
      </c>
      <c r="W524" s="56"/>
    </row>
    <row r="525" spans="1:23">
      <c r="M525" s="1">
        <f>ROW()</f>
        <v>525</v>
      </c>
      <c r="N525" s="19" t="s">
        <v>262</v>
      </c>
      <c r="O525" s="19" t="s">
        <v>268</v>
      </c>
      <c r="P525" s="1"/>
      <c r="Q525" s="1"/>
      <c r="R525" s="1"/>
      <c r="S525" s="1"/>
      <c r="T525" s="1"/>
      <c r="U525" s="1"/>
      <c r="V525" s="1"/>
      <c r="W525" s="3"/>
    </row>
    <row r="526" spans="1:23">
      <c r="M526" s="1">
        <f>ROW()</f>
        <v>526</v>
      </c>
      <c r="N526" s="19" t="s">
        <v>263</v>
      </c>
      <c r="O526" s="19" t="s">
        <v>269</v>
      </c>
      <c r="P526" s="1"/>
      <c r="Q526" s="1"/>
      <c r="R526" s="1"/>
      <c r="S526" s="1"/>
      <c r="T526" s="1"/>
      <c r="U526" s="1"/>
      <c r="V526" s="1"/>
      <c r="W526" s="3"/>
    </row>
    <row r="527" spans="1:23">
      <c r="M527" s="1">
        <f>ROW()</f>
        <v>527</v>
      </c>
      <c r="N527" s="19" t="s">
        <v>264</v>
      </c>
      <c r="O527" s="19" t="s">
        <v>270</v>
      </c>
      <c r="P527" s="1"/>
      <c r="Q527" s="3"/>
      <c r="R527" s="3"/>
      <c r="S527" s="3"/>
      <c r="T527" s="3"/>
      <c r="U527" s="3"/>
      <c r="V527" s="3"/>
      <c r="W527" s="3"/>
    </row>
    <row r="528" spans="1:23">
      <c r="P528" s="1"/>
      <c r="Q528" s="3"/>
      <c r="R528" s="3"/>
      <c r="S528" s="3"/>
      <c r="T528" s="3"/>
      <c r="U528" s="3"/>
      <c r="V528" s="3"/>
      <c r="W528" s="3"/>
    </row>
    <row r="529" spans="16:23">
      <c r="P529" s="1"/>
      <c r="Q529" s="3"/>
      <c r="R529" s="3"/>
      <c r="S529" s="3"/>
      <c r="T529" s="3"/>
      <c r="U529" s="3"/>
      <c r="V529" s="3"/>
      <c r="W529" s="3"/>
    </row>
    <row r="530" spans="16:23">
      <c r="P530" s="1"/>
      <c r="Q530" s="3"/>
      <c r="R530" s="3"/>
      <c r="S530" s="3"/>
      <c r="T530" s="3"/>
      <c r="U530" s="3"/>
      <c r="V530" s="3"/>
      <c r="W530" s="3"/>
    </row>
    <row r="531" spans="16:23">
      <c r="P531" s="1"/>
      <c r="Q531" s="3"/>
      <c r="R531" s="3"/>
      <c r="S531" s="3"/>
      <c r="T531" s="3"/>
      <c r="U531" s="3"/>
      <c r="V531" s="3"/>
      <c r="W531" s="3"/>
    </row>
    <row r="532" spans="16:23">
      <c r="P532" s="1"/>
      <c r="Q532" s="3"/>
      <c r="R532" s="3"/>
      <c r="S532" s="3"/>
      <c r="T532" s="3"/>
      <c r="U532" s="3"/>
      <c r="V532" s="3"/>
      <c r="W532" s="3"/>
    </row>
    <row r="533" spans="16:23">
      <c r="P533" s="1"/>
    </row>
    <row r="534" spans="16:23">
      <c r="P534" s="1"/>
    </row>
  </sheetData>
  <dataConsolidate function="product">
    <dataRefs count="1">
      <dataRef ref="O154:O162" sheet="240_2Panel(L)" r:id="rId1"/>
    </dataRefs>
  </dataConsolidate>
  <mergeCells count="43">
    <mergeCell ref="F519:G519"/>
    <mergeCell ref="A173:J173"/>
    <mergeCell ref="A125:B125"/>
    <mergeCell ref="H126:I127"/>
    <mergeCell ref="J126:J127"/>
    <mergeCell ref="I166:J169"/>
    <mergeCell ref="I170:J171"/>
    <mergeCell ref="D163:D164"/>
    <mergeCell ref="D127:G127"/>
    <mergeCell ref="I165:J165"/>
    <mergeCell ref="I162:J162"/>
    <mergeCell ref="I161:J161"/>
    <mergeCell ref="D129:G129"/>
    <mergeCell ref="A131:J131"/>
    <mergeCell ref="I158:J158"/>
    <mergeCell ref="I159:J159"/>
    <mergeCell ref="A426:J426"/>
    <mergeCell ref="A517:J517"/>
    <mergeCell ref="A6:J6"/>
    <mergeCell ref="J120:J121"/>
    <mergeCell ref="H123:I124"/>
    <mergeCell ref="J123:J124"/>
    <mergeCell ref="H120:I121"/>
    <mergeCell ref="A117:J117"/>
    <mergeCell ref="D123:G123"/>
    <mergeCell ref="D121:G121"/>
    <mergeCell ref="D119:G119"/>
    <mergeCell ref="F332:G332"/>
    <mergeCell ref="H163:H164"/>
    <mergeCell ref="A212:J212"/>
    <mergeCell ref="I172:J172"/>
    <mergeCell ref="D125:G125"/>
    <mergeCell ref="I160:J160"/>
    <mergeCell ref="A319:J319"/>
    <mergeCell ref="F328:G328"/>
    <mergeCell ref="I163:J164"/>
    <mergeCell ref="F329:G329"/>
    <mergeCell ref="D165:D166"/>
    <mergeCell ref="D167:D170"/>
    <mergeCell ref="D171:D172"/>
    <mergeCell ref="H171:H172"/>
    <mergeCell ref="H167:H170"/>
    <mergeCell ref="H165:H166"/>
  </mergeCells>
  <dataValidations count="3">
    <dataValidation type="list" allowBlank="1" showInputMessage="1" showErrorMessage="1" sqref="D127:G127">
      <formula1>$N$120:$N$128</formula1>
    </dataValidation>
    <dataValidation type="list" allowBlank="1" showInputMessage="1" showErrorMessage="1" sqref="D129:G129">
      <formula1>$O$120</formula1>
    </dataValidation>
    <dataValidation type="list" allowBlank="1" showInputMessage="1" showErrorMessage="1" sqref="D123:G123">
      <formula1>$P$119:$P$128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4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6" max="9" man="1"/>
    <brk id="313" max="16383" man="1"/>
    <brk id="420" max="9" man="1"/>
  </rowBreaks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5" tint="-0.249977111117893"/>
  </sheetPr>
  <dimension ref="A1:Y527"/>
  <sheetViews>
    <sheetView showGridLines="0" view="pageBreakPreview" topLeftCell="A178" zoomScale="75" zoomScaleNormal="75" zoomScaleSheetLayoutView="75" workbookViewId="0">
      <selection activeCell="D183" sqref="D183"/>
    </sheetView>
  </sheetViews>
  <sheetFormatPr defaultRowHeight="14.4" outlineLevelRow="1" outlineLevelCol="1"/>
  <cols>
    <col min="1" max="1" width="7" customWidth="1"/>
    <col min="2" max="2" width="40.6640625" customWidth="1"/>
    <col min="3" max="3" width="64.109375" bestFit="1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4.44140625" customWidth="1"/>
    <col min="9" max="9" width="11.109375" bestFit="1" customWidth="1"/>
    <col min="10" max="10" width="11.6640625" style="112" customWidth="1"/>
    <col min="13" max="13" width="10" bestFit="1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18.33203125" hidden="1" customWidth="1" outlineLevel="1"/>
    <col min="22" max="22" width="11.10937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182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182"/>
      <c r="E3" s="182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93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>
      <c r="G45" s="10"/>
    </row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/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326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182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182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5.6">
      <c r="A118" s="12"/>
      <c r="C118" s="8"/>
      <c r="D118" s="15"/>
      <c r="E118" s="13"/>
      <c r="J118" s="181"/>
      <c r="K118" s="11"/>
      <c r="L118" s="56"/>
      <c r="M118" s="56"/>
      <c r="N118" s="56"/>
    </row>
    <row r="119" spans="1:16" s="1" customFormat="1" ht="15" customHeight="1">
      <c r="A119" s="12"/>
      <c r="C119" s="110" t="s">
        <v>635</v>
      </c>
      <c r="D119" s="524" t="s">
        <v>666</v>
      </c>
      <c r="E119" s="525"/>
      <c r="F119" s="525"/>
      <c r="G119" s="526"/>
      <c r="I119" s="16"/>
      <c r="J119" s="12"/>
      <c r="N119" s="247" t="s">
        <v>191</v>
      </c>
      <c r="O119" s="12" t="s">
        <v>227</v>
      </c>
      <c r="P119" s="247" t="s">
        <v>16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7">
        <v>5</v>
      </c>
      <c r="O120" s="12" t="s">
        <v>243</v>
      </c>
      <c r="P120" s="335" t="s">
        <v>389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8">
        <v>6</v>
      </c>
      <c r="O121" s="12" t="s">
        <v>244</v>
      </c>
      <c r="P121" s="336" t="s">
        <v>390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8">
        <v>8</v>
      </c>
      <c r="P122" s="336" t="s">
        <v>391</v>
      </c>
    </row>
    <row r="123" spans="1:16" s="1" customFormat="1" ht="15" customHeight="1">
      <c r="A123" s="12"/>
      <c r="C123" s="110" t="s">
        <v>629</v>
      </c>
      <c r="D123" s="524" t="s">
        <v>392</v>
      </c>
      <c r="E123" s="525"/>
      <c r="F123" s="525"/>
      <c r="G123" s="526"/>
      <c r="H123" s="519" t="s">
        <v>638</v>
      </c>
      <c r="I123" s="520"/>
      <c r="J123" s="517">
        <v>2500</v>
      </c>
      <c r="N123" s="248">
        <v>10</v>
      </c>
      <c r="P123" s="336" t="s">
        <v>392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8">
        <v>12</v>
      </c>
      <c r="P124" s="335" t="s">
        <v>393</v>
      </c>
    </row>
    <row r="125" spans="1:16" s="1" customFormat="1" ht="15" customHeight="1">
      <c r="A125" s="532"/>
      <c r="B125" s="532"/>
      <c r="C125" s="111" t="s">
        <v>630</v>
      </c>
      <c r="D125" s="524" t="s">
        <v>663</v>
      </c>
      <c r="E125" s="525"/>
      <c r="F125" s="525"/>
      <c r="G125" s="526"/>
      <c r="H125" s="41"/>
      <c r="I125" s="41"/>
      <c r="J125" s="12"/>
      <c r="K125" s="180"/>
      <c r="L125" s="77"/>
      <c r="N125" s="248">
        <v>14</v>
      </c>
      <c r="P125" s="335" t="s">
        <v>394</v>
      </c>
    </row>
    <row r="126" spans="1:16" s="1" customFormat="1" ht="15" customHeight="1">
      <c r="A126" s="181"/>
      <c r="B126" s="181"/>
      <c r="C126" s="423" t="s">
        <v>631</v>
      </c>
      <c r="D126" s="15"/>
      <c r="H126" s="519" t="s">
        <v>639</v>
      </c>
      <c r="I126" s="520"/>
      <c r="J126" s="517">
        <v>3000</v>
      </c>
      <c r="K126" s="180"/>
      <c r="L126" s="77"/>
      <c r="N126" s="248">
        <v>18</v>
      </c>
      <c r="P126" s="335" t="s">
        <v>395</v>
      </c>
    </row>
    <row r="127" spans="1:16" s="1" customFormat="1" ht="15" customHeight="1">
      <c r="A127" s="181"/>
      <c r="B127" s="181"/>
      <c r="C127" s="110" t="s">
        <v>633</v>
      </c>
      <c r="D127" s="534">
        <v>6</v>
      </c>
      <c r="E127" s="535"/>
      <c r="F127" s="535"/>
      <c r="G127" s="536"/>
      <c r="H127" s="520"/>
      <c r="I127" s="520"/>
      <c r="J127" s="518"/>
      <c r="N127" s="248">
        <v>20</v>
      </c>
      <c r="P127" s="335" t="s">
        <v>396</v>
      </c>
    </row>
    <row r="128" spans="1:16" s="1" customFormat="1" ht="18.75" customHeight="1">
      <c r="C128" s="423" t="s">
        <v>632</v>
      </c>
      <c r="I128" s="12"/>
      <c r="J128" s="12"/>
      <c r="N128" s="248">
        <v>22</v>
      </c>
      <c r="P128" s="335" t="s">
        <v>397</v>
      </c>
    </row>
    <row r="129" spans="1:23" s="1" customFormat="1" ht="15" customHeight="1">
      <c r="A129" s="88" t="str">
        <f>A18</f>
        <v>240-2 Panel (R)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23">
        <f>IF(B133="","",1)</f>
        <v>1</v>
      </c>
      <c r="B133" s="121" t="s">
        <v>65</v>
      </c>
      <c r="C133" s="121" t="s">
        <v>39</v>
      </c>
      <c r="D133" s="122" t="s">
        <v>46</v>
      </c>
      <c r="E133" s="123">
        <v>1.603</v>
      </c>
      <c r="F133" s="122" t="s">
        <v>314</v>
      </c>
      <c r="G133" s="123">
        <v>1</v>
      </c>
      <c r="H133" s="123" t="s">
        <v>52</v>
      </c>
      <c r="I133" s="124">
        <f>$J$126-60</f>
        <v>2940</v>
      </c>
      <c r="J133" s="125">
        <f t="shared" ref="J133:J157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4</v>
      </c>
      <c r="U133" s="283" t="s">
        <v>289</v>
      </c>
      <c r="V133" s="285">
        <f>($J$126-182-113.25)/2</f>
        <v>1352.375</v>
      </c>
      <c r="W133" s="286">
        <f>$J$120*T133</f>
        <v>4</v>
      </c>
    </row>
    <row r="134" spans="1:23" s="1" customFormat="1" ht="18" customHeight="1">
      <c r="A134" s="129">
        <f t="shared" ref="A134:A157" si="1">IF(B134="","",+A133+1)</f>
        <v>2</v>
      </c>
      <c r="B134" s="127" t="s">
        <v>87</v>
      </c>
      <c r="C134" s="127" t="s">
        <v>41</v>
      </c>
      <c r="D134" s="128" t="s">
        <v>48</v>
      </c>
      <c r="E134" s="129">
        <v>0.27800000000000002</v>
      </c>
      <c r="F134" s="128" t="s">
        <v>315</v>
      </c>
      <c r="G134" s="129">
        <v>1</v>
      </c>
      <c r="H134" s="129" t="s">
        <v>651</v>
      </c>
      <c r="I134" s="130">
        <f>$J$126-86</f>
        <v>2914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4</v>
      </c>
      <c r="U134" s="129" t="s">
        <v>289</v>
      </c>
      <c r="V134" s="285">
        <f t="shared" ref="V134:V135" si="2">($J$126-182-113.25)/2</f>
        <v>1352.375</v>
      </c>
      <c r="W134" s="131">
        <f t="shared" ref="W134:W135" si="3">$J$120*T134</f>
        <v>4</v>
      </c>
    </row>
    <row r="135" spans="1:23" s="1" customFormat="1" ht="18" customHeight="1">
      <c r="A135" s="129">
        <f t="shared" si="1"/>
        <v>3</v>
      </c>
      <c r="B135" s="127" t="s">
        <v>7</v>
      </c>
      <c r="C135" s="127" t="s">
        <v>40</v>
      </c>
      <c r="D135" s="128" t="s">
        <v>47</v>
      </c>
      <c r="E135" s="129">
        <v>1.603</v>
      </c>
      <c r="F135" s="128" t="s">
        <v>316</v>
      </c>
      <c r="G135" s="129">
        <v>1</v>
      </c>
      <c r="H135" s="129" t="s">
        <v>52</v>
      </c>
      <c r="I135" s="130">
        <f>$J$126-60</f>
        <v>2940</v>
      </c>
      <c r="J135" s="131">
        <f t="shared" si="0"/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4</v>
      </c>
      <c r="U135" s="135" t="s">
        <v>289</v>
      </c>
      <c r="V135" s="285">
        <f t="shared" si="2"/>
        <v>1352.375</v>
      </c>
      <c r="W135" s="293">
        <f t="shared" si="3"/>
        <v>4</v>
      </c>
    </row>
    <row r="136" spans="1:23" s="1" customFormat="1" ht="18" customHeight="1">
      <c r="A136" s="129">
        <f t="shared" si="1"/>
        <v>4</v>
      </c>
      <c r="B136" s="127" t="s">
        <v>86</v>
      </c>
      <c r="C136" s="127" t="s">
        <v>42</v>
      </c>
      <c r="D136" s="139" t="s">
        <v>49</v>
      </c>
      <c r="E136" s="129">
        <v>0.51600000000000001</v>
      </c>
      <c r="F136" s="128" t="s">
        <v>317</v>
      </c>
      <c r="G136" s="129">
        <v>1</v>
      </c>
      <c r="H136" s="129" t="s">
        <v>52</v>
      </c>
      <c r="I136" s="130">
        <f>$J$126-60</f>
        <v>2940</v>
      </c>
      <c r="J136" s="131">
        <f t="shared" si="0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4</v>
      </c>
      <c r="U136" s="283" t="s">
        <v>64</v>
      </c>
      <c r="V136" s="288">
        <f>$J$123-242</f>
        <v>2258</v>
      </c>
      <c r="W136" s="286">
        <f>$J$120*T136</f>
        <v>4</v>
      </c>
    </row>
    <row r="137" spans="1:23" s="1" customFormat="1" ht="18" customHeight="1">
      <c r="A137" s="129">
        <f t="shared" si="1"/>
        <v>5</v>
      </c>
      <c r="B137" s="127" t="s">
        <v>88</v>
      </c>
      <c r="C137" s="127" t="s">
        <v>55</v>
      </c>
      <c r="D137" s="139" t="s">
        <v>59</v>
      </c>
      <c r="E137" s="129">
        <v>0.89300000000000002</v>
      </c>
      <c r="F137" s="128" t="s">
        <v>488</v>
      </c>
      <c r="G137" s="129">
        <v>1</v>
      </c>
      <c r="H137" s="129" t="s">
        <v>61</v>
      </c>
      <c r="I137" s="130">
        <f>$J$123</f>
        <v>2500</v>
      </c>
      <c r="J137" s="131">
        <f t="shared" ref="J137:J146" si="4">$J$120*G137</f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4</v>
      </c>
      <c r="U137" s="129" t="s">
        <v>64</v>
      </c>
      <c r="V137" s="130">
        <f t="shared" ref="V137" si="5">$J$123-242</f>
        <v>2258</v>
      </c>
      <c r="W137" s="131">
        <f t="shared" ref="W137:W138" si="6">$J$120*T137</f>
        <v>4</v>
      </c>
    </row>
    <row r="138" spans="1:23" s="1" customFormat="1" ht="18" customHeight="1">
      <c r="A138" s="129">
        <f t="shared" si="1"/>
        <v>6</v>
      </c>
      <c r="B138" s="127" t="s">
        <v>89</v>
      </c>
      <c r="C138" s="127" t="s">
        <v>56</v>
      </c>
      <c r="D138" s="139" t="s">
        <v>59</v>
      </c>
      <c r="E138" s="129">
        <v>0.89300000000000002</v>
      </c>
      <c r="F138" s="128" t="s">
        <v>489</v>
      </c>
      <c r="G138" s="129">
        <v>1</v>
      </c>
      <c r="H138" s="129" t="s">
        <v>61</v>
      </c>
      <c r="I138" s="130">
        <f>$J$123</f>
        <v>2500</v>
      </c>
      <c r="J138" s="131">
        <f t="shared" si="4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4</v>
      </c>
      <c r="U138" s="135" t="s">
        <v>64</v>
      </c>
      <c r="V138" s="136">
        <f>$J$123-242</f>
        <v>2258</v>
      </c>
      <c r="W138" s="293">
        <f t="shared" si="6"/>
        <v>4</v>
      </c>
    </row>
    <row r="139" spans="1:23" s="1" customFormat="1" ht="18" customHeight="1">
      <c r="A139" s="129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2404</v>
      </c>
      <c r="J139" s="131">
        <f t="shared" si="4"/>
        <v>1</v>
      </c>
      <c r="N139" s="98"/>
    </row>
    <row r="140" spans="1:23" s="1" customFormat="1" ht="18" customHeight="1">
      <c r="A140" s="129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2404</v>
      </c>
      <c r="J140" s="131">
        <f t="shared" si="4"/>
        <v>1</v>
      </c>
      <c r="N140" s="287"/>
      <c r="O140" s="56"/>
      <c r="P140" s="56"/>
      <c r="Q140" s="56"/>
      <c r="R140" s="56"/>
      <c r="S140" s="56"/>
      <c r="T140" s="56"/>
      <c r="U140" s="56"/>
      <c r="V140" s="56"/>
      <c r="W140" s="56"/>
    </row>
    <row r="141" spans="1:23" s="1" customFormat="1" ht="18" customHeight="1">
      <c r="A141" s="129">
        <f t="shared" si="1"/>
        <v>9</v>
      </c>
      <c r="B141" s="127" t="s">
        <v>90</v>
      </c>
      <c r="C141" s="127" t="s">
        <v>43</v>
      </c>
      <c r="D141" s="139" t="s">
        <v>50</v>
      </c>
      <c r="E141" s="129">
        <v>1.1060000000000001</v>
      </c>
      <c r="F141" s="128" t="s">
        <v>318</v>
      </c>
      <c r="G141" s="129">
        <v>2</v>
      </c>
      <c r="H141" s="129" t="s">
        <v>289</v>
      </c>
      <c r="I141" s="178">
        <f>($J$126-182-113.25)/2</f>
        <v>1352.375</v>
      </c>
      <c r="J141" s="131">
        <f t="shared" si="4"/>
        <v>2</v>
      </c>
      <c r="N141" s="287"/>
      <c r="O141" s="56"/>
      <c r="P141" s="56"/>
      <c r="Q141" s="56"/>
      <c r="R141" s="56"/>
      <c r="S141" s="56"/>
      <c r="T141" s="56"/>
      <c r="U141" s="56"/>
      <c r="V141" s="56"/>
      <c r="W141" s="56"/>
    </row>
    <row r="142" spans="1:23" s="1" customFormat="1" ht="18" customHeight="1">
      <c r="A142" s="129">
        <f t="shared" si="1"/>
        <v>10</v>
      </c>
      <c r="B142" s="127" t="s">
        <v>91</v>
      </c>
      <c r="C142" s="127" t="s">
        <v>44</v>
      </c>
      <c r="D142" s="139" t="s">
        <v>50</v>
      </c>
      <c r="E142" s="129">
        <v>1.1060000000000001</v>
      </c>
      <c r="F142" s="128" t="s">
        <v>318</v>
      </c>
      <c r="G142" s="129">
        <v>2</v>
      </c>
      <c r="H142" s="129" t="s">
        <v>289</v>
      </c>
      <c r="I142" s="178">
        <f>($J$126-182-113.25)/2</f>
        <v>1352.375</v>
      </c>
      <c r="J142" s="131">
        <f t="shared" si="4"/>
        <v>2</v>
      </c>
      <c r="N142" s="287"/>
      <c r="O142" s="56"/>
      <c r="P142" s="56"/>
      <c r="Q142" s="56"/>
      <c r="R142" s="56"/>
      <c r="S142" s="56"/>
      <c r="T142" s="56"/>
      <c r="U142" s="56"/>
      <c r="V142" s="56"/>
      <c r="W142" s="56"/>
    </row>
    <row r="143" spans="1:23" s="1" customFormat="1" ht="18" customHeight="1">
      <c r="A143" s="129">
        <f t="shared" si="1"/>
        <v>11</v>
      </c>
      <c r="B143" s="127" t="s">
        <v>92</v>
      </c>
      <c r="C143" s="127" t="s">
        <v>57</v>
      </c>
      <c r="D143" s="139" t="s">
        <v>50</v>
      </c>
      <c r="E143" s="129">
        <v>1.1060000000000001</v>
      </c>
      <c r="F143" s="128" t="s">
        <v>319</v>
      </c>
      <c r="G143" s="129">
        <v>3</v>
      </c>
      <c r="H143" s="129" t="s">
        <v>63</v>
      </c>
      <c r="I143" s="130">
        <f>$J$123-92</f>
        <v>2408</v>
      </c>
      <c r="J143" s="131">
        <f t="shared" si="4"/>
        <v>3</v>
      </c>
      <c r="N143" s="287"/>
      <c r="O143" s="56"/>
      <c r="P143" s="56"/>
      <c r="Q143" s="56"/>
      <c r="R143" s="56"/>
      <c r="S143" s="56"/>
      <c r="T143" s="56"/>
      <c r="U143" s="56"/>
      <c r="V143" s="56"/>
      <c r="W143" s="56"/>
    </row>
    <row r="144" spans="1:23" s="1" customFormat="1" ht="18" customHeight="1">
      <c r="A144" s="129">
        <f t="shared" si="1"/>
        <v>12</v>
      </c>
      <c r="B144" s="127" t="s">
        <v>8</v>
      </c>
      <c r="C144" s="127" t="s">
        <v>58</v>
      </c>
      <c r="D144" s="139" t="s">
        <v>50</v>
      </c>
      <c r="E144" s="129">
        <v>1.1060000000000001</v>
      </c>
      <c r="F144" s="128" t="s">
        <v>497</v>
      </c>
      <c r="G144" s="129">
        <v>1</v>
      </c>
      <c r="H144" s="129" t="s">
        <v>63</v>
      </c>
      <c r="I144" s="130">
        <f>$J$123-92</f>
        <v>2408</v>
      </c>
      <c r="J144" s="131">
        <f t="shared" si="4"/>
        <v>1</v>
      </c>
      <c r="N144" s="287"/>
      <c r="O144" s="56"/>
      <c r="P144" s="56"/>
      <c r="Q144" s="56"/>
      <c r="R144" s="56"/>
      <c r="S144" s="56"/>
      <c r="T144" s="56"/>
      <c r="U144" s="56"/>
      <c r="V144" s="56"/>
      <c r="W144" s="56"/>
    </row>
    <row r="145" spans="1:23" s="1" customFormat="1" ht="18" customHeight="1">
      <c r="A145" s="129">
        <f t="shared" si="1"/>
        <v>13</v>
      </c>
      <c r="B145" s="127" t="str">
        <f t="shared" ref="B145:I145" si="7">IF($D$127=5,O133,IF($D$127=6,O133,IF($D$127=8,O134,IF($D$127=10,O134,IF($D$127=12,O134,IF($D$127=14,O135,IF($D$127=18,O135,IF($D$127=20,O135,IF($D$127=22,O135,)))))))))</f>
        <v>5-6mm คิ้วตบกระจกแนวนอน</v>
      </c>
      <c r="C145" s="127" t="str">
        <f t="shared" si="7"/>
        <v>5-6mm GLAZING BEAD HORIZONTAL</v>
      </c>
      <c r="D145" s="127" t="str">
        <f t="shared" si="7"/>
        <v>B24008</v>
      </c>
      <c r="E145" s="127">
        <f t="shared" si="7"/>
        <v>0.23100000000000001</v>
      </c>
      <c r="F145" s="127" t="str">
        <f t="shared" si="7"/>
        <v>B24008-001</v>
      </c>
      <c r="G145" s="129">
        <f t="shared" si="7"/>
        <v>4</v>
      </c>
      <c r="H145" s="129" t="str">
        <f t="shared" si="7"/>
        <v>(W-182-113.25)/2</v>
      </c>
      <c r="I145" s="178">
        <f t="shared" si="7"/>
        <v>1352.375</v>
      </c>
      <c r="J145" s="131">
        <f t="shared" si="4"/>
        <v>4</v>
      </c>
      <c r="N145" s="287"/>
      <c r="O145" s="56"/>
      <c r="P145" s="56"/>
      <c r="Q145" s="56"/>
      <c r="R145" s="56"/>
      <c r="S145" s="56"/>
      <c r="T145" s="56"/>
      <c r="U145" s="56"/>
      <c r="V145" s="56"/>
      <c r="W145" s="56"/>
    </row>
    <row r="146" spans="1:23" s="1" customFormat="1" ht="18" customHeight="1">
      <c r="A146" s="129">
        <f t="shared" si="1"/>
        <v>14</v>
      </c>
      <c r="B146" s="127" t="str">
        <f t="shared" ref="B146:I146" si="8">IF($D$127=5,O136,IF($D$127=6,O136,IF($D$127=8,O137,IF($D$127=10,O137,IF($D$127=12,O137,IF($D$127=14,O138,IF($D$127=18,O138,IF($D$127=20,O138,IF($D$127=22,O138,)))))))))</f>
        <v>5-6mm คิ้วตบกระจกแนวตั้ง</v>
      </c>
      <c r="C146" s="127" t="str">
        <f t="shared" si="8"/>
        <v>5-6mm GLAZING BEAD VERTICAL</v>
      </c>
      <c r="D146" s="127" t="str">
        <f t="shared" si="8"/>
        <v>B24008</v>
      </c>
      <c r="E146" s="127">
        <f t="shared" si="8"/>
        <v>0.23100000000000001</v>
      </c>
      <c r="F146" s="127" t="str">
        <f t="shared" si="8"/>
        <v>B24008-002</v>
      </c>
      <c r="G146" s="129">
        <f t="shared" si="8"/>
        <v>4</v>
      </c>
      <c r="H146" s="129" t="str">
        <f t="shared" si="8"/>
        <v>H-242</v>
      </c>
      <c r="I146" s="144">
        <f t="shared" si="8"/>
        <v>2258</v>
      </c>
      <c r="J146" s="131">
        <f t="shared" si="4"/>
        <v>4</v>
      </c>
      <c r="N146" s="287"/>
      <c r="O146" s="56"/>
      <c r="P146" s="56"/>
      <c r="Q146" s="56"/>
      <c r="R146" s="56"/>
      <c r="S146" s="56"/>
      <c r="T146" s="56"/>
      <c r="U146" s="56"/>
      <c r="V146" s="56"/>
      <c r="W146" s="56"/>
    </row>
    <row r="147" spans="1:23" s="1" customFormat="1" ht="18" customHeight="1">
      <c r="A147" s="129" t="str">
        <f t="shared" si="1"/>
        <v/>
      </c>
      <c r="B147" s="127"/>
      <c r="C147" s="127"/>
      <c r="D147" s="139"/>
      <c r="E147" s="129"/>
      <c r="F147" s="128"/>
      <c r="G147" s="129"/>
      <c r="H147" s="129"/>
      <c r="I147" s="144"/>
      <c r="J147" s="131">
        <f t="shared" ref="J147:J156" si="9">$J$120*G147</f>
        <v>0</v>
      </c>
      <c r="N147" s="287"/>
      <c r="O147" s="56"/>
      <c r="P147" s="56"/>
      <c r="Q147" s="56"/>
      <c r="R147" s="56"/>
      <c r="S147" s="56"/>
      <c r="T147" s="56"/>
      <c r="U147" s="56"/>
      <c r="V147" s="56"/>
      <c r="W147" s="56"/>
    </row>
    <row r="148" spans="1:23" s="1" customFormat="1" ht="18" customHeight="1">
      <c r="A148" s="129" t="str">
        <f t="shared" si="1"/>
        <v/>
      </c>
      <c r="B148" s="127"/>
      <c r="C148" s="127"/>
      <c r="D148" s="139"/>
      <c r="E148" s="129"/>
      <c r="F148" s="128"/>
      <c r="G148" s="129"/>
      <c r="H148" s="129"/>
      <c r="I148" s="144"/>
      <c r="J148" s="131">
        <f t="shared" si="9"/>
        <v>0</v>
      </c>
      <c r="N148" s="287"/>
      <c r="O148" s="56"/>
      <c r="P148" s="56"/>
      <c r="Q148" s="56"/>
      <c r="R148" s="56"/>
      <c r="S148" s="56"/>
      <c r="T148" s="56"/>
      <c r="U148" s="56"/>
      <c r="V148" s="56"/>
      <c r="W148" s="56"/>
    </row>
    <row r="149" spans="1:23" s="1" customFormat="1" ht="18" customHeight="1">
      <c r="A149" s="129" t="str">
        <f t="shared" si="1"/>
        <v/>
      </c>
      <c r="B149" s="127"/>
      <c r="C149" s="127"/>
      <c r="D149" s="139"/>
      <c r="E149" s="129"/>
      <c r="F149" s="128"/>
      <c r="G149" s="129"/>
      <c r="H149" s="129"/>
      <c r="I149" s="144"/>
      <c r="J149" s="131">
        <f t="shared" si="9"/>
        <v>0</v>
      </c>
      <c r="N149" s="287"/>
      <c r="O149" s="56"/>
      <c r="P149" s="56"/>
      <c r="Q149" s="56"/>
      <c r="R149" s="56"/>
      <c r="S149" s="56"/>
      <c r="T149" s="56"/>
      <c r="U149" s="56"/>
      <c r="V149" s="56"/>
      <c r="W149" s="56"/>
    </row>
    <row r="150" spans="1:23" s="1" customFormat="1" ht="18" customHeight="1">
      <c r="A150" s="129" t="str">
        <f t="shared" si="1"/>
        <v/>
      </c>
      <c r="B150" s="127"/>
      <c r="C150" s="127"/>
      <c r="D150" s="139"/>
      <c r="E150" s="129"/>
      <c r="F150" s="128"/>
      <c r="G150" s="129"/>
      <c r="H150" s="129"/>
      <c r="I150" s="144"/>
      <c r="J150" s="131">
        <f t="shared" si="9"/>
        <v>0</v>
      </c>
      <c r="N150" s="287"/>
      <c r="O150" s="56"/>
      <c r="P150" s="56"/>
      <c r="Q150" s="56"/>
      <c r="R150" s="56"/>
      <c r="S150" s="56"/>
      <c r="T150" s="56"/>
      <c r="U150" s="56"/>
      <c r="V150" s="56"/>
      <c r="W150" s="56"/>
    </row>
    <row r="151" spans="1:23" s="1" customFormat="1" ht="18" customHeight="1">
      <c r="A151" s="129" t="str">
        <f t="shared" si="1"/>
        <v/>
      </c>
      <c r="B151" s="127"/>
      <c r="C151" s="127"/>
      <c r="D151" s="139"/>
      <c r="E151" s="129"/>
      <c r="F151" s="128"/>
      <c r="G151" s="129"/>
      <c r="H151" s="129"/>
      <c r="I151" s="144"/>
      <c r="J151" s="131">
        <f t="shared" si="9"/>
        <v>0</v>
      </c>
      <c r="N151" s="287"/>
      <c r="O151" s="56"/>
      <c r="P151" s="56"/>
      <c r="Q151" s="56"/>
      <c r="R151" s="56"/>
      <c r="S151" s="56"/>
      <c r="T151" s="56"/>
      <c r="U151" s="56"/>
      <c r="V151" s="56"/>
      <c r="W151" s="56"/>
    </row>
    <row r="152" spans="1:23" s="1" customFormat="1" ht="18" customHeight="1">
      <c r="A152" s="129" t="str">
        <f t="shared" si="1"/>
        <v/>
      </c>
      <c r="B152" s="127"/>
      <c r="C152" s="127"/>
      <c r="D152" s="139"/>
      <c r="E152" s="129"/>
      <c r="F152" s="128"/>
      <c r="G152" s="129"/>
      <c r="H152" s="129"/>
      <c r="I152" s="144"/>
      <c r="J152" s="131">
        <f t="shared" si="9"/>
        <v>0</v>
      </c>
      <c r="N152" s="287"/>
      <c r="O152" s="56"/>
      <c r="P152" s="56"/>
      <c r="Q152" s="56"/>
      <c r="R152" s="56"/>
      <c r="S152" s="56"/>
      <c r="T152" s="56"/>
      <c r="U152" s="56"/>
      <c r="V152" s="56"/>
      <c r="W152" s="56"/>
    </row>
    <row r="153" spans="1:23" s="1" customFormat="1" ht="18" customHeight="1">
      <c r="A153" s="129" t="str">
        <f t="shared" si="1"/>
        <v/>
      </c>
      <c r="B153" s="127"/>
      <c r="C153" s="127"/>
      <c r="D153" s="139"/>
      <c r="E153" s="129"/>
      <c r="F153" s="128"/>
      <c r="G153" s="129"/>
      <c r="H153" s="129"/>
      <c r="I153" s="144"/>
      <c r="J153" s="131">
        <f t="shared" si="9"/>
        <v>0</v>
      </c>
      <c r="N153" s="287"/>
      <c r="O153" s="56"/>
      <c r="P153" s="56"/>
      <c r="Q153" s="56"/>
      <c r="R153" s="56"/>
      <c r="S153" s="56"/>
      <c r="T153" s="56"/>
      <c r="U153" s="56"/>
      <c r="V153" s="56"/>
      <c r="W153" s="56"/>
    </row>
    <row r="154" spans="1:23" s="1" customFormat="1" ht="18" customHeight="1">
      <c r="A154" s="129" t="str">
        <f t="shared" si="1"/>
        <v/>
      </c>
      <c r="B154" s="127"/>
      <c r="C154" s="127"/>
      <c r="D154" s="139"/>
      <c r="E154" s="129"/>
      <c r="F154" s="128"/>
      <c r="G154" s="129"/>
      <c r="H154" s="129"/>
      <c r="I154" s="144"/>
      <c r="J154" s="131">
        <f t="shared" si="9"/>
        <v>0</v>
      </c>
      <c r="N154" s="98"/>
    </row>
    <row r="155" spans="1:23" s="1" customFormat="1" ht="18" customHeight="1">
      <c r="A155" s="129" t="str">
        <f t="shared" si="1"/>
        <v/>
      </c>
      <c r="B155" s="127"/>
      <c r="C155" s="127"/>
      <c r="D155" s="139"/>
      <c r="E155" s="129"/>
      <c r="F155" s="128"/>
      <c r="G155" s="129"/>
      <c r="H155" s="129"/>
      <c r="I155" s="144"/>
      <c r="J155" s="131">
        <f t="shared" si="9"/>
        <v>0</v>
      </c>
      <c r="N155" s="98"/>
    </row>
    <row r="156" spans="1:23" s="1" customFormat="1" ht="18" customHeight="1">
      <c r="A156" s="129" t="str">
        <f t="shared" si="1"/>
        <v/>
      </c>
      <c r="B156" s="127"/>
      <c r="C156" s="127"/>
      <c r="D156" s="139"/>
      <c r="E156" s="129"/>
      <c r="F156" s="128"/>
      <c r="G156" s="129"/>
      <c r="H156" s="129"/>
      <c r="I156" s="144"/>
      <c r="J156" s="131">
        <f t="shared" si="9"/>
        <v>0</v>
      </c>
      <c r="N156" s="98"/>
    </row>
    <row r="157" spans="1:23" s="1" customFormat="1" ht="18" customHeight="1" thickBot="1">
      <c r="A157" s="129" t="str">
        <f t="shared" si="1"/>
        <v/>
      </c>
      <c r="B157" s="167"/>
      <c r="C157" s="167"/>
      <c r="D157" s="168"/>
      <c r="E157" s="166"/>
      <c r="F157" s="168"/>
      <c r="G157" s="166"/>
      <c r="H157" s="166"/>
      <c r="I157" s="171"/>
      <c r="J157" s="172">
        <f t="shared" si="0"/>
        <v>0</v>
      </c>
    </row>
    <row r="158" spans="1:23" s="1" customFormat="1" ht="27" outlineLevel="1" thickBot="1">
      <c r="A158" s="169" t="s">
        <v>2</v>
      </c>
      <c r="B158" s="169" t="s">
        <v>29</v>
      </c>
      <c r="C158" s="169" t="s">
        <v>3</v>
      </c>
      <c r="D158" s="169" t="s">
        <v>4</v>
      </c>
      <c r="E158" s="169" t="s">
        <v>5</v>
      </c>
      <c r="F158" s="177" t="s">
        <v>85</v>
      </c>
      <c r="G158" s="169" t="s">
        <v>22</v>
      </c>
      <c r="H158" s="170" t="s">
        <v>23</v>
      </c>
      <c r="I158" s="540"/>
      <c r="J158" s="541"/>
    </row>
    <row r="159" spans="1:23" s="1" customFormat="1" ht="15" customHeight="1" outlineLevel="1">
      <c r="A159" s="21">
        <f>IF(B159="","",1)</f>
        <v>1</v>
      </c>
      <c r="B159" s="173" t="str">
        <f t="shared" ref="B159:C162" si="10">B133</f>
        <v>เฟรมบน</v>
      </c>
      <c r="C159" s="173" t="str">
        <f t="shared" si="10"/>
        <v>HEAD</v>
      </c>
      <c r="D159" s="174" t="str">
        <f>VLOOKUP(C159,$C$133:$H$157,2,0)</f>
        <v>B24001</v>
      </c>
      <c r="E159" s="175">
        <f t="shared" ref="E159:E165" si="11">VLOOKUP(C159,$C$133:$H$157,3,0)</f>
        <v>1.603</v>
      </c>
      <c r="F159" s="175">
        <f>VLOOKUP(C159,$C$133:$J$157,7,0)</f>
        <v>2940</v>
      </c>
      <c r="G159" s="175">
        <f t="shared" ref="G159:G165" si="12">VLOOKUP(C159,$C$133:$J$157,8,0)</f>
        <v>1</v>
      </c>
      <c r="H159" s="176">
        <f>ROUNDUP((F159*G159)/6400,0)</f>
        <v>1</v>
      </c>
      <c r="I159" s="500"/>
      <c r="J159" s="501"/>
    </row>
    <row r="160" spans="1:23" s="1" customFormat="1" ht="15" customHeight="1" outlineLevel="1">
      <c r="A160" s="18">
        <f t="shared" ref="A160:A165" si="13">IF(B160="","",+A159+1)</f>
        <v>2</v>
      </c>
      <c r="B160" s="173" t="str">
        <f t="shared" si="10"/>
        <v>บังใบบน</v>
      </c>
      <c r="C160" s="173" t="str">
        <f>C134</f>
        <v>DOOR STOP HEAD</v>
      </c>
      <c r="D160" s="174" t="str">
        <f>VLOOKUP(C160,$C$133:$H$157,2,0)</f>
        <v>B24002</v>
      </c>
      <c r="E160" s="175">
        <f t="shared" si="11"/>
        <v>0.27800000000000002</v>
      </c>
      <c r="F160" s="175">
        <f t="shared" ref="F160:F165" si="14">VLOOKUP(C160,$C$133:$I$157,7,0)</f>
        <v>2914</v>
      </c>
      <c r="G160" s="175">
        <f t="shared" si="12"/>
        <v>1</v>
      </c>
      <c r="H160" s="176">
        <f>ROUNDUP((F160*G160)/6400,0)</f>
        <v>1</v>
      </c>
      <c r="I160" s="500"/>
      <c r="J160" s="501"/>
    </row>
    <row r="161" spans="1:23" s="1" customFormat="1" ht="15" customHeight="1" outlineLevel="1">
      <c r="A161" s="18">
        <f t="shared" si="13"/>
        <v>3</v>
      </c>
      <c r="B161" s="173" t="str">
        <f t="shared" ref="B161" si="15">B135</f>
        <v xml:space="preserve">เฟรมล่าง </v>
      </c>
      <c r="C161" s="173" t="str">
        <f t="shared" si="10"/>
        <v>SILL</v>
      </c>
      <c r="D161" s="174" t="str">
        <f>VLOOKUP(C161,$C$133:$H$157,2,0)</f>
        <v>B24003</v>
      </c>
      <c r="E161" s="175">
        <f t="shared" si="11"/>
        <v>1.603</v>
      </c>
      <c r="F161" s="175">
        <f t="shared" si="14"/>
        <v>2940</v>
      </c>
      <c r="G161" s="175">
        <f t="shared" si="12"/>
        <v>1</v>
      </c>
      <c r="H161" s="176">
        <f t="shared" ref="H161:H162" si="16">ROUNDUP((F161*G161)/6400,0)</f>
        <v>1</v>
      </c>
      <c r="I161" s="500"/>
      <c r="J161" s="501"/>
    </row>
    <row r="162" spans="1:23" s="1" customFormat="1" ht="15" customHeight="1" outlineLevel="1">
      <c r="A162" s="18">
        <f t="shared" si="13"/>
        <v>4</v>
      </c>
      <c r="B162" s="173" t="str">
        <f t="shared" ref="B162" si="17">B136</f>
        <v>ตัวตับธรณี</v>
      </c>
      <c r="C162" s="173" t="str">
        <f t="shared" si="10"/>
        <v>DOOR STOP SILL</v>
      </c>
      <c r="D162" s="174" t="str">
        <f>VLOOKUP(C162,$C$133:$H$157,2,0)</f>
        <v>B24004</v>
      </c>
      <c r="E162" s="175">
        <f t="shared" si="11"/>
        <v>0.51600000000000001</v>
      </c>
      <c r="F162" s="175">
        <f t="shared" si="14"/>
        <v>2940</v>
      </c>
      <c r="G162" s="175">
        <f t="shared" si="12"/>
        <v>1</v>
      </c>
      <c r="H162" s="176">
        <f t="shared" si="16"/>
        <v>1</v>
      </c>
      <c r="I162" s="500"/>
      <c r="J162" s="501"/>
    </row>
    <row r="163" spans="1:23" s="1" customFormat="1" ht="15" customHeight="1" outlineLevel="1">
      <c r="A163" s="18">
        <f t="shared" si="13"/>
        <v>5</v>
      </c>
      <c r="B163" s="173" t="str">
        <f t="shared" ref="B163" si="18">B137</f>
        <v>เฟรมข้าง (ซ้าย)</v>
      </c>
      <c r="C163" s="173" t="str">
        <f>C137</f>
        <v>JAMB (L)</v>
      </c>
      <c r="D163" s="508" t="str">
        <f>VLOOKUP(C163,$C$133:$H$157,2,0)</f>
        <v>B24005</v>
      </c>
      <c r="E163" s="175">
        <f t="shared" si="11"/>
        <v>0.89300000000000002</v>
      </c>
      <c r="F163" s="175">
        <f t="shared" si="14"/>
        <v>2500</v>
      </c>
      <c r="G163" s="175">
        <f t="shared" si="12"/>
        <v>1</v>
      </c>
      <c r="H163" s="516">
        <f>ROUNDUP(((F163*G163)+(F164*G164))/6400,0)</f>
        <v>1</v>
      </c>
      <c r="I163" s="506"/>
      <c r="J163" s="506"/>
    </row>
    <row r="164" spans="1:23" s="1" customFormat="1" ht="15" customHeight="1" outlineLevel="1">
      <c r="A164" s="18">
        <f t="shared" si="13"/>
        <v>6</v>
      </c>
      <c r="B164" s="173" t="str">
        <f t="shared" ref="B164" si="19">B138</f>
        <v>เฟรมข้าง (ขวา)</v>
      </c>
      <c r="C164" s="173" t="str">
        <f>C138</f>
        <v>JAMB (R)</v>
      </c>
      <c r="D164" s="509"/>
      <c r="E164" s="175">
        <f t="shared" si="11"/>
        <v>0.89300000000000002</v>
      </c>
      <c r="F164" s="175">
        <f t="shared" si="14"/>
        <v>2500</v>
      </c>
      <c r="G164" s="175">
        <f t="shared" si="12"/>
        <v>1</v>
      </c>
      <c r="H164" s="516"/>
      <c r="I164" s="506"/>
      <c r="J164" s="506"/>
    </row>
    <row r="165" spans="1:23" s="1" customFormat="1" ht="15" customHeight="1" outlineLevel="1">
      <c r="A165" s="18">
        <f t="shared" si="13"/>
        <v>7</v>
      </c>
      <c r="B165" s="173" t="str">
        <f t="shared" ref="B165" si="20">B139</f>
        <v>บังใบข้าง (ซ้าย)</v>
      </c>
      <c r="C165" s="173" t="str">
        <f>C139</f>
        <v>DOOR STOP JAMB (L)</v>
      </c>
      <c r="D165" s="508" t="str">
        <f>VLOOKUP(C165,$C$133:$H$157,2,0)</f>
        <v>B24006</v>
      </c>
      <c r="E165" s="175">
        <f t="shared" si="11"/>
        <v>0.23499999999999999</v>
      </c>
      <c r="F165" s="175">
        <f t="shared" si="14"/>
        <v>2404</v>
      </c>
      <c r="G165" s="175">
        <f t="shared" si="12"/>
        <v>1</v>
      </c>
      <c r="H165" s="516">
        <f>ROUNDUP(((F165*G165)+(F166*G166))/6400,0)</f>
        <v>1</v>
      </c>
      <c r="I165" s="500"/>
      <c r="J165" s="501"/>
    </row>
    <row r="166" spans="1:23" s="1" customFormat="1" ht="15" customHeight="1" outlineLevel="1">
      <c r="A166" s="18">
        <f t="shared" ref="A166:A172" si="21">IF(B166="","",+A165+1)</f>
        <v>8</v>
      </c>
      <c r="B166" s="173" t="str">
        <f t="shared" ref="B166" si="22">B140</f>
        <v>บังใบข้าง (ขวา)</v>
      </c>
      <c r="C166" s="173" t="str">
        <f t="shared" ref="C166:C172" si="23">C140</f>
        <v>DOOR STOP JAMB (R)</v>
      </c>
      <c r="D166" s="509"/>
      <c r="E166" s="175">
        <f t="shared" ref="E166:E172" si="24">VLOOKUP(C166,$C$133:$H$157,3,0)</f>
        <v>0.23499999999999999</v>
      </c>
      <c r="F166" s="175">
        <f t="shared" ref="F166:F172" si="25">VLOOKUP(C166,$C$133:$I$157,7,0)</f>
        <v>2404</v>
      </c>
      <c r="G166" s="175">
        <f t="shared" ref="G166:G172" si="26">VLOOKUP(C166,$C$133:$J$157,8,0)</f>
        <v>1</v>
      </c>
      <c r="H166" s="516"/>
      <c r="I166" s="533"/>
      <c r="J166" s="506"/>
    </row>
    <row r="167" spans="1:23" s="1" customFormat="1" ht="13.8" outlineLevel="1">
      <c r="A167" s="18">
        <f t="shared" si="21"/>
        <v>9</v>
      </c>
      <c r="B167" s="173" t="str">
        <f t="shared" ref="B167" si="27">B141</f>
        <v>ขวางบน</v>
      </c>
      <c r="C167" s="173" t="str">
        <f t="shared" si="23"/>
        <v>SASH (Hor) (T)</v>
      </c>
      <c r="D167" s="508" t="str">
        <f t="shared" ref="D167:D171" si="28">VLOOKUP(C167,$C$133:$H$157,2,0)</f>
        <v>B24007</v>
      </c>
      <c r="E167" s="175">
        <f t="shared" si="24"/>
        <v>1.1060000000000001</v>
      </c>
      <c r="F167" s="175">
        <f t="shared" si="25"/>
        <v>1352.375</v>
      </c>
      <c r="G167" s="175">
        <f t="shared" si="26"/>
        <v>2</v>
      </c>
      <c r="H167" s="512">
        <f>ROUNDUP(((F167*G167)+(F168*G168)+(F169*G169)+(F170*G170))/6400,0)</f>
        <v>3</v>
      </c>
      <c r="I167" s="533"/>
      <c r="J167" s="506"/>
    </row>
    <row r="168" spans="1:23" s="1" customFormat="1" ht="13.8" outlineLevel="1">
      <c r="A168" s="18">
        <f t="shared" si="21"/>
        <v>10</v>
      </c>
      <c r="B168" s="173" t="str">
        <f t="shared" ref="B168" si="29">B142</f>
        <v>ขวางล่าง</v>
      </c>
      <c r="C168" s="173" t="str">
        <f t="shared" si="23"/>
        <v>SASH (Hor) (B)</v>
      </c>
      <c r="D168" s="510"/>
      <c r="E168" s="175">
        <f t="shared" si="24"/>
        <v>1.1060000000000001</v>
      </c>
      <c r="F168" s="175">
        <f t="shared" si="25"/>
        <v>1352.375</v>
      </c>
      <c r="G168" s="175">
        <f t="shared" si="26"/>
        <v>2</v>
      </c>
      <c r="H168" s="514"/>
      <c r="I168" s="533"/>
      <c r="J168" s="506"/>
    </row>
    <row r="169" spans="1:23" s="1" customFormat="1" ht="13.8" outlineLevel="1">
      <c r="A169" s="18">
        <f t="shared" si="21"/>
        <v>11</v>
      </c>
      <c r="B169" s="173" t="str">
        <f t="shared" ref="B169" si="30">B143</f>
        <v>เสา</v>
      </c>
      <c r="C169" s="173" t="str">
        <f t="shared" si="23"/>
        <v xml:space="preserve">SASH (Ver) </v>
      </c>
      <c r="D169" s="510"/>
      <c r="E169" s="175">
        <f t="shared" si="24"/>
        <v>1.1060000000000001</v>
      </c>
      <c r="F169" s="175">
        <f t="shared" si="25"/>
        <v>2408</v>
      </c>
      <c r="G169" s="175">
        <f t="shared" si="26"/>
        <v>3</v>
      </c>
      <c r="H169" s="514"/>
      <c r="I169" s="533"/>
      <c r="J169" s="506"/>
    </row>
    <row r="170" spans="1:23" s="1" customFormat="1" ht="13.8" outlineLevel="1">
      <c r="A170" s="18">
        <f t="shared" si="21"/>
        <v>12</v>
      </c>
      <c r="B170" s="173" t="str">
        <f t="shared" ref="B170" si="31">B144</f>
        <v>เสากุญแจ</v>
      </c>
      <c r="C170" s="173" t="str">
        <f t="shared" si="23"/>
        <v xml:space="preserve">SASH (Ver) LOCK </v>
      </c>
      <c r="D170" s="509"/>
      <c r="E170" s="175">
        <f t="shared" si="24"/>
        <v>1.1060000000000001</v>
      </c>
      <c r="F170" s="175">
        <f t="shared" si="25"/>
        <v>2408</v>
      </c>
      <c r="G170" s="175">
        <f t="shared" si="26"/>
        <v>1</v>
      </c>
      <c r="H170" s="515"/>
      <c r="I170" s="533"/>
      <c r="J170" s="506"/>
    </row>
    <row r="171" spans="1:23" s="1" customFormat="1" ht="13.8" outlineLevel="1">
      <c r="A171" s="18">
        <f t="shared" si="21"/>
        <v>13</v>
      </c>
      <c r="B171" s="173" t="str">
        <f t="shared" ref="B171" si="32">B145</f>
        <v>5-6mm คิ้วตบกระจกแนวนอน</v>
      </c>
      <c r="C171" s="173" t="str">
        <f t="shared" si="23"/>
        <v>5-6mm GLAZING BEAD HORIZONTAL</v>
      </c>
      <c r="D171" s="508" t="str">
        <f t="shared" si="28"/>
        <v>B24008</v>
      </c>
      <c r="E171" s="175">
        <f t="shared" si="24"/>
        <v>0.23100000000000001</v>
      </c>
      <c r="F171" s="175">
        <f t="shared" si="25"/>
        <v>1352.375</v>
      </c>
      <c r="G171" s="175">
        <f t="shared" si="26"/>
        <v>4</v>
      </c>
      <c r="H171" s="516">
        <f>ROUNDUP(((F171*G171)+(F172*G172))/6400,0)</f>
        <v>3</v>
      </c>
      <c r="I171" s="533"/>
      <c r="J171" s="506"/>
    </row>
    <row r="172" spans="1:23" s="1" customFormat="1" outlineLevel="1" thickBot="1">
      <c r="A172" s="18">
        <f t="shared" si="21"/>
        <v>14</v>
      </c>
      <c r="B172" s="173" t="str">
        <f t="shared" ref="B172" si="33">B146</f>
        <v>5-6mm คิ้วตบกระจกแนวตั้ง</v>
      </c>
      <c r="C172" s="173" t="str">
        <f t="shared" si="23"/>
        <v>5-6mm GLAZING BEAD VERTICAL</v>
      </c>
      <c r="D172" s="511"/>
      <c r="E172" s="175">
        <f t="shared" si="24"/>
        <v>0.23100000000000001</v>
      </c>
      <c r="F172" s="175">
        <f t="shared" si="25"/>
        <v>2258</v>
      </c>
      <c r="G172" s="175">
        <f t="shared" si="26"/>
        <v>4</v>
      </c>
      <c r="H172" s="516"/>
      <c r="I172" s="500"/>
      <c r="J172" s="501"/>
    </row>
    <row r="173" spans="1:23" s="1" customFormat="1" ht="24.9" customHeight="1" thickBot="1">
      <c r="A173" s="529" t="s">
        <v>9</v>
      </c>
      <c r="B173" s="530"/>
      <c r="C173" s="530"/>
      <c r="D173" s="530"/>
      <c r="E173" s="530"/>
      <c r="F173" s="530"/>
      <c r="G173" s="530"/>
      <c r="H173" s="530"/>
      <c r="I173" s="530"/>
      <c r="J173" s="531"/>
    </row>
    <row r="174" spans="1:23" s="1" customFormat="1" ht="35.1" customHeight="1" thickBot="1">
      <c r="A174" s="102" t="s">
        <v>2</v>
      </c>
      <c r="B174" s="103" t="s">
        <v>29</v>
      </c>
      <c r="C174" s="103" t="s">
        <v>3</v>
      </c>
      <c r="D174" s="103" t="s">
        <v>199</v>
      </c>
      <c r="E174" s="103" t="s">
        <v>5</v>
      </c>
      <c r="F174" s="104" t="s">
        <v>28</v>
      </c>
      <c r="G174" s="103" t="s">
        <v>19</v>
      </c>
      <c r="H174" s="104" t="s">
        <v>200</v>
      </c>
      <c r="I174" s="104" t="s">
        <v>20</v>
      </c>
      <c r="J174" s="115" t="s">
        <v>201</v>
      </c>
      <c r="N174" s="101" t="s">
        <v>191</v>
      </c>
      <c r="O174" s="246" t="s">
        <v>29</v>
      </c>
      <c r="P174" s="246" t="s">
        <v>3</v>
      </c>
      <c r="Q174" s="246" t="s">
        <v>199</v>
      </c>
      <c r="R174" s="246" t="s">
        <v>5</v>
      </c>
      <c r="S174" s="246" t="s">
        <v>28</v>
      </c>
      <c r="T174" s="246" t="s">
        <v>19</v>
      </c>
      <c r="U174" s="246" t="s">
        <v>200</v>
      </c>
      <c r="V174" s="246" t="s">
        <v>20</v>
      </c>
      <c r="W174" s="246" t="s">
        <v>201</v>
      </c>
    </row>
    <row r="175" spans="1:23" s="1" customFormat="1" ht="18" customHeight="1">
      <c r="A175" s="120">
        <f>IF(B175="","",1)</f>
        <v>1</v>
      </c>
      <c r="B175" s="127" t="s">
        <v>110</v>
      </c>
      <c r="C175" s="140" t="s">
        <v>66</v>
      </c>
      <c r="D175" s="128" t="s">
        <v>73</v>
      </c>
      <c r="E175" s="129"/>
      <c r="F175" s="129" t="s">
        <v>73</v>
      </c>
      <c r="G175" s="129" t="s">
        <v>202</v>
      </c>
      <c r="H175" s="129">
        <v>1</v>
      </c>
      <c r="I175" s="130"/>
      <c r="J175" s="131">
        <f t="shared" ref="J175:J186" si="34">$J$120*H175</f>
        <v>1</v>
      </c>
      <c r="N175" s="101" t="s">
        <v>226</v>
      </c>
      <c r="O175" s="280" t="s">
        <v>252</v>
      </c>
      <c r="P175" s="290" t="s">
        <v>248</v>
      </c>
      <c r="Q175" s="280" t="s">
        <v>69</v>
      </c>
      <c r="R175" s="213"/>
      <c r="S175" s="213" t="s">
        <v>69</v>
      </c>
      <c r="T175" s="213" t="s">
        <v>198</v>
      </c>
      <c r="U175" s="291">
        <f>((($I$141*$G$141)+($I$142*$G$142)+($I$143*$G$143)+($I$144*$G$144))/1000)*$J$120</f>
        <v>15.041499999999999</v>
      </c>
      <c r="V175" s="291">
        <v>100</v>
      </c>
      <c r="W175" s="292">
        <f>ROUNDUP((U175)/100,0)</f>
        <v>1</v>
      </c>
    </row>
    <row r="176" spans="1:23" s="1" customFormat="1" ht="18" customHeight="1">
      <c r="A176" s="126">
        <f>IF(B176="","",+A175+1)</f>
        <v>2</v>
      </c>
      <c r="B176" s="127" t="s">
        <v>111</v>
      </c>
      <c r="C176" s="140" t="s">
        <v>67</v>
      </c>
      <c r="D176" s="128" t="s">
        <v>74</v>
      </c>
      <c r="E176" s="129"/>
      <c r="F176" s="129" t="s">
        <v>74</v>
      </c>
      <c r="G176" s="129" t="s">
        <v>202</v>
      </c>
      <c r="H176" s="129">
        <v>4</v>
      </c>
      <c r="I176" s="130"/>
      <c r="J176" s="131">
        <f t="shared" si="34"/>
        <v>4</v>
      </c>
      <c r="N176" s="101" t="s">
        <v>230</v>
      </c>
      <c r="O176" s="280" t="s">
        <v>253</v>
      </c>
      <c r="P176" s="290" t="s">
        <v>249</v>
      </c>
      <c r="Q176" s="280" t="s">
        <v>188</v>
      </c>
      <c r="R176" s="213"/>
      <c r="S176" s="213" t="s">
        <v>188</v>
      </c>
      <c r="T176" s="213" t="s">
        <v>198</v>
      </c>
      <c r="U176" s="291">
        <f>((($I$141*$G$141)+($I$142*$G$142)+($I$143*$G$143)+($I$144*$G$144))/1000)*$J$120</f>
        <v>15.041499999999999</v>
      </c>
      <c r="V176" s="291">
        <v>100</v>
      </c>
      <c r="W176" s="292">
        <f t="shared" ref="W176:W178" si="35">ROUNDUP((U176)/100,0)</f>
        <v>1</v>
      </c>
    </row>
    <row r="177" spans="1:23" s="1" customFormat="1" ht="18" customHeight="1">
      <c r="A177" s="126">
        <f t="shared" ref="A177:A192" si="36">IF(B177="","",+A176+1)</f>
        <v>3</v>
      </c>
      <c r="B177" s="127" t="s">
        <v>106</v>
      </c>
      <c r="C177" s="140" t="s">
        <v>503</v>
      </c>
      <c r="D177" s="128" t="s">
        <v>75</v>
      </c>
      <c r="E177" s="129"/>
      <c r="F177" s="129" t="s">
        <v>75</v>
      </c>
      <c r="G177" s="129" t="s">
        <v>202</v>
      </c>
      <c r="H177" s="129">
        <v>2</v>
      </c>
      <c r="I177" s="130"/>
      <c r="J177" s="131">
        <f t="shared" si="34"/>
        <v>2</v>
      </c>
      <c r="N177" s="101" t="s">
        <v>229</v>
      </c>
      <c r="O177" s="290" t="s">
        <v>254</v>
      </c>
      <c r="P177" s="290" t="s">
        <v>250</v>
      </c>
      <c r="Q177" s="280" t="s">
        <v>70</v>
      </c>
      <c r="R177" s="213"/>
      <c r="S177" s="213" t="s">
        <v>70</v>
      </c>
      <c r="T177" s="213" t="s">
        <v>198</v>
      </c>
      <c r="U177" s="291">
        <f>((($I$141*$G$141)+($I$142*$G$142)+($I$143*$G$143)+($I$144*$G$144))/1000)*$J$120</f>
        <v>15.041499999999999</v>
      </c>
      <c r="V177" s="291">
        <v>100</v>
      </c>
      <c r="W177" s="292">
        <f t="shared" si="35"/>
        <v>1</v>
      </c>
    </row>
    <row r="178" spans="1:23" s="1" customFormat="1" ht="18" customHeight="1">
      <c r="A178" s="126">
        <f t="shared" si="36"/>
        <v>4</v>
      </c>
      <c r="B178" s="127" t="s">
        <v>107</v>
      </c>
      <c r="C178" s="140" t="s">
        <v>504</v>
      </c>
      <c r="D178" s="128" t="s">
        <v>76</v>
      </c>
      <c r="E178" s="129"/>
      <c r="F178" s="129" t="s">
        <v>76</v>
      </c>
      <c r="G178" s="129" t="s">
        <v>202</v>
      </c>
      <c r="H178" s="129">
        <v>2</v>
      </c>
      <c r="I178" s="130"/>
      <c r="J178" s="131">
        <f t="shared" si="34"/>
        <v>2</v>
      </c>
      <c r="N178" s="101" t="s">
        <v>231</v>
      </c>
      <c r="O178" s="290" t="s">
        <v>255</v>
      </c>
      <c r="P178" s="290" t="s">
        <v>251</v>
      </c>
      <c r="Q178" s="280" t="s">
        <v>189</v>
      </c>
      <c r="R178" s="213"/>
      <c r="S178" s="213" t="s">
        <v>189</v>
      </c>
      <c r="T178" s="213" t="s">
        <v>198</v>
      </c>
      <c r="U178" s="291">
        <f>((($I$141*$G$141)+($I$142*$G$142)+($I$143*$G$143)+($I$144*$G$144))/1000)*$J$120</f>
        <v>15.041499999999999</v>
      </c>
      <c r="V178" s="291">
        <v>100</v>
      </c>
      <c r="W178" s="292">
        <f t="shared" si="35"/>
        <v>1</v>
      </c>
    </row>
    <row r="179" spans="1:23" s="1" customFormat="1" ht="18" customHeight="1">
      <c r="A179" s="126">
        <f t="shared" si="36"/>
        <v>5</v>
      </c>
      <c r="B179" s="127" t="s">
        <v>108</v>
      </c>
      <c r="C179" s="140" t="s">
        <v>10</v>
      </c>
      <c r="D179" s="128">
        <v>9</v>
      </c>
      <c r="E179" s="129"/>
      <c r="F179" s="129">
        <v>9</v>
      </c>
      <c r="G179" s="129" t="s">
        <v>202</v>
      </c>
      <c r="H179" s="129">
        <v>16</v>
      </c>
      <c r="I179" s="130"/>
      <c r="J179" s="131">
        <f t="shared" si="34"/>
        <v>16</v>
      </c>
      <c r="N179" s="101" t="s">
        <v>232</v>
      </c>
      <c r="O179" s="290" t="s">
        <v>256</v>
      </c>
      <c r="P179" s="290" t="s">
        <v>247</v>
      </c>
      <c r="Q179" s="280" t="s">
        <v>233</v>
      </c>
      <c r="R179" s="213"/>
      <c r="S179" s="213" t="s">
        <v>233</v>
      </c>
      <c r="T179" s="213" t="s">
        <v>198</v>
      </c>
      <c r="U179" s="291">
        <f>((($I$141*$G$141)+($I$142*$G$142)+($I$143*$G$143)+($I$144*$G$144))/1000)*$J$120</f>
        <v>15.041499999999999</v>
      </c>
      <c r="V179" s="291">
        <v>100</v>
      </c>
      <c r="W179" s="292">
        <f>ROUNDUP((U179)/100,0)</f>
        <v>1</v>
      </c>
    </row>
    <row r="180" spans="1:23" s="1" customFormat="1" ht="18" customHeight="1">
      <c r="A180" s="126">
        <f t="shared" si="36"/>
        <v>6</v>
      </c>
      <c r="B180" s="127" t="s">
        <v>109</v>
      </c>
      <c r="C180" s="140" t="s">
        <v>68</v>
      </c>
      <c r="D180" s="139">
        <v>9</v>
      </c>
      <c r="E180" s="143"/>
      <c r="F180" s="143">
        <v>9</v>
      </c>
      <c r="G180" s="129" t="s">
        <v>202</v>
      </c>
      <c r="H180" s="143">
        <v>32</v>
      </c>
      <c r="I180" s="130"/>
      <c r="J180" s="131">
        <f t="shared" si="34"/>
        <v>32</v>
      </c>
    </row>
    <row r="181" spans="1:23" s="1" customFormat="1" ht="18" customHeight="1">
      <c r="A181" s="126">
        <f t="shared" si="36"/>
        <v>7</v>
      </c>
      <c r="B181" s="127" t="s">
        <v>120</v>
      </c>
      <c r="C181" s="140" t="s">
        <v>94</v>
      </c>
      <c r="D181" s="139" t="s">
        <v>96</v>
      </c>
      <c r="E181" s="143"/>
      <c r="F181" s="143" t="s">
        <v>96</v>
      </c>
      <c r="G181" s="143" t="s">
        <v>185</v>
      </c>
      <c r="H181" s="143">
        <v>1</v>
      </c>
      <c r="I181" s="130"/>
      <c r="J181" s="131">
        <f t="shared" si="34"/>
        <v>1</v>
      </c>
    </row>
    <row r="182" spans="1:23" s="1" customFormat="1" ht="18" customHeight="1">
      <c r="A182" s="126">
        <f t="shared" si="36"/>
        <v>8</v>
      </c>
      <c r="B182" s="127" t="s">
        <v>119</v>
      </c>
      <c r="C182" s="140" t="s">
        <v>95</v>
      </c>
      <c r="D182" s="139" t="s">
        <v>97</v>
      </c>
      <c r="E182" s="143"/>
      <c r="F182" s="143" t="s">
        <v>97</v>
      </c>
      <c r="G182" s="143" t="s">
        <v>185</v>
      </c>
      <c r="H182" s="143">
        <v>1</v>
      </c>
      <c r="I182" s="130"/>
      <c r="J182" s="131">
        <f t="shared" si="34"/>
        <v>1</v>
      </c>
    </row>
    <row r="183" spans="1:23" s="1" customFormat="1" ht="18" customHeight="1">
      <c r="A183" s="126">
        <f t="shared" si="36"/>
        <v>9</v>
      </c>
      <c r="B183" s="127" t="s">
        <v>117</v>
      </c>
      <c r="C183" s="140" t="s">
        <v>79</v>
      </c>
      <c r="D183" s="139" t="s">
        <v>82</v>
      </c>
      <c r="E183" s="143"/>
      <c r="F183" s="143" t="s">
        <v>82</v>
      </c>
      <c r="G183" s="143" t="s">
        <v>185</v>
      </c>
      <c r="H183" s="143">
        <v>1</v>
      </c>
      <c r="I183" s="130"/>
      <c r="J183" s="131">
        <f t="shared" si="34"/>
        <v>1</v>
      </c>
    </row>
    <row r="184" spans="1:23" s="1" customFormat="1" ht="18" customHeight="1">
      <c r="A184" s="126">
        <f t="shared" si="36"/>
        <v>10</v>
      </c>
      <c r="B184" s="127" t="s">
        <v>113</v>
      </c>
      <c r="C184" s="140" t="s">
        <v>502</v>
      </c>
      <c r="D184" s="139" t="s">
        <v>83</v>
      </c>
      <c r="E184" s="143"/>
      <c r="F184" s="143" t="s">
        <v>83</v>
      </c>
      <c r="G184" s="143" t="s">
        <v>185</v>
      </c>
      <c r="H184" s="143">
        <v>1</v>
      </c>
      <c r="I184" s="130"/>
      <c r="J184" s="131">
        <f t="shared" si="34"/>
        <v>1</v>
      </c>
      <c r="N184" s="56"/>
      <c r="O184" s="56"/>
      <c r="P184" s="56"/>
      <c r="Q184" s="289"/>
      <c r="R184" s="289"/>
      <c r="S184" s="289"/>
      <c r="T184" s="17"/>
      <c r="U184" s="17"/>
      <c r="V184" s="17"/>
      <c r="W184" s="56"/>
    </row>
    <row r="185" spans="1:23" s="1" customFormat="1" ht="18" customHeight="1">
      <c r="A185" s="126">
        <f t="shared" si="36"/>
        <v>11</v>
      </c>
      <c r="B185" s="127" t="s">
        <v>112</v>
      </c>
      <c r="C185" s="140" t="s">
        <v>114</v>
      </c>
      <c r="D185" s="128" t="s">
        <v>520</v>
      </c>
      <c r="E185" s="129"/>
      <c r="F185" s="129" t="s">
        <v>520</v>
      </c>
      <c r="G185" s="143" t="s">
        <v>202</v>
      </c>
      <c r="H185" s="143">
        <v>2</v>
      </c>
      <c r="I185" s="144"/>
      <c r="J185" s="131">
        <f t="shared" si="34"/>
        <v>2</v>
      </c>
      <c r="N185" s="101" t="s">
        <v>227</v>
      </c>
      <c r="O185" s="246" t="s">
        <v>29</v>
      </c>
      <c r="P185" s="246" t="s">
        <v>3</v>
      </c>
      <c r="Q185" s="246" t="s">
        <v>199</v>
      </c>
      <c r="R185" s="246" t="s">
        <v>5</v>
      </c>
      <c r="S185" s="246" t="s">
        <v>28</v>
      </c>
      <c r="T185" s="246" t="s">
        <v>19</v>
      </c>
      <c r="U185" s="246" t="s">
        <v>200</v>
      </c>
      <c r="V185" s="246" t="s">
        <v>20</v>
      </c>
      <c r="W185" s="246" t="s">
        <v>201</v>
      </c>
    </row>
    <row r="186" spans="1:23" s="1" customFormat="1" ht="18" customHeight="1">
      <c r="A186" s="126">
        <f t="shared" si="36"/>
        <v>12</v>
      </c>
      <c r="B186" s="127" t="s">
        <v>115</v>
      </c>
      <c r="C186" s="140" t="s">
        <v>45</v>
      </c>
      <c r="D186" s="139" t="s">
        <v>84</v>
      </c>
      <c r="E186" s="143"/>
      <c r="F186" s="143" t="s">
        <v>84</v>
      </c>
      <c r="G186" s="143" t="s">
        <v>202</v>
      </c>
      <c r="H186" s="143">
        <v>1</v>
      </c>
      <c r="I186" s="144"/>
      <c r="J186" s="131">
        <f t="shared" si="34"/>
        <v>1</v>
      </c>
      <c r="N186" s="101" t="s">
        <v>240</v>
      </c>
      <c r="O186" s="290" t="s">
        <v>234</v>
      </c>
      <c r="P186" s="290" t="s">
        <v>236</v>
      </c>
      <c r="Q186" s="280" t="s">
        <v>190</v>
      </c>
      <c r="R186" s="213"/>
      <c r="S186" s="213" t="s">
        <v>190</v>
      </c>
      <c r="T186" s="213" t="s">
        <v>198</v>
      </c>
      <c r="U186" s="291">
        <f>((($I$134*$G$134)+($I$136*$G$136)+($I$139*$G$139))/1000)*$J$120</f>
        <v>8.2579999999999991</v>
      </c>
      <c r="V186" s="291">
        <v>300</v>
      </c>
      <c r="W186" s="292">
        <f>ROUNDUP((U186)/V186,0)</f>
        <v>1</v>
      </c>
    </row>
    <row r="187" spans="1:23" s="1" customFormat="1" ht="18" customHeight="1">
      <c r="A187" s="126">
        <f t="shared" si="36"/>
        <v>13</v>
      </c>
      <c r="B187" s="139" t="str">
        <f>IF($D$129="Standard",O186,IF($D$129="Soumdproof",O187,))</f>
        <v>ยางเฟรมกันน้ำ (ธรรมดา)</v>
      </c>
      <c r="C187" s="139" t="str">
        <f t="shared" ref="C187:I187" si="37">IF($D$129="Standard",P186,IF($D$129="Soumdproof",P187,))</f>
        <v>FRAME SEAL (Standard)</v>
      </c>
      <c r="D187" s="139" t="str">
        <f t="shared" si="37"/>
        <v>02-026</v>
      </c>
      <c r="E187" s="139">
        <f t="shared" si="37"/>
        <v>0</v>
      </c>
      <c r="F187" s="143" t="str">
        <f t="shared" si="37"/>
        <v>02-026</v>
      </c>
      <c r="G187" s="143" t="str">
        <f t="shared" si="37"/>
        <v>M</v>
      </c>
      <c r="H187" s="261">
        <f t="shared" si="37"/>
        <v>8.2579999999999991</v>
      </c>
      <c r="I187" s="258">
        <f t="shared" si="37"/>
        <v>300</v>
      </c>
      <c r="J187" s="267">
        <f>ROUNDUP((H187)/100,0)</f>
        <v>1</v>
      </c>
      <c r="N187" s="101" t="s">
        <v>241</v>
      </c>
      <c r="O187" s="290" t="s">
        <v>235</v>
      </c>
      <c r="P187" s="290" t="s">
        <v>238</v>
      </c>
      <c r="Q187" s="280" t="s">
        <v>71</v>
      </c>
      <c r="R187" s="213"/>
      <c r="S187" s="213" t="s">
        <v>71</v>
      </c>
      <c r="T187" s="213" t="s">
        <v>198</v>
      </c>
      <c r="U187" s="291">
        <f>((($I$134*$G$134)+($I$136*$G$136)+($I$139*$G$139))/1000)*$J$120</f>
        <v>8.2579999999999991</v>
      </c>
      <c r="V187" s="291">
        <v>100</v>
      </c>
      <c r="W187" s="292">
        <f t="shared" ref="W187:W189" si="38">ROUNDUP((U187)/V187,0)</f>
        <v>1</v>
      </c>
    </row>
    <row r="188" spans="1:23" s="1" customFormat="1" ht="18" customHeight="1">
      <c r="A188" s="126">
        <f t="shared" si="36"/>
        <v>14</v>
      </c>
      <c r="B188" s="139" t="str">
        <f>IF($D$129="Standard",O188,IF($D$129="Soumdproof",O189,))</f>
        <v>ยางแซชกันน้ำ (ธรรมดา)</v>
      </c>
      <c r="C188" s="139" t="str">
        <f t="shared" ref="C188:I188" si="39">IF($D$129="Standard",P188,IF($D$129="Soumdproof",P189,))</f>
        <v>SASH SEAL FOAM (Standard)</v>
      </c>
      <c r="D188" s="139" t="str">
        <f t="shared" si="39"/>
        <v>02-031</v>
      </c>
      <c r="E188" s="139">
        <f t="shared" si="39"/>
        <v>0</v>
      </c>
      <c r="F188" s="143" t="str">
        <f t="shared" si="39"/>
        <v>02-031</v>
      </c>
      <c r="G188" s="143" t="str">
        <f t="shared" si="39"/>
        <v>M</v>
      </c>
      <c r="H188" s="261">
        <f t="shared" si="39"/>
        <v>24.673500000000001</v>
      </c>
      <c r="I188" s="258">
        <f t="shared" si="39"/>
        <v>350</v>
      </c>
      <c r="J188" s="267">
        <f>ROUNDUP((H188)/100,0)</f>
        <v>1</v>
      </c>
      <c r="N188" s="101" t="s">
        <v>240</v>
      </c>
      <c r="O188" s="290" t="s">
        <v>245</v>
      </c>
      <c r="P188" s="290" t="s">
        <v>237</v>
      </c>
      <c r="Q188" s="280" t="s">
        <v>72</v>
      </c>
      <c r="R188" s="213"/>
      <c r="S188" s="213" t="s">
        <v>72</v>
      </c>
      <c r="T188" s="213" t="s">
        <v>198</v>
      </c>
      <c r="U188" s="291">
        <f>((($I$143*$G$143*2)+($I$144*$G$144*2)+($I$141*$G$141*2))/1000)*$J$120</f>
        <v>24.673500000000001</v>
      </c>
      <c r="V188" s="291">
        <v>350</v>
      </c>
      <c r="W188" s="292">
        <f t="shared" si="38"/>
        <v>1</v>
      </c>
    </row>
    <row r="189" spans="1:23" s="1" customFormat="1" ht="18" customHeight="1">
      <c r="A189" s="126">
        <f t="shared" si="36"/>
        <v>15</v>
      </c>
      <c r="B189" s="241" t="str">
        <f>IF($D$127=5,$O$177,IF($D$127=6,$O$178,IF($D$127=8,$O$179,IF($D$127=10,$O$177,IF($D$127=12,$O$177,IF($D$127=14,$O$179,IF($D$127=18,$O$177,IF($D$127=20,$O$178,IF($D$127=22,"")))))))))</f>
        <v>6,20 mm ยางอัดกระจก</v>
      </c>
      <c r="C189" s="241" t="str">
        <f>IF($D$127=5,$P$177,IF($D$127=6,$P$178,IF($D$127=8,$P$179,IF($D$127=10,$P$177,IF($D$127=12,$P$177,IF($D$127=14,$P$179,IF($D$127=18,$P$177,IF($D$127=20,$P$178,IF($D$127=22,"")))))))))</f>
        <v>6,20 mm ROLL IN WEDGE</v>
      </c>
      <c r="D189" s="241" t="str">
        <f>IF($D$127=5,$Q$177,IF($D$127=6,$Q$178,IF($D$127=8,$Q$179,IF($D$127=10,$Q$177,IF($D$127=12,$Q$177,IF($D$127=14,$Q$179,IF($D$127=18,$Q$177,IF($D$127=20,$Q$178,IF($D$127=22,"")))))))))</f>
        <v>02-034</v>
      </c>
      <c r="E189" s="241">
        <f t="shared" ref="E189" si="40">IF($D$127=5,R177,IF($D$127=6,R178,IF($D$127=8,R179,IF($D$127=10,R177,IF($D$127=12,R177,IF($D$127=14,R179,IF($D$127=18,R177,IF($D$127=20,R178,IF($D$127=22,"",)))))))))</f>
        <v>0</v>
      </c>
      <c r="F189" s="242" t="str">
        <f>IF($D$127=5,$S$177,IF($D$127=6,$S$178,IF($D$127=8,$S$179,IF($D$127=10,$S$177,IF($D$127=12,$S$177,IF($D$127=14,$S$179,IF($D$127=18,$S$177,IF($D$127=20,$S$178,IF($D$127=22,"")))))))))</f>
        <v>02-034</v>
      </c>
      <c r="G189" s="242" t="str">
        <f>IF($D$127=5,$T$177,IF($D$127=6,$T$178,IF($D$127=8,$T$179,IF($D$127=10,$T$177,IF($D$127=12,$T$177,IF($D$127=14,$T$179,IF($D$127=18,$T$177,IF($D$127=20,$T$178,IF($D$127=22,"")))))))))</f>
        <v>M</v>
      </c>
      <c r="H189" s="261">
        <f>IF($D$127=5,$U$177,IF($D$127=6,$U$178,IF($D$127=8,$U$179,IF($D$127=10,$U$177*2,IF($D$127=12,$U$177,IF($D$127=14,$U$179*2,IF($D$127=18,$U$177,IF($D$127=20,$U$178,IF($D$127=22,"")))))))))</f>
        <v>15.041499999999999</v>
      </c>
      <c r="I189" s="258">
        <f>IF($D$127=5,$V$177,IF($D$127=6,$V$178,IF($D$127=8,$V$179,IF($D$127=10,$V$177,IF($D$127=12,$V$177,IF($D$127=14,$V$179,IF($D$127=18,$V$177,IF($D$127=20,$V$178,IF($D$127=22,"")))))))))</f>
        <v>100</v>
      </c>
      <c r="J189" s="267">
        <f>ROUNDUP((H189)/100,0)</f>
        <v>1</v>
      </c>
      <c r="N189" s="101" t="s">
        <v>241</v>
      </c>
      <c r="O189" s="290" t="s">
        <v>246</v>
      </c>
      <c r="P189" s="290" t="s">
        <v>239</v>
      </c>
      <c r="Q189" s="280" t="s">
        <v>193</v>
      </c>
      <c r="R189" s="213"/>
      <c r="S189" s="213" t="s">
        <v>193</v>
      </c>
      <c r="T189" s="213" t="s">
        <v>198</v>
      </c>
      <c r="U189" s="291">
        <f>((($I$143*$G$143*2)+($I$144*$G$144*2)+($I$141*$G$141*2))/1000)*$J$120</f>
        <v>24.673500000000001</v>
      </c>
      <c r="V189" s="291">
        <v>100</v>
      </c>
      <c r="W189" s="292">
        <f t="shared" si="38"/>
        <v>1</v>
      </c>
    </row>
    <row r="190" spans="1:23" s="1" customFormat="1" ht="18" customHeight="1">
      <c r="A190" s="126">
        <f t="shared" si="36"/>
        <v>16</v>
      </c>
      <c r="B190" s="241" t="str">
        <f>IF($D$127=5,$O$175,IF($D$127=6,$O$175,IF($D$127=8,$O$177,IF($D$127=10,"",IF($D$127=12,$O$176,IF($D$127=14,"",IF($D$127=18,$O$175,IF($D$127=20,$O$176,IF($D$127=22,"",)))))))))</f>
        <v>5,6,18 mm ยางรองกระจก</v>
      </c>
      <c r="C190" s="241" t="str">
        <f>IF($D$127=5,$P$175,IF($D$127=6,$P$175,IF($D$127=8,$P$177,IF($D$127=10,"",IF($D$127=12,$P$176,IF($D$127=14,"",IF($D$127=18,$P$175,IF($D$127=20,$P$176,IF($D$127=22,"",)))))))))</f>
        <v>5,6,18 mm CAPTIVE WEDGE</v>
      </c>
      <c r="D190" s="241" t="str">
        <f>IF($D$127=5,$Q$175,IF($D$127=6,$Q$175,IF($D$127=8,$Q$177,IF($D$127=10,"",IF($D$127=12,$Q$176,IF($D$127=14,"",IF($D$127=18,$Q$175,IF($D$127=20,$Q$176,IF($D$127=22,"",)))))))))</f>
        <v>02-022</v>
      </c>
      <c r="E190" s="241">
        <f t="shared" ref="E190" si="41">IF($D$127=5,R175,IF($D$127=6,R175,IF($D$127=8,R177,IF($D$127=10,"",IF($D$127=12,R176,IF($D$127=14,"",IF($D$127=18,R175,IF($D$127=20,R176,IF($D$127=22,"",)))))))))</f>
        <v>0</v>
      </c>
      <c r="F190" s="242" t="str">
        <f>IF($D$127=5,$S$175,IF($D$127=6,$S$175,IF($D$127=8,$S$177,IF($D$127=10,"",IF($D$127=12,$S$176,IF($D$127=14,"",IF($D$127=18,$S$175,IF($D$127=20,$S$176,IF($D$127=22,"",)))))))))</f>
        <v>02-022</v>
      </c>
      <c r="G190" s="242" t="str">
        <f>IF($D$127=5,$T$175,IF($D$127=6,$T$175,IF($D$127=8,$T$177,IF($D$127=10,"",IF($D$127=12,$T$176,IF($D$127=14,"",IF($D$127=18,$T$175,IF($D$127=20,$T$176,IF($D$127=22,"",)))))))))</f>
        <v>M</v>
      </c>
      <c r="H190" s="261">
        <f>IF($D$127=5,$U$175,IF($D$127=6,$U$175,IF($D$127=8,$U$177,IF($D$127=10,"",IF($D$127=12,$U$176,IF($D$127=14,"",IF($D$127=18,$U$175,IF($D$127=20,$U$176,IF($D$127=22,"")))))))))</f>
        <v>15.041499999999999</v>
      </c>
      <c r="I190" s="258">
        <f>IF($D$127=5,$V$175,IF($D$127=6,$V$175,IF($D$127=8,$V$177,IF($D$127=10,"",IF($D$127=12,$V$176,IF($D$127=14,"",IF($D$127=18,$V$175,IF($D$127=20,$V$176,IF($D$127=22,"",)))))))))</f>
        <v>100</v>
      </c>
      <c r="J190" s="267">
        <f>ROUNDUP((H190)/100,0)</f>
        <v>1</v>
      </c>
    </row>
    <row r="191" spans="1:23" s="1" customFormat="1" ht="18" customHeight="1">
      <c r="A191" s="126" t="str">
        <f t="shared" si="36"/>
        <v/>
      </c>
      <c r="B191" s="140"/>
      <c r="C191" s="140"/>
      <c r="D191" s="139"/>
      <c r="E191" s="143"/>
      <c r="F191" s="143"/>
      <c r="G191" s="143"/>
      <c r="H191" s="143"/>
      <c r="I191" s="144"/>
      <c r="J191" s="131">
        <f t="shared" ref="J191" si="42">$J$120*H191</f>
        <v>0</v>
      </c>
    </row>
    <row r="192" spans="1:23" s="1" customFormat="1" ht="18" customHeight="1">
      <c r="A192" s="126" t="str">
        <f t="shared" si="36"/>
        <v/>
      </c>
      <c r="B192" s="140"/>
      <c r="C192" s="140"/>
      <c r="D192" s="139"/>
      <c r="E192" s="143"/>
      <c r="F192" s="143"/>
      <c r="G192" s="143"/>
      <c r="H192" s="143"/>
      <c r="I192" s="144"/>
      <c r="J192" s="131"/>
    </row>
    <row r="193" spans="1:25" s="1" customFormat="1" ht="18" customHeight="1">
      <c r="A193" s="126" t="str">
        <f t="shared" ref="A193:A204" si="43">IF(B193="","",+A192+1)</f>
        <v/>
      </c>
      <c r="B193" s="127"/>
      <c r="C193" s="140"/>
      <c r="D193" s="139"/>
      <c r="E193" s="143"/>
      <c r="F193" s="143"/>
      <c r="G193" s="143"/>
      <c r="H193" s="143"/>
      <c r="I193" s="144"/>
      <c r="J193" s="131"/>
    </row>
    <row r="194" spans="1:25" s="1" customFormat="1" ht="18" customHeight="1">
      <c r="A194" s="126" t="str">
        <f t="shared" si="43"/>
        <v/>
      </c>
      <c r="B194" s="127"/>
      <c r="C194" s="140"/>
      <c r="D194" s="139"/>
      <c r="E194" s="143"/>
      <c r="F194" s="143"/>
      <c r="G194" s="143"/>
      <c r="H194" s="143"/>
      <c r="I194" s="144"/>
      <c r="J194" s="131"/>
    </row>
    <row r="195" spans="1:25" ht="18" customHeight="1">
      <c r="A195" s="126" t="str">
        <f t="shared" si="43"/>
        <v/>
      </c>
      <c r="B195" s="127"/>
      <c r="C195" s="140"/>
      <c r="D195" s="139"/>
      <c r="E195" s="143"/>
      <c r="F195" s="143"/>
      <c r="G195" s="143"/>
      <c r="H195" s="143"/>
      <c r="I195" s="144"/>
      <c r="J195" s="13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s="1" customFormat="1" ht="18" customHeight="1">
      <c r="A196" s="126" t="str">
        <f t="shared" si="43"/>
        <v/>
      </c>
      <c r="B196" s="127"/>
      <c r="C196" s="140"/>
      <c r="D196" s="139"/>
      <c r="E196" s="143"/>
      <c r="F196" s="143"/>
      <c r="G196" s="143"/>
      <c r="H196" s="143"/>
      <c r="I196" s="144"/>
      <c r="J196" s="131"/>
    </row>
    <row r="197" spans="1:25" s="1" customFormat="1" ht="18" customHeight="1">
      <c r="A197" s="126" t="str">
        <f t="shared" si="43"/>
        <v/>
      </c>
      <c r="B197" s="127"/>
      <c r="C197" s="140"/>
      <c r="D197" s="139"/>
      <c r="E197" s="143"/>
      <c r="F197" s="143"/>
      <c r="G197" s="143"/>
      <c r="H197" s="143"/>
      <c r="I197" s="144"/>
      <c r="J197" s="131"/>
    </row>
    <row r="198" spans="1:25" s="1" customFormat="1" ht="18" customHeight="1">
      <c r="A198" s="126" t="str">
        <f t="shared" si="43"/>
        <v/>
      </c>
      <c r="B198" s="127"/>
      <c r="C198" s="140"/>
      <c r="D198" s="139"/>
      <c r="E198" s="143"/>
      <c r="F198" s="143"/>
      <c r="G198" s="143"/>
      <c r="H198" s="143"/>
      <c r="I198" s="144"/>
      <c r="J198" s="131"/>
    </row>
    <row r="199" spans="1:25" s="1" customFormat="1" ht="18" customHeight="1">
      <c r="A199" s="126" t="str">
        <f>IF(B199="","",+#REF!+1)</f>
        <v/>
      </c>
      <c r="B199" s="127"/>
      <c r="C199" s="140"/>
      <c r="D199" s="139"/>
      <c r="E199" s="143"/>
      <c r="F199" s="143"/>
      <c r="G199" s="143"/>
      <c r="H199" s="143"/>
      <c r="I199" s="144"/>
      <c r="J199" s="131"/>
    </row>
    <row r="200" spans="1:25" s="1" customFormat="1" ht="18" customHeight="1">
      <c r="A200" s="126"/>
      <c r="B200" s="127"/>
      <c r="C200" s="140"/>
      <c r="D200" s="139"/>
      <c r="E200" s="143"/>
      <c r="F200" s="143"/>
      <c r="G200" s="143"/>
      <c r="H200" s="143"/>
      <c r="I200" s="144"/>
      <c r="J200" s="131"/>
    </row>
    <row r="201" spans="1:25" s="1" customFormat="1" ht="18" customHeight="1">
      <c r="A201" s="126" t="str">
        <f>IF(B201="","",+A199+1)</f>
        <v/>
      </c>
      <c r="B201" s="127"/>
      <c r="C201" s="140"/>
      <c r="D201" s="139"/>
      <c r="E201" s="143"/>
      <c r="F201" s="143"/>
      <c r="G201" s="143"/>
      <c r="H201" s="143"/>
      <c r="I201" s="144"/>
      <c r="J201" s="131"/>
    </row>
    <row r="202" spans="1:25" s="1" customFormat="1" ht="18" customHeight="1">
      <c r="A202" s="126" t="str">
        <f>IF(B202="","",+A201+1)</f>
        <v/>
      </c>
      <c r="B202" s="127"/>
      <c r="C202" s="140"/>
      <c r="D202" s="139"/>
      <c r="E202" s="143"/>
      <c r="F202" s="143"/>
      <c r="G202" s="143"/>
      <c r="H202" s="143"/>
      <c r="I202" s="144"/>
      <c r="J202" s="131"/>
    </row>
    <row r="203" spans="1:25" s="1" customFormat="1" ht="18" customHeight="1">
      <c r="A203" s="126" t="str">
        <f>IF(B203="","",+#REF!+1)</f>
        <v/>
      </c>
      <c r="B203" s="127"/>
      <c r="C203" s="140"/>
      <c r="D203" s="139"/>
      <c r="E203" s="143"/>
      <c r="F203" s="143"/>
      <c r="G203" s="143"/>
      <c r="H203" s="143"/>
      <c r="I203" s="144"/>
      <c r="J203" s="131"/>
    </row>
    <row r="204" spans="1:25" s="1" customFormat="1" ht="18" customHeight="1">
      <c r="A204" s="126" t="str">
        <f t="shared" si="43"/>
        <v/>
      </c>
      <c r="B204" s="127"/>
      <c r="C204" s="140"/>
      <c r="D204" s="139"/>
      <c r="E204" s="143"/>
      <c r="F204" s="143"/>
      <c r="G204" s="143"/>
      <c r="H204" s="143"/>
      <c r="I204" s="144"/>
      <c r="J204" s="131"/>
    </row>
    <row r="205" spans="1:25" s="1" customFormat="1" ht="18" customHeight="1">
      <c r="A205" s="132" t="str">
        <f t="shared" ref="A205" si="44">IF(B205="","",+A204+1)</f>
        <v/>
      </c>
      <c r="B205" s="133"/>
      <c r="C205" s="133"/>
      <c r="D205" s="134"/>
      <c r="E205" s="135"/>
      <c r="F205" s="135"/>
      <c r="G205" s="135"/>
      <c r="H205" s="135"/>
      <c r="I205" s="136"/>
      <c r="J205" s="293"/>
    </row>
    <row r="206" spans="1:25" ht="18" customHeight="1">
      <c r="A206" s="17"/>
      <c r="B206" s="56"/>
      <c r="C206" s="56"/>
      <c r="D206" s="30"/>
      <c r="E206" s="17"/>
      <c r="F206" s="17"/>
      <c r="G206" s="17"/>
      <c r="H206" s="17"/>
      <c r="J206" s="99" t="str">
        <f>LEFT($J$111,10)&amp;"-02"</f>
        <v>FG-240-2PR-02</v>
      </c>
    </row>
    <row r="207" spans="1:25" ht="12.75" customHeight="1">
      <c r="K207" s="7"/>
      <c r="L207" s="7"/>
      <c r="M207" s="2"/>
      <c r="N207" s="2"/>
    </row>
    <row r="208" spans="1:25" ht="30" customHeight="1">
      <c r="B208" s="182"/>
      <c r="C208" s="5"/>
      <c r="D208" s="95"/>
      <c r="E208" s="95"/>
      <c r="F208" s="95"/>
      <c r="G208" s="95"/>
      <c r="H208" s="95"/>
      <c r="I208" s="95"/>
      <c r="J208" s="90" t="str">
        <f>$J$2</f>
        <v>HOMELIFE</v>
      </c>
      <c r="K208" s="11"/>
      <c r="L208" s="11"/>
      <c r="M208" s="2"/>
      <c r="N208" s="2"/>
    </row>
    <row r="209" spans="1:14" ht="24.9" customHeight="1">
      <c r="B209" s="182"/>
      <c r="C209" s="28"/>
      <c r="D209" s="28"/>
      <c r="E209" s="28"/>
      <c r="F209" s="28"/>
      <c r="G209" s="28"/>
      <c r="H209" s="28"/>
      <c r="I209" s="28"/>
      <c r="J209" s="91" t="str">
        <f>$J$3</f>
        <v>Fabricators Guide</v>
      </c>
      <c r="K209" s="11"/>
      <c r="L209" s="11"/>
      <c r="M209" s="2"/>
      <c r="N209" s="2"/>
    </row>
    <row r="210" spans="1:14" ht="24.9" customHeight="1">
      <c r="B210" s="8"/>
      <c r="C210" s="28"/>
      <c r="D210" s="28"/>
      <c r="E210" s="28"/>
      <c r="F210" s="28"/>
      <c r="G210" s="28"/>
      <c r="H210" s="28"/>
      <c r="I210" s="28"/>
      <c r="J210" s="91" t="str">
        <f>$J$4</f>
        <v xml:space="preserve">240 Series Bi Fold Door </v>
      </c>
      <c r="K210" s="48"/>
      <c r="L210" s="48"/>
      <c r="M210" s="4"/>
      <c r="N210" s="4"/>
    </row>
    <row r="211" spans="1:14" s="1" customFormat="1" ht="15" customHeight="1" thickBot="1">
      <c r="A211" s="78"/>
      <c r="B211" s="78"/>
      <c r="C211" s="78"/>
      <c r="D211" s="82"/>
      <c r="E211" s="78"/>
      <c r="F211" s="78"/>
      <c r="G211" s="78"/>
      <c r="H211" s="78"/>
      <c r="I211" s="78"/>
      <c r="J211" s="113"/>
      <c r="K211" s="4"/>
      <c r="L211" s="4"/>
      <c r="M211" s="4"/>
      <c r="N211" s="4"/>
    </row>
    <row r="212" spans="1:14" s="1" customFormat="1" ht="24.9" customHeight="1" thickBot="1">
      <c r="A212" s="502" t="s">
        <v>30</v>
      </c>
      <c r="B212" s="503"/>
      <c r="C212" s="503"/>
      <c r="D212" s="503"/>
      <c r="E212" s="503"/>
      <c r="F212" s="503"/>
      <c r="G212" s="503"/>
      <c r="H212" s="503"/>
      <c r="I212" s="503"/>
      <c r="J212" s="504"/>
      <c r="K212" s="56"/>
      <c r="L212" s="56"/>
      <c r="M212" s="56"/>
      <c r="N212" s="56"/>
    </row>
    <row r="216" spans="1:14" ht="15.6">
      <c r="A216" s="17"/>
      <c r="B216" s="56"/>
      <c r="C216" s="328"/>
      <c r="D216" s="30"/>
      <c r="E216" s="29"/>
      <c r="F216" s="30"/>
      <c r="G216" s="1"/>
      <c r="H216" s="1"/>
    </row>
    <row r="217" spans="1:14" s="1" customFormat="1" ht="15" customHeight="1">
      <c r="A217" s="109"/>
      <c r="B217" s="33"/>
      <c r="C217" s="327"/>
      <c r="D217" s="161"/>
      <c r="E217" s="109"/>
      <c r="F217" s="161"/>
      <c r="H217" s="328"/>
      <c r="I217" s="160"/>
      <c r="J217" s="116"/>
    </row>
    <row r="218" spans="1:14" s="1" customFormat="1" ht="15" customHeight="1">
      <c r="A218" s="93"/>
      <c r="B218" s="93"/>
      <c r="C218" s="56"/>
      <c r="D218" s="30"/>
      <c r="E218" s="29"/>
      <c r="F218" s="160"/>
      <c r="H218" s="328"/>
      <c r="J218" s="17"/>
    </row>
    <row r="219" spans="1:14" s="1" customFormat="1" ht="15" customHeight="1">
      <c r="A219" s="17"/>
      <c r="B219" s="56"/>
      <c r="C219" s="89" t="s">
        <v>378</v>
      </c>
      <c r="D219" s="30"/>
      <c r="E219" s="29"/>
      <c r="F219" s="30"/>
      <c r="J219" s="17"/>
    </row>
    <row r="220" spans="1:14" s="1" customFormat="1" ht="17.399999999999999">
      <c r="A220" s="17"/>
      <c r="B220" s="56"/>
      <c r="C220" s="328" t="s">
        <v>275</v>
      </c>
      <c r="D220" s="30"/>
      <c r="E220" s="29"/>
      <c r="F220" s="30"/>
      <c r="H220" s="89"/>
      <c r="J220" s="109"/>
    </row>
    <row r="221" spans="1:14" s="1" customFormat="1" ht="15" customHeight="1">
      <c r="A221" s="109"/>
      <c r="B221" s="33"/>
      <c r="C221" s="327" t="s">
        <v>273</v>
      </c>
      <c r="D221" s="161"/>
      <c r="E221" s="109"/>
      <c r="F221" s="161"/>
      <c r="I221" s="109"/>
      <c r="J221" s="109"/>
    </row>
    <row r="222" spans="1:14" s="1" customFormat="1" ht="15" customHeight="1">
      <c r="A222" s="109"/>
      <c r="B222" s="33"/>
      <c r="C222" s="374">
        <f>$I$133</f>
        <v>2940</v>
      </c>
      <c r="D222" s="161"/>
      <c r="E222" s="35"/>
      <c r="F222" s="161"/>
      <c r="G222" s="68"/>
      <c r="I222" s="109"/>
      <c r="J222" s="109"/>
    </row>
    <row r="223" spans="1:14" s="1" customFormat="1" ht="15" customHeight="1">
      <c r="A223" s="109"/>
      <c r="B223" s="33"/>
      <c r="C223" s="363">
        <f>$J$133</f>
        <v>1</v>
      </c>
      <c r="D223" s="161"/>
      <c r="E223" s="35"/>
      <c r="F223" s="161"/>
      <c r="G223" s="326"/>
      <c r="J223" s="12"/>
    </row>
    <row r="224" spans="1:14" s="1" customFormat="1" ht="15" customHeight="1">
      <c r="A224" s="109"/>
      <c r="B224" s="33"/>
      <c r="D224" s="161"/>
      <c r="E224" s="109"/>
      <c r="F224" s="161"/>
      <c r="G224" s="326"/>
      <c r="J224" s="12"/>
    </row>
    <row r="225" spans="1:10" s="1" customFormat="1" ht="15" customHeight="1">
      <c r="A225" s="92"/>
      <c r="B225" s="92"/>
      <c r="C225" s="13"/>
      <c r="D225" s="161"/>
      <c r="E225" s="109"/>
      <c r="F225" s="161"/>
      <c r="G225" s="68"/>
      <c r="J225" s="12"/>
    </row>
    <row r="226" spans="1:10" s="1" customFormat="1" ht="15" customHeight="1">
      <c r="A226" s="92"/>
      <c r="B226" s="92"/>
      <c r="C226" s="13"/>
      <c r="D226" s="161"/>
      <c r="E226" s="109"/>
      <c r="F226" s="161"/>
      <c r="H226" s="109"/>
      <c r="I226" s="109"/>
      <c r="J226" s="109"/>
    </row>
    <row r="227" spans="1:10" s="1" customFormat="1" ht="15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327"/>
      <c r="D228" s="161"/>
      <c r="E228" s="109"/>
      <c r="F228" s="161"/>
      <c r="H228" s="109"/>
      <c r="I228" s="109"/>
      <c r="J228" s="109"/>
    </row>
    <row r="229" spans="1:10" s="1" customFormat="1" ht="15.9" customHeight="1">
      <c r="A229" s="92"/>
      <c r="B229" s="92"/>
      <c r="C229" s="340"/>
      <c r="D229" s="161"/>
      <c r="E229" s="109"/>
      <c r="F229" s="161"/>
      <c r="H229" s="109"/>
      <c r="I229" s="109"/>
      <c r="J229" s="109"/>
    </row>
    <row r="230" spans="1:10" s="1" customFormat="1" ht="15.9" customHeight="1">
      <c r="A230" s="45"/>
      <c r="B230" s="45"/>
      <c r="D230" s="161"/>
      <c r="E230" s="109"/>
      <c r="F230" s="161"/>
      <c r="I230" s="109"/>
      <c r="J230" s="109"/>
    </row>
    <row r="231" spans="1:10" s="1" customFormat="1" ht="15.9" customHeight="1">
      <c r="A231" s="109"/>
      <c r="B231" s="109"/>
      <c r="D231" s="161"/>
      <c r="E231" s="109"/>
      <c r="F231" s="161"/>
      <c r="I231" s="32"/>
      <c r="J231" s="40"/>
    </row>
    <row r="232" spans="1:10" s="1" customFormat="1" ht="15.9" customHeight="1">
      <c r="A232" s="39"/>
      <c r="B232" s="38"/>
      <c r="D232" s="161"/>
      <c r="E232" s="109"/>
      <c r="F232" s="109"/>
      <c r="I232" s="319"/>
      <c r="J232" s="117"/>
    </row>
    <row r="233" spans="1:10" s="1" customFormat="1" ht="15.9" customHeight="1">
      <c r="A233" s="44"/>
      <c r="B233" s="44"/>
      <c r="C233" s="89" t="s">
        <v>369</v>
      </c>
      <c r="D233" s="84"/>
      <c r="E233" s="44"/>
      <c r="F233" s="44"/>
      <c r="G233" s="109"/>
      <c r="H233" s="109"/>
      <c r="I233" s="319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I234" s="319"/>
      <c r="J234" s="117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319"/>
      <c r="J235" s="117"/>
    </row>
    <row r="236" spans="1:10" s="1" customFormat="1" ht="15.9" customHeight="1">
      <c r="A236" s="109"/>
      <c r="B236" s="33"/>
      <c r="C236" s="374">
        <f>$I$134</f>
        <v>2914</v>
      </c>
      <c r="D236" s="161"/>
      <c r="E236" s="109"/>
      <c r="F236" s="161"/>
      <c r="G236" s="109"/>
      <c r="H236" s="109"/>
      <c r="I236" s="319"/>
      <c r="J236" s="117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J237" s="12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109"/>
      <c r="J238" s="24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4"/>
      <c r="J239" s="24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89"/>
      <c r="J240" s="118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109"/>
      <c r="I241" s="89"/>
      <c r="J241" s="118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36"/>
      <c r="I242" s="319"/>
      <c r="J242" s="117"/>
    </row>
    <row r="243" spans="1:10" s="1" customFormat="1" ht="15.9" customHeight="1">
      <c r="A243" s="109"/>
      <c r="B243" s="33"/>
      <c r="D243" s="161"/>
      <c r="E243" s="109"/>
      <c r="F243" s="161"/>
      <c r="G243" s="109"/>
      <c r="H243" s="109"/>
      <c r="I243" s="319"/>
      <c r="J243" s="117"/>
    </row>
    <row r="244" spans="1:10" s="1" customFormat="1" ht="15.9" customHeight="1">
      <c r="A244" s="109"/>
      <c r="B244" s="33"/>
      <c r="C244" s="89" t="s">
        <v>370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.9" customHeight="1">
      <c r="A245" s="109"/>
      <c r="B245" s="33"/>
      <c r="C245" s="328" t="s">
        <v>275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27" t="s">
        <v>273</v>
      </c>
      <c r="D246" s="161"/>
      <c r="E246" s="109"/>
      <c r="F246" s="161"/>
      <c r="G246" s="109"/>
      <c r="H246" s="109"/>
      <c r="I246" s="109"/>
      <c r="J246" s="24"/>
    </row>
    <row r="247" spans="1:10" s="1" customFormat="1" ht="15.9" customHeight="1">
      <c r="A247" s="109"/>
      <c r="B247" s="33"/>
      <c r="C247" s="374">
        <f>$I$135</f>
        <v>2940</v>
      </c>
      <c r="D247" s="161"/>
      <c r="E247" s="109"/>
      <c r="F247" s="161"/>
      <c r="G247" s="109"/>
      <c r="H247" s="109"/>
      <c r="I247" s="24"/>
      <c r="J247" s="24"/>
    </row>
    <row r="248" spans="1:10" s="1" customFormat="1" ht="15.9" customHeight="1">
      <c r="A248" s="109"/>
      <c r="B248" s="33"/>
      <c r="C248" s="363">
        <f>$J$135</f>
        <v>1</v>
      </c>
      <c r="D248" s="161"/>
      <c r="E248" s="109"/>
      <c r="F248" s="161"/>
      <c r="G248" s="109"/>
      <c r="H248" s="109"/>
      <c r="I248" s="24"/>
      <c r="J248" s="24"/>
    </row>
    <row r="249" spans="1:10" s="1" customFormat="1" ht="15" customHeight="1">
      <c r="A249" s="109"/>
      <c r="B249" s="33"/>
      <c r="C249" s="374"/>
      <c r="D249" s="161"/>
      <c r="E249" s="109"/>
      <c r="F249" s="161"/>
      <c r="G249" s="109"/>
      <c r="H249" s="109"/>
      <c r="I249" s="24"/>
      <c r="J249" s="24"/>
    </row>
    <row r="250" spans="1:10" s="1" customFormat="1" ht="15.9" customHeight="1">
      <c r="A250" s="109"/>
      <c r="B250" s="33"/>
      <c r="C250" s="363"/>
      <c r="D250" s="161"/>
      <c r="E250" s="109"/>
      <c r="F250" s="109"/>
      <c r="G250" s="44"/>
      <c r="H250" s="109"/>
      <c r="I250" s="44"/>
      <c r="J250" s="119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4"/>
      <c r="H251" s="109"/>
      <c r="I251" s="32"/>
      <c r="J251" s="40"/>
    </row>
    <row r="252" spans="1:10" s="1" customFormat="1" ht="15.9" customHeight="1">
      <c r="A252" s="109"/>
      <c r="B252" s="33"/>
      <c r="C252" s="33"/>
      <c r="D252" s="161"/>
      <c r="E252" s="109"/>
      <c r="F252" s="109"/>
      <c r="G252" s="44"/>
      <c r="H252" s="109"/>
      <c r="I252" s="32"/>
      <c r="J252" s="40"/>
    </row>
    <row r="253" spans="1:10" s="1" customFormat="1" ht="15.9" customHeight="1">
      <c r="A253" s="109"/>
      <c r="B253" s="33"/>
      <c r="C253" s="33"/>
      <c r="D253" s="161"/>
      <c r="E253" s="109"/>
      <c r="F253" s="109"/>
      <c r="G253" s="40"/>
      <c r="H253" s="109"/>
      <c r="J253" s="12"/>
    </row>
    <row r="254" spans="1:10" s="1" customFormat="1" ht="15.9" customHeight="1">
      <c r="A254" s="109"/>
      <c r="B254" s="33"/>
      <c r="D254" s="161"/>
      <c r="E254" s="109"/>
      <c r="F254" s="109"/>
      <c r="G254" s="109"/>
      <c r="H254" s="109"/>
      <c r="J254" s="12"/>
    </row>
    <row r="255" spans="1:10" s="1" customFormat="1" ht="15.9" customHeight="1">
      <c r="A255" s="44"/>
      <c r="B255" s="44"/>
      <c r="D255" s="84"/>
      <c r="E255" s="44"/>
      <c r="F255" s="44"/>
      <c r="G255" s="109"/>
      <c r="H255" s="109"/>
      <c r="J255" s="12"/>
    </row>
    <row r="256" spans="1:10" s="1" customFormat="1" ht="15.9" customHeight="1">
      <c r="A256" s="40"/>
      <c r="B256" s="40"/>
      <c r="C256" s="89" t="s">
        <v>371</v>
      </c>
      <c r="D256" s="85"/>
      <c r="E256" s="40"/>
      <c r="F256" s="32"/>
      <c r="G256" s="109"/>
      <c r="I256" s="24"/>
      <c r="J256" s="24"/>
    </row>
    <row r="257" spans="1:10" s="1" customFormat="1" ht="15.9" customHeight="1">
      <c r="A257" s="27"/>
      <c r="B257" s="33"/>
      <c r="C257" s="328" t="s">
        <v>275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27" t="s">
        <v>273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74">
        <f>$I$136</f>
        <v>2940</v>
      </c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63">
        <f>$J$136</f>
        <v>1</v>
      </c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33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33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46"/>
      <c r="D264" s="161"/>
      <c r="E264" s="109"/>
      <c r="F264" s="109"/>
      <c r="G264" s="109"/>
      <c r="I264" s="24"/>
      <c r="J264" s="24"/>
    </row>
    <row r="265" spans="1:10" s="1" customFormat="1" ht="15.9" customHeight="1">
      <c r="A265" s="27"/>
      <c r="B265" s="33"/>
      <c r="C265" s="161"/>
      <c r="D265" s="161"/>
      <c r="E265" s="109"/>
      <c r="F265" s="109"/>
      <c r="G265" s="109"/>
      <c r="I265" s="24"/>
      <c r="J265" s="24"/>
    </row>
    <row r="266" spans="1:10" s="1" customFormat="1" ht="15.9" customHeight="1">
      <c r="A266" s="27"/>
      <c r="B266" s="33"/>
      <c r="C266" s="33"/>
      <c r="D266" s="161"/>
      <c r="E266" s="109"/>
      <c r="F266" s="109"/>
      <c r="G266" s="109"/>
      <c r="I266" s="24"/>
      <c r="J266" s="24"/>
    </row>
    <row r="267" spans="1:10" s="1" customFormat="1" ht="15.9" customHeight="1">
      <c r="A267" s="27"/>
      <c r="B267" s="33"/>
      <c r="C267" s="89" t="s">
        <v>380</v>
      </c>
      <c r="D267" s="161"/>
      <c r="E267" s="109"/>
      <c r="F267" s="109"/>
      <c r="G267" s="109"/>
      <c r="H267" s="109"/>
      <c r="I267" s="24"/>
      <c r="J267" s="24"/>
    </row>
    <row r="268" spans="1:10" s="1" customFormat="1" ht="15.9" customHeight="1">
      <c r="A268" s="27"/>
      <c r="B268" s="33"/>
      <c r="C268" s="328" t="s">
        <v>379</v>
      </c>
      <c r="D268" s="328"/>
      <c r="E268" s="328"/>
      <c r="F268" s="109"/>
      <c r="G268" s="109"/>
      <c r="H268" s="109"/>
      <c r="I268" s="24"/>
      <c r="J268" s="24"/>
    </row>
    <row r="269" spans="1:10" s="1" customFormat="1" ht="15.9" customHeight="1">
      <c r="A269" s="27"/>
      <c r="B269" s="33"/>
      <c r="C269" s="327" t="s">
        <v>279</v>
      </c>
      <c r="D269" s="327"/>
      <c r="E269" s="327"/>
      <c r="F269" s="109"/>
      <c r="G269" s="109"/>
      <c r="H269" s="109"/>
      <c r="I269" s="24"/>
      <c r="J269" s="24"/>
    </row>
    <row r="270" spans="1:10" s="1" customFormat="1" ht="15.9" customHeight="1">
      <c r="A270" s="27"/>
      <c r="B270" s="33"/>
      <c r="C270" s="374">
        <f>$I$137</f>
        <v>2500</v>
      </c>
      <c r="D270" s="161"/>
      <c r="E270" s="109"/>
      <c r="F270" s="109"/>
      <c r="G270" s="33"/>
      <c r="H270" s="33"/>
      <c r="I270" s="24"/>
      <c r="J270" s="24"/>
    </row>
    <row r="271" spans="1:10" s="1" customFormat="1" ht="15.9" customHeight="1">
      <c r="A271" s="27"/>
      <c r="B271" s="33"/>
      <c r="C271" s="363">
        <f>$J$137+$J$138</f>
        <v>2</v>
      </c>
      <c r="D271" s="161"/>
      <c r="E271" s="109"/>
      <c r="F271" s="109"/>
      <c r="G271" s="109"/>
      <c r="H271" s="109"/>
      <c r="I271" s="24"/>
      <c r="J271" s="24"/>
    </row>
    <row r="272" spans="1:10" s="1" customFormat="1" ht="15.9" customHeight="1">
      <c r="A272" s="27"/>
      <c r="B272" s="33"/>
      <c r="D272" s="89"/>
      <c r="E272" s="89"/>
      <c r="F272" s="109"/>
      <c r="G272" s="109"/>
      <c r="H272" s="109"/>
      <c r="J272" s="12"/>
    </row>
    <row r="273" spans="1:10" s="1" customFormat="1" ht="15.9" customHeight="1">
      <c r="A273" s="27"/>
      <c r="B273" s="33"/>
      <c r="D273" s="89"/>
      <c r="E273" s="89"/>
      <c r="F273" s="109"/>
      <c r="G273" s="109"/>
      <c r="H273" s="109"/>
      <c r="J273" s="12"/>
    </row>
    <row r="274" spans="1:10" s="1" customFormat="1" ht="15.9" customHeight="1">
      <c r="A274" s="27"/>
      <c r="D274" s="328"/>
      <c r="E274" s="328"/>
      <c r="F274" s="109"/>
      <c r="G274" s="109"/>
      <c r="H274" s="109"/>
      <c r="J274" s="12"/>
    </row>
    <row r="275" spans="1:10" s="1" customFormat="1" ht="15.9" customHeight="1">
      <c r="A275" s="27"/>
      <c r="D275" s="328"/>
      <c r="E275" s="328"/>
      <c r="F275" s="109"/>
      <c r="G275" s="109"/>
      <c r="H275" s="109"/>
      <c r="J275" s="12"/>
    </row>
    <row r="276" spans="1:10" s="1" customFormat="1" ht="15.9" customHeight="1">
      <c r="A276" s="27"/>
      <c r="D276" s="328"/>
      <c r="E276" s="328"/>
      <c r="F276" s="109"/>
      <c r="G276" s="109"/>
      <c r="H276" s="109"/>
      <c r="J276" s="12"/>
    </row>
    <row r="277" spans="1:10" s="1" customFormat="1" ht="15.9" customHeight="1">
      <c r="A277" s="27"/>
      <c r="B277" s="33"/>
      <c r="D277" s="328"/>
      <c r="E277" s="328"/>
      <c r="F277" s="109"/>
      <c r="G277" s="109"/>
      <c r="J277" s="12"/>
    </row>
    <row r="278" spans="1:10" s="1" customFormat="1" ht="15.9" customHeight="1">
      <c r="A278" s="27"/>
      <c r="B278" s="33"/>
      <c r="C278" s="33"/>
      <c r="D278" s="161"/>
      <c r="E278" s="109"/>
      <c r="F278" s="109"/>
      <c r="G278" s="109"/>
      <c r="J278" s="12"/>
    </row>
    <row r="279" spans="1:10" s="1" customFormat="1" ht="15.9" customHeight="1">
      <c r="A279" s="27"/>
      <c r="B279" s="33"/>
      <c r="C279" s="89" t="s">
        <v>374</v>
      </c>
      <c r="D279" s="162"/>
      <c r="E279" s="24"/>
      <c r="F279" s="109"/>
      <c r="G279" s="109"/>
      <c r="J279" s="12"/>
    </row>
    <row r="280" spans="1:10" s="1" customFormat="1" ht="15.9" customHeight="1">
      <c r="A280" s="27"/>
      <c r="B280" s="33"/>
      <c r="C280" s="328" t="s">
        <v>649</v>
      </c>
      <c r="D280" s="328"/>
      <c r="E280" s="328"/>
      <c r="F280" s="109"/>
      <c r="G280" s="109"/>
      <c r="I280" s="24"/>
      <c r="J280" s="24"/>
    </row>
    <row r="281" spans="1:10" s="1" customFormat="1" ht="15.9" customHeight="1">
      <c r="A281" s="27"/>
      <c r="B281" s="33"/>
      <c r="C281" s="327" t="s">
        <v>650</v>
      </c>
      <c r="D281" s="327"/>
      <c r="E281" s="327"/>
      <c r="F281" s="109"/>
      <c r="G281" s="109"/>
      <c r="I281" s="24"/>
      <c r="J281" s="24"/>
    </row>
    <row r="282" spans="1:10" s="1" customFormat="1" ht="15.9" customHeight="1">
      <c r="A282" s="27"/>
      <c r="B282" s="33"/>
      <c r="C282" s="374">
        <f>$I$139</f>
        <v>2404</v>
      </c>
      <c r="F282" s="109"/>
      <c r="G282" s="109"/>
      <c r="I282" s="24"/>
      <c r="J282" s="24"/>
    </row>
    <row r="283" spans="1:10" s="1" customFormat="1" ht="15.9" customHeight="1">
      <c r="A283" s="27"/>
      <c r="B283" s="33"/>
      <c r="C283" s="363">
        <f>$J$139+$J$140</f>
        <v>2</v>
      </c>
      <c r="F283" s="109"/>
      <c r="G283" s="109"/>
      <c r="I283" s="109"/>
      <c r="J283" s="24"/>
    </row>
    <row r="284" spans="1:10" s="1" customFormat="1" ht="15.9" customHeight="1">
      <c r="A284" s="27"/>
      <c r="B284" s="33"/>
      <c r="F284" s="109"/>
      <c r="G284" s="109"/>
      <c r="H284" s="109"/>
      <c r="I284" s="109"/>
      <c r="J284" s="24"/>
    </row>
    <row r="285" spans="1:10" s="1" customFormat="1" ht="15.9" customHeight="1">
      <c r="A285" s="27"/>
      <c r="B285" s="33"/>
      <c r="F285" s="109"/>
      <c r="G285" s="109"/>
      <c r="H285" s="109"/>
      <c r="I285" s="109"/>
      <c r="J285" s="24"/>
    </row>
    <row r="286" spans="1:10" s="1" customFormat="1" ht="15.9" customHeight="1">
      <c r="A286" s="27"/>
      <c r="B286" s="33"/>
      <c r="F286" s="109"/>
      <c r="G286" s="109"/>
      <c r="H286" s="109"/>
      <c r="I286" s="109"/>
      <c r="J286" s="24"/>
    </row>
    <row r="287" spans="1:10" s="1" customFormat="1" ht="15.9" customHeight="1">
      <c r="A287" s="27"/>
      <c r="B287" s="33"/>
      <c r="C287" s="33"/>
      <c r="D287" s="161"/>
      <c r="E287" s="109"/>
      <c r="F287" s="109"/>
      <c r="G287" s="109"/>
      <c r="H287" s="109"/>
      <c r="I287" s="109"/>
      <c r="J287" s="24"/>
    </row>
    <row r="288" spans="1:10" s="1" customFormat="1" ht="15.9" customHeight="1">
      <c r="A288" s="27"/>
      <c r="B288" s="33"/>
      <c r="F288" s="109"/>
      <c r="G288" s="109"/>
      <c r="H288" s="109"/>
      <c r="I288" s="109"/>
      <c r="J288" s="24"/>
    </row>
    <row r="289" spans="1:10" s="1" customFormat="1" ht="15.9" customHeight="1">
      <c r="A289" s="27"/>
      <c r="B289" s="33"/>
      <c r="F289" s="109"/>
      <c r="G289" s="109"/>
      <c r="H289" s="109"/>
      <c r="J289" s="12"/>
    </row>
    <row r="290" spans="1:10" s="1" customFormat="1" ht="15.9" customHeight="1">
      <c r="A290" s="27"/>
      <c r="B290" s="33"/>
      <c r="C290" s="89" t="s">
        <v>375</v>
      </c>
      <c r="F290" s="109"/>
      <c r="G290" s="109"/>
      <c r="H290" s="109"/>
      <c r="J290" s="12"/>
    </row>
    <row r="291" spans="1:10" s="1" customFormat="1" ht="15.9" customHeight="1">
      <c r="A291" s="27"/>
      <c r="B291" s="33"/>
      <c r="C291" s="94" t="s">
        <v>462</v>
      </c>
      <c r="D291" s="161"/>
      <c r="E291" s="109"/>
      <c r="F291" s="109"/>
      <c r="G291" s="109"/>
      <c r="H291" s="109"/>
      <c r="J291" s="12"/>
    </row>
    <row r="292" spans="1:10" s="1" customFormat="1" ht="15.9" customHeight="1">
      <c r="A292" s="27"/>
      <c r="B292" s="33"/>
      <c r="C292" s="327" t="s">
        <v>463</v>
      </c>
      <c r="D292" s="161"/>
      <c r="E292" s="109"/>
      <c r="F292" s="109"/>
      <c r="G292" s="109"/>
      <c r="H292" s="109"/>
      <c r="I292" s="162"/>
      <c r="J292" s="24"/>
    </row>
    <row r="293" spans="1:10" s="1" customFormat="1" ht="15.9" customHeight="1">
      <c r="A293" s="27"/>
      <c r="B293" s="33"/>
      <c r="C293" s="328" t="s">
        <v>281</v>
      </c>
      <c r="D293" s="328"/>
      <c r="E293" s="328"/>
      <c r="F293" s="109"/>
      <c r="G293" s="109"/>
      <c r="I293" s="109"/>
      <c r="J293" s="24"/>
    </row>
    <row r="294" spans="1:10" s="1" customFormat="1" ht="15.9" customHeight="1">
      <c r="A294" s="27"/>
      <c r="B294" s="33"/>
      <c r="C294" s="327" t="s">
        <v>282</v>
      </c>
      <c r="D294" s="327"/>
      <c r="E294" s="327"/>
      <c r="F294" s="109"/>
      <c r="G294" s="109"/>
      <c r="I294" s="24"/>
      <c r="J294" s="24"/>
    </row>
    <row r="295" spans="1:10" s="1" customFormat="1" ht="15.9" customHeight="1">
      <c r="A295" s="27"/>
      <c r="B295" s="33"/>
      <c r="C295" s="374">
        <f>$I$141</f>
        <v>1352.375</v>
      </c>
      <c r="F295" s="109"/>
      <c r="G295" s="109"/>
      <c r="I295" s="24"/>
      <c r="J295" s="24"/>
    </row>
    <row r="296" spans="1:10" s="1" customFormat="1" ht="15.9" customHeight="1">
      <c r="A296" s="27"/>
      <c r="B296" s="33"/>
      <c r="C296" s="363">
        <f>$J$141+$J$142</f>
        <v>4</v>
      </c>
      <c r="D296" s="161"/>
      <c r="E296" s="109"/>
      <c r="F296" s="109"/>
      <c r="G296" s="109"/>
      <c r="H296" s="161"/>
      <c r="I296" s="24"/>
      <c r="J296" s="24"/>
    </row>
    <row r="297" spans="1:10" s="23" customFormat="1" ht="15.9" customHeight="1">
      <c r="A297" s="27"/>
      <c r="B297" s="33"/>
      <c r="C297" s="374">
        <f>$I$143</f>
        <v>2408</v>
      </c>
      <c r="D297" s="161"/>
      <c r="E297" s="109"/>
      <c r="F297" s="109"/>
      <c r="G297" s="109"/>
      <c r="H297" s="109"/>
      <c r="I297" s="109"/>
      <c r="J297" s="109"/>
    </row>
    <row r="298" spans="1:10" s="1" customFormat="1" ht="15.9" customHeight="1">
      <c r="A298" s="27"/>
      <c r="B298" s="33"/>
      <c r="C298" s="363">
        <f>$J$143+$J$144</f>
        <v>4</v>
      </c>
      <c r="D298" s="161"/>
      <c r="E298" s="109"/>
      <c r="F298" s="109"/>
      <c r="G298" s="109"/>
      <c r="H298" s="109"/>
      <c r="I298" s="44"/>
      <c r="J298" s="119"/>
    </row>
    <row r="299" spans="1:10" s="1" customFormat="1" ht="15.9" customHeight="1">
      <c r="A299" s="27"/>
      <c r="B299" s="33"/>
      <c r="D299" s="161"/>
      <c r="E299" s="109"/>
      <c r="F299" s="109"/>
      <c r="G299" s="109"/>
      <c r="H299" s="109"/>
      <c r="I299" s="44"/>
      <c r="J299" s="119"/>
    </row>
    <row r="300" spans="1:10" s="1" customFormat="1" ht="15.9" customHeight="1">
      <c r="A300" s="27"/>
      <c r="B300" s="33"/>
      <c r="D300" s="161"/>
      <c r="E300" s="109"/>
      <c r="F300" s="109"/>
      <c r="G300" s="109"/>
      <c r="H300" s="109"/>
      <c r="I300" s="44"/>
      <c r="J300" s="119"/>
    </row>
    <row r="301" spans="1:10" s="1" customFormat="1" ht="15.9" customHeight="1">
      <c r="A301" s="27"/>
      <c r="B301" s="33"/>
      <c r="C301" s="33"/>
      <c r="D301" s="161"/>
      <c r="E301" s="109"/>
      <c r="F301" s="109"/>
      <c r="G301" s="109"/>
      <c r="H301" s="109"/>
      <c r="I301" s="32"/>
      <c r="J301" s="40"/>
    </row>
    <row r="302" spans="1:10" s="1" customFormat="1" ht="15.9" customHeight="1">
      <c r="A302" s="27"/>
      <c r="B302" s="33"/>
      <c r="C302" s="23"/>
      <c r="D302" s="161"/>
      <c r="E302" s="109"/>
      <c r="F302" s="109"/>
      <c r="G302" s="109"/>
      <c r="H302" s="109"/>
      <c r="I302" s="24"/>
      <c r="J302" s="24"/>
    </row>
    <row r="303" spans="1:10" s="1" customFormat="1" ht="15.9" customHeight="1">
      <c r="A303" s="27"/>
      <c r="B303" s="33"/>
      <c r="C303" s="89" t="s">
        <v>376</v>
      </c>
      <c r="D303" s="161"/>
      <c r="E303" s="109"/>
      <c r="F303" s="109"/>
      <c r="G303" s="109"/>
      <c r="H303" s="109"/>
      <c r="I303" s="24"/>
      <c r="J303" s="24"/>
    </row>
    <row r="304" spans="1:10" s="1" customFormat="1" ht="15.9" customHeight="1">
      <c r="A304" s="27"/>
      <c r="B304" s="33"/>
      <c r="C304" s="94" t="s">
        <v>462</v>
      </c>
      <c r="D304" s="161"/>
      <c r="E304" s="109"/>
      <c r="F304" s="109"/>
      <c r="G304" s="44"/>
      <c r="H304" s="44"/>
      <c r="I304" s="109"/>
      <c r="J304" s="24"/>
    </row>
    <row r="305" spans="1:14" s="1" customFormat="1" ht="15.9" customHeight="1">
      <c r="A305" s="27"/>
      <c r="B305" s="33"/>
      <c r="C305" s="327" t="s">
        <v>463</v>
      </c>
      <c r="D305" s="328"/>
      <c r="E305" s="328"/>
      <c r="F305" s="109"/>
      <c r="G305" s="40"/>
      <c r="H305" s="32"/>
      <c r="I305" s="109"/>
      <c r="J305" s="24"/>
    </row>
    <row r="306" spans="1:14" s="1" customFormat="1" ht="15.9" customHeight="1">
      <c r="A306" s="41"/>
      <c r="B306" s="33"/>
      <c r="C306" s="328" t="s">
        <v>286</v>
      </c>
      <c r="D306" s="327"/>
      <c r="E306" s="327"/>
      <c r="F306" s="109"/>
      <c r="G306" s="109"/>
      <c r="H306" s="109"/>
      <c r="I306" s="109"/>
      <c r="J306" s="24"/>
    </row>
    <row r="307" spans="1:14" s="1" customFormat="1" ht="15.9" customHeight="1">
      <c r="A307" s="44"/>
      <c r="B307" s="44"/>
      <c r="C307" s="327" t="s">
        <v>285</v>
      </c>
      <c r="D307" s="86"/>
      <c r="E307" s="79"/>
      <c r="F307" s="44"/>
      <c r="G307" s="109"/>
      <c r="H307" s="109"/>
      <c r="I307" s="109"/>
      <c r="J307" s="24"/>
    </row>
    <row r="308" spans="1:14" s="1" customFormat="1" ht="15.9" customHeight="1">
      <c r="A308" s="40"/>
      <c r="B308" s="40"/>
      <c r="C308" s="374">
        <f>$I$145</f>
        <v>1352.375</v>
      </c>
      <c r="D308" s="87"/>
      <c r="E308" s="80"/>
      <c r="F308" s="32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63">
        <f>$J$145</f>
        <v>4</v>
      </c>
      <c r="D309" s="15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74">
        <f>$I$146</f>
        <v>2258</v>
      </c>
      <c r="D310" s="15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C311" s="363">
        <f>$J$146</f>
        <v>4</v>
      </c>
      <c r="D311" s="15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C312" s="89"/>
      <c r="D312" s="161"/>
      <c r="E312" s="109"/>
      <c r="F312" s="109"/>
      <c r="G312" s="109"/>
      <c r="H312" s="109"/>
      <c r="I312" s="109"/>
      <c r="J312" s="24"/>
    </row>
    <row r="313" spans="1:14" s="1" customFormat="1" ht="15.9" customHeight="1">
      <c r="A313" s="25"/>
      <c r="B313" s="26"/>
      <c r="C313" s="26"/>
      <c r="D313" s="83"/>
      <c r="E313" s="25"/>
      <c r="F313" s="25"/>
      <c r="G313" s="25"/>
      <c r="H313" s="25"/>
      <c r="I313" s="27"/>
      <c r="J313" s="99" t="str">
        <f>LEFT($J$111,10)&amp;"-03"</f>
        <v>FG-240-2PR-03</v>
      </c>
    </row>
    <row r="314" spans="1:14" ht="15" customHeight="1">
      <c r="A314" s="17"/>
      <c r="B314" s="56"/>
      <c r="C314" s="56"/>
      <c r="D314" s="30"/>
      <c r="E314" s="17"/>
      <c r="F314" s="17"/>
      <c r="G314" s="17"/>
      <c r="H314" s="17"/>
      <c r="I314" s="179"/>
      <c r="J314" s="179"/>
    </row>
    <row r="315" spans="1:14" ht="30" customHeight="1">
      <c r="J315" s="90" t="str">
        <f>$J$2</f>
        <v>HOMELIFE</v>
      </c>
      <c r="K315" s="7"/>
      <c r="L315" s="7"/>
      <c r="M315" s="2"/>
      <c r="N315" s="2"/>
    </row>
    <row r="316" spans="1:14" ht="24.9" customHeight="1">
      <c r="B316" s="182"/>
      <c r="C316" s="5"/>
      <c r="D316" s="95"/>
      <c r="E316" s="95"/>
      <c r="F316" s="95"/>
      <c r="G316" s="95"/>
      <c r="H316" s="95"/>
      <c r="I316" s="95"/>
      <c r="J316" s="91" t="str">
        <f>$J$3</f>
        <v>Fabricators Guide</v>
      </c>
      <c r="K316" s="11"/>
      <c r="L316" s="11"/>
      <c r="M316" s="2"/>
      <c r="N316" s="2"/>
    </row>
    <row r="317" spans="1:14" ht="24.9" customHeight="1">
      <c r="B317" s="182"/>
      <c r="C317" s="28"/>
      <c r="D317" s="28"/>
      <c r="E317" s="28"/>
      <c r="F317" s="28"/>
      <c r="G317" s="28"/>
      <c r="H317" s="28"/>
      <c r="I317" s="28"/>
      <c r="J317" s="91" t="str">
        <f>$J$4</f>
        <v xml:space="preserve">240 Series Bi Fold Door </v>
      </c>
      <c r="K317" s="11"/>
      <c r="L317" s="11"/>
      <c r="M317" s="2"/>
      <c r="N317" s="2"/>
    </row>
    <row r="318" spans="1:14" ht="15" customHeight="1" thickBot="1">
      <c r="B318" s="8"/>
      <c r="C318" s="28"/>
      <c r="D318" s="28"/>
      <c r="E318" s="28"/>
      <c r="F318" s="28"/>
      <c r="G318" s="28"/>
      <c r="H318" s="28"/>
      <c r="I318" s="28"/>
      <c r="K318" s="48"/>
      <c r="L318" s="48"/>
      <c r="M318" s="4"/>
      <c r="N318" s="4"/>
    </row>
    <row r="319" spans="1:14" ht="24.9" customHeight="1" thickBot="1">
      <c r="A319" s="502" t="s">
        <v>33</v>
      </c>
      <c r="B319" s="503"/>
      <c r="C319" s="503"/>
      <c r="D319" s="503"/>
      <c r="E319" s="503"/>
      <c r="F319" s="503"/>
      <c r="G319" s="503"/>
      <c r="H319" s="503"/>
      <c r="I319" s="503"/>
      <c r="J319" s="504"/>
    </row>
    <row r="320" spans="1:14" s="1" customFormat="1" ht="15" customHeight="1">
      <c r="A320" s="63"/>
      <c r="B320" s="72"/>
      <c r="C320" s="56"/>
      <c r="D320" s="30"/>
      <c r="E320" s="29"/>
      <c r="F320" s="160"/>
      <c r="G320" s="160"/>
      <c r="H320" s="160"/>
      <c r="I320" s="160"/>
      <c r="J320" s="116"/>
    </row>
    <row r="321" spans="1:10" s="1" customFormat="1" ht="15" customHeight="1">
      <c r="A321" s="17"/>
      <c r="B321" s="56"/>
      <c r="C321" s="56"/>
      <c r="D321" s="30"/>
      <c r="E321" s="29"/>
      <c r="F321" s="30"/>
      <c r="G321" s="31"/>
      <c r="H321" s="31"/>
      <c r="I321" s="31"/>
      <c r="J321" s="17"/>
    </row>
    <row r="322" spans="1:10" s="1" customFormat="1" ht="15" customHeight="1">
      <c r="A322" s="17"/>
      <c r="B322" s="56"/>
      <c r="C322" s="30"/>
      <c r="D322" s="30"/>
      <c r="E322" s="29"/>
      <c r="F322" s="30"/>
      <c r="G322" s="17"/>
      <c r="H322" s="31"/>
      <c r="I322" s="17"/>
      <c r="J322" s="17"/>
    </row>
    <row r="323" spans="1:10" s="1" customFormat="1" ht="15" customHeight="1">
      <c r="A323" s="109"/>
      <c r="B323" s="33"/>
      <c r="C323" s="161"/>
      <c r="D323" s="161"/>
      <c r="E323" s="109"/>
      <c r="F323" s="161"/>
      <c r="G323" s="109"/>
      <c r="H323" s="34"/>
      <c r="I323" s="109"/>
      <c r="J323" s="109"/>
    </row>
    <row r="324" spans="1:10" s="1" customFormat="1" ht="15" customHeight="1">
      <c r="A324" s="109"/>
      <c r="B324" s="33"/>
      <c r="C324" s="161"/>
      <c r="D324" s="161"/>
      <c r="E324" s="35"/>
      <c r="F324" s="163"/>
      <c r="G324" s="109"/>
      <c r="H324" s="34"/>
      <c r="I324" s="109"/>
      <c r="J324" s="109"/>
    </row>
    <row r="325" spans="1:10" s="1" customFormat="1" ht="15" customHeight="1">
      <c r="A325" s="109"/>
      <c r="B325" s="33"/>
      <c r="C325" s="161"/>
      <c r="D325" s="161"/>
      <c r="E325" s="35"/>
      <c r="F325" s="163"/>
      <c r="G325" s="109"/>
      <c r="H325" s="34"/>
      <c r="I325" s="109"/>
      <c r="J325" s="109"/>
    </row>
    <row r="326" spans="1:10" s="1" customFormat="1" ht="15" customHeight="1">
      <c r="A326" s="109"/>
      <c r="B326" s="33"/>
      <c r="C326" s="161"/>
      <c r="D326" s="161"/>
      <c r="E326" s="35"/>
      <c r="F326" s="163"/>
      <c r="G326" s="109"/>
      <c r="H326" s="34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35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42"/>
      <c r="D328" s="161"/>
      <c r="E328" s="109"/>
      <c r="F328" s="505"/>
      <c r="G328" s="505"/>
      <c r="H328" s="180"/>
      <c r="I328" s="42"/>
      <c r="J328" s="109"/>
    </row>
    <row r="329" spans="1:10" s="1" customFormat="1" ht="15" customHeight="1">
      <c r="A329" s="39"/>
      <c r="B329" s="39"/>
      <c r="C329" s="163"/>
      <c r="D329" s="161"/>
      <c r="E329" s="109"/>
      <c r="F329" s="507"/>
      <c r="G329" s="507"/>
      <c r="H329" s="180"/>
      <c r="I329" s="163"/>
      <c r="J329" s="109"/>
    </row>
    <row r="330" spans="1:10" s="1" customFormat="1" ht="15" customHeight="1">
      <c r="A330" s="92"/>
      <c r="B330" s="92"/>
      <c r="C330" s="161"/>
      <c r="D330" s="161"/>
      <c r="E330" s="109"/>
      <c r="F330" s="180"/>
      <c r="G330" s="180"/>
      <c r="H330" s="180"/>
      <c r="I330" s="161"/>
      <c r="J330" s="109"/>
    </row>
    <row r="331" spans="1:10" s="1" customFormat="1" ht="15" customHeight="1">
      <c r="A331" s="64" t="str">
        <f>A18</f>
        <v>240-2 Panel (R)</v>
      </c>
      <c r="B331" s="92"/>
      <c r="C331" s="161"/>
      <c r="D331" s="161"/>
      <c r="E331" s="109"/>
      <c r="F331" s="180"/>
      <c r="G331" s="180"/>
      <c r="H331" s="180"/>
      <c r="I331" s="109"/>
      <c r="J331" s="109"/>
    </row>
    <row r="332" spans="1:10" s="1" customFormat="1" ht="15" customHeight="1">
      <c r="A332" s="76" t="str">
        <f>A19</f>
        <v xml:space="preserve">Outside Bi Fold Door </v>
      </c>
      <c r="B332" s="45"/>
      <c r="C332" s="42"/>
      <c r="D332" s="161"/>
      <c r="E332" s="109"/>
      <c r="F332" s="507"/>
      <c r="G332" s="507"/>
      <c r="H332" s="180"/>
      <c r="I332" s="109"/>
      <c r="J332" s="109"/>
    </row>
    <row r="333" spans="1:10" s="1" customFormat="1" ht="15.9" customHeight="1">
      <c r="A333" s="109"/>
      <c r="B333" s="109"/>
      <c r="C333" s="161"/>
      <c r="D333" s="161"/>
      <c r="E333" s="109"/>
      <c r="F333" s="37"/>
      <c r="G333" s="38"/>
      <c r="H333" s="109"/>
      <c r="I333" s="109"/>
      <c r="J333" s="109"/>
    </row>
    <row r="334" spans="1:10" s="1" customFormat="1" ht="15.9" customHeight="1">
      <c r="A334" s="39"/>
      <c r="C334" s="43"/>
      <c r="D334" s="161"/>
      <c r="E334" s="109"/>
      <c r="F334" s="109"/>
      <c r="G334" s="109"/>
      <c r="H334" s="109"/>
      <c r="I334" s="109"/>
      <c r="J334" s="109"/>
    </row>
    <row r="335" spans="1:10" s="1" customFormat="1" ht="15.9" customHeight="1">
      <c r="A335" s="44"/>
      <c r="C335" s="44"/>
      <c r="D335" s="84"/>
      <c r="E335" s="44"/>
      <c r="F335" s="44"/>
      <c r="G335" s="44"/>
      <c r="H335" s="44"/>
      <c r="I335" s="44"/>
      <c r="J335" s="119"/>
    </row>
    <row r="336" spans="1:10" s="1" customFormat="1" ht="15.9" customHeight="1">
      <c r="A336" s="40"/>
      <c r="C336" s="161"/>
      <c r="D336" s="85"/>
      <c r="E336" s="40"/>
      <c r="F336" s="32"/>
      <c r="G336" s="40"/>
      <c r="H336" s="32"/>
      <c r="I336" s="32"/>
      <c r="J336" s="40"/>
    </row>
    <row r="337" spans="1:10" s="1" customFormat="1" ht="15.9" customHeight="1">
      <c r="A337" s="109"/>
      <c r="C337" s="163"/>
      <c r="D337" s="161"/>
      <c r="E337" s="109"/>
      <c r="F337" s="161"/>
      <c r="G337" s="109"/>
      <c r="H337" s="109"/>
      <c r="I337" s="24"/>
      <c r="J337" s="24"/>
    </row>
    <row r="338" spans="1:10" s="1" customFormat="1" ht="15.9" customHeight="1">
      <c r="A338" s="109"/>
      <c r="B338" s="33"/>
      <c r="C338" s="161"/>
      <c r="D338" s="161"/>
      <c r="E338" s="109"/>
      <c r="F338" s="161"/>
      <c r="G338" s="109"/>
      <c r="H338" s="109"/>
      <c r="I338" s="24"/>
      <c r="J338" s="24"/>
    </row>
    <row r="339" spans="1:10" s="1" customFormat="1" ht="15.9" customHeight="1">
      <c r="A339" s="109"/>
      <c r="B339" s="33"/>
      <c r="C339" s="44"/>
      <c r="D339" s="161"/>
      <c r="E339" s="109"/>
      <c r="F339" s="161"/>
      <c r="G339" s="109"/>
      <c r="H339" s="162"/>
      <c r="I339" s="162"/>
      <c r="J339" s="162"/>
    </row>
    <row r="340" spans="1:10" s="1" customFormat="1" ht="15.9" customHeight="1">
      <c r="A340" s="109"/>
      <c r="B340" s="33"/>
      <c r="C340" s="42"/>
      <c r="D340" s="161"/>
      <c r="E340" s="109"/>
      <c r="F340" s="161"/>
      <c r="G340" s="109"/>
      <c r="H340" s="161"/>
      <c r="I340" s="161"/>
      <c r="J340" s="161"/>
    </row>
    <row r="341" spans="1:10" s="1" customFormat="1" ht="15.9" customHeight="1">
      <c r="A341" s="109"/>
      <c r="B341" s="33"/>
      <c r="C341" s="163"/>
      <c r="D341" s="161"/>
      <c r="E341" s="109"/>
      <c r="F341" s="161"/>
      <c r="G341" s="109"/>
      <c r="H341" s="161"/>
      <c r="I341" s="161"/>
      <c r="J341" s="161"/>
    </row>
    <row r="342" spans="1:10" s="1" customFormat="1" ht="15.9" customHeight="1">
      <c r="A342" s="109"/>
      <c r="B342" s="33"/>
      <c r="C342" s="161"/>
      <c r="D342" s="161"/>
      <c r="E342" s="109"/>
      <c r="F342" s="161"/>
      <c r="G342" s="109"/>
      <c r="H342" s="109"/>
      <c r="I342" s="109"/>
      <c r="J342" s="24"/>
    </row>
    <row r="343" spans="1:10" s="1" customFormat="1" ht="15.9" customHeight="1">
      <c r="A343" s="109"/>
      <c r="B343" s="33"/>
      <c r="C343" s="33"/>
      <c r="D343" s="161"/>
      <c r="E343" s="109"/>
      <c r="F343" s="161"/>
      <c r="G343" s="109"/>
      <c r="H343" s="109"/>
      <c r="I343" s="24"/>
      <c r="J343" s="24"/>
    </row>
    <row r="344" spans="1:10" s="1" customFormat="1" ht="15.9" customHeight="1">
      <c r="A344" s="109"/>
      <c r="B344" s="33"/>
      <c r="C344" s="33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44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161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163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109"/>
      <c r="J349" s="24"/>
    </row>
    <row r="350" spans="1:10" s="1" customFormat="1" ht="15.9" customHeight="1">
      <c r="A350" s="109"/>
      <c r="B350" s="33"/>
      <c r="C350" s="33"/>
      <c r="D350" s="161"/>
      <c r="E350" s="109"/>
      <c r="F350" s="109"/>
      <c r="G350" s="109"/>
      <c r="H350" s="109"/>
      <c r="I350" s="24"/>
      <c r="J350" s="24"/>
    </row>
    <row r="351" spans="1:10" s="1" customFormat="1" ht="15.9" customHeight="1">
      <c r="A351" s="109"/>
      <c r="B351" s="33"/>
      <c r="C351" s="33"/>
      <c r="D351" s="161"/>
      <c r="E351" s="109"/>
      <c r="F351" s="109"/>
      <c r="G351" s="109"/>
      <c r="H351" s="107"/>
      <c r="I351" s="24"/>
      <c r="J351" s="24"/>
    </row>
    <row r="352" spans="1:10" s="1" customFormat="1" ht="15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23" customFormat="1" ht="15.9" customHeight="1">
      <c r="A353" s="109"/>
      <c r="B353" s="33"/>
      <c r="C353" s="33"/>
      <c r="D353" s="161"/>
      <c r="E353" s="109"/>
      <c r="F353" s="109"/>
      <c r="G353" s="109"/>
      <c r="H353" s="109"/>
      <c r="I353" s="109"/>
      <c r="J353" s="109"/>
    </row>
    <row r="354" spans="1:10" s="1" customFormat="1" ht="15.9" customHeight="1">
      <c r="A354" s="44"/>
      <c r="B354" s="44"/>
      <c r="C354" s="44"/>
      <c r="D354" s="84"/>
      <c r="E354" s="44"/>
      <c r="F354" s="44"/>
      <c r="G354" s="44"/>
      <c r="H354" s="44"/>
      <c r="I354" s="44"/>
      <c r="J354" s="119"/>
    </row>
    <row r="355" spans="1:10" s="1" customFormat="1" ht="15.9" customHeight="1">
      <c r="A355" s="40"/>
      <c r="B355" s="40"/>
      <c r="C355" s="44"/>
      <c r="D355" s="85"/>
      <c r="E355" s="40"/>
      <c r="F355" s="32"/>
      <c r="G355" s="40"/>
      <c r="H355" s="32"/>
      <c r="I355" s="32"/>
      <c r="J355" s="40"/>
    </row>
    <row r="356" spans="1:10" s="1" customFormat="1" ht="15.9" customHeight="1">
      <c r="A356" s="27"/>
      <c r="B356" s="33"/>
      <c r="C356" s="42"/>
      <c r="D356" s="161"/>
      <c r="E356" s="109"/>
      <c r="F356" s="109"/>
      <c r="G356" s="109"/>
      <c r="H356" s="42"/>
      <c r="I356" s="24"/>
      <c r="J356" s="24"/>
    </row>
    <row r="357" spans="1:10" s="1" customFormat="1" ht="15.9" customHeight="1">
      <c r="A357" s="27"/>
      <c r="B357" s="33"/>
      <c r="C357" s="163"/>
      <c r="D357" s="161"/>
      <c r="E357" s="109"/>
      <c r="F357" s="109"/>
      <c r="G357" s="109"/>
      <c r="H357" s="163"/>
      <c r="I357" s="163"/>
      <c r="J357" s="163"/>
    </row>
    <row r="358" spans="1:10" s="1" customFormat="1" ht="15.9" customHeight="1">
      <c r="A358" s="27"/>
      <c r="B358" s="33"/>
      <c r="C358" s="161"/>
      <c r="D358" s="161"/>
      <c r="E358" s="109"/>
      <c r="F358" s="109"/>
      <c r="G358" s="109"/>
      <c r="H358" s="161"/>
      <c r="I358" s="161"/>
      <c r="J358" s="161"/>
    </row>
    <row r="359" spans="1:10" s="1" customFormat="1" ht="15.9" customHeight="1">
      <c r="A359" s="27"/>
      <c r="B359" s="33"/>
      <c r="C359" s="33"/>
      <c r="D359" s="161"/>
      <c r="E359" s="109"/>
      <c r="F359" s="109"/>
      <c r="G359" s="109"/>
      <c r="H359" s="109"/>
      <c r="I359" s="24"/>
      <c r="J359" s="24"/>
    </row>
    <row r="360" spans="1:10" s="1" customFormat="1" ht="15.9" customHeight="1">
      <c r="A360" s="27"/>
      <c r="B360" s="33"/>
      <c r="C360" s="33"/>
      <c r="D360" s="161"/>
      <c r="E360" s="109"/>
      <c r="F360" s="109"/>
      <c r="G360" s="109"/>
      <c r="H360" s="109"/>
      <c r="I360" s="24"/>
      <c r="J360" s="24"/>
    </row>
    <row r="361" spans="1:10" s="1" customFormat="1" ht="15.9" customHeight="1">
      <c r="A361" s="27"/>
      <c r="B361" s="33"/>
      <c r="C361" s="46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161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33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33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B369" s="33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D370" s="161"/>
      <c r="E370" s="109"/>
      <c r="F370" s="109"/>
      <c r="G370" s="33"/>
      <c r="H370" s="33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B372" s="33"/>
      <c r="C372" s="33"/>
      <c r="D372" s="161"/>
      <c r="E372" s="109"/>
      <c r="F372" s="109"/>
      <c r="G372" s="109"/>
      <c r="H372" s="109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42"/>
      <c r="I374" s="24"/>
      <c r="J374" s="24"/>
    </row>
    <row r="375" spans="1:10" s="1" customFormat="1" ht="15.9" customHeight="1">
      <c r="A375" s="27"/>
      <c r="B375" s="33"/>
      <c r="C375" s="47"/>
      <c r="D375" s="161"/>
      <c r="E375" s="109"/>
      <c r="F375" s="109"/>
      <c r="G375" s="109"/>
      <c r="H375" s="163"/>
      <c r="I375" s="163"/>
      <c r="J375" s="163"/>
    </row>
    <row r="376" spans="1:10" s="1" customFormat="1" ht="15.9" customHeight="1">
      <c r="A376" s="27"/>
      <c r="B376" s="33"/>
      <c r="C376" s="46"/>
      <c r="D376" s="161"/>
      <c r="E376" s="109"/>
      <c r="F376" s="109"/>
      <c r="G376" s="109"/>
      <c r="H376" s="161"/>
      <c r="I376" s="161"/>
      <c r="J376" s="161"/>
    </row>
    <row r="377" spans="1:10" s="1" customFormat="1" ht="15.9" customHeight="1">
      <c r="A377" s="27"/>
      <c r="B377" s="33"/>
      <c r="C377" s="161"/>
      <c r="D377" s="161"/>
      <c r="E377" s="109"/>
      <c r="F377" s="109"/>
      <c r="G377" s="109"/>
      <c r="H377" s="42"/>
      <c r="I377" s="24"/>
      <c r="J377" s="24"/>
    </row>
    <row r="378" spans="1:10" s="1" customFormat="1" ht="15.9" customHeight="1">
      <c r="A378" s="27"/>
      <c r="B378" s="33"/>
      <c r="C378" s="33"/>
      <c r="D378" s="161"/>
      <c r="E378" s="109"/>
      <c r="F378" s="109"/>
      <c r="G378" s="109"/>
      <c r="H378" s="163"/>
      <c r="I378" s="163"/>
      <c r="J378" s="163"/>
    </row>
    <row r="379" spans="1:10" s="1" customFormat="1" ht="15.9" customHeight="1">
      <c r="A379" s="27"/>
      <c r="B379" s="33"/>
      <c r="C379" s="33"/>
      <c r="D379" s="161"/>
      <c r="E379" s="109"/>
      <c r="F379" s="109"/>
      <c r="G379" s="109"/>
      <c r="H379" s="161"/>
      <c r="I379" s="161"/>
      <c r="J379" s="161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09"/>
      <c r="I380" s="24"/>
      <c r="J380" s="24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09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109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64"/>
      <c r="I387" s="164"/>
      <c r="J387" s="16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65"/>
      <c r="I388" s="165"/>
      <c r="J388" s="165"/>
    </row>
    <row r="389" spans="1:10" s="1" customFormat="1" ht="15.9" customHeight="1">
      <c r="A389" s="27"/>
      <c r="B389" s="33"/>
      <c r="C389" s="47"/>
      <c r="D389" s="161"/>
      <c r="E389" s="109"/>
      <c r="F389" s="109"/>
      <c r="G389" s="109"/>
      <c r="H389" s="161"/>
      <c r="I389" s="161"/>
      <c r="J389" s="161"/>
    </row>
    <row r="390" spans="1:10" s="1" customFormat="1" ht="15.9" customHeight="1">
      <c r="A390" s="27"/>
      <c r="B390" s="33"/>
      <c r="C390" s="46"/>
      <c r="D390" s="161"/>
      <c r="E390" s="109"/>
      <c r="F390" s="109"/>
      <c r="G390" s="109"/>
      <c r="H390" s="109"/>
      <c r="I390" s="24"/>
      <c r="J390" s="24"/>
    </row>
    <row r="391" spans="1:10" s="1" customFormat="1" ht="15.9" customHeight="1">
      <c r="A391" s="27"/>
      <c r="B391" s="33"/>
      <c r="C391" s="161"/>
      <c r="D391" s="161"/>
      <c r="E391" s="109"/>
      <c r="F391" s="109"/>
      <c r="G391" s="109"/>
      <c r="H391" s="109"/>
      <c r="I391" s="109"/>
      <c r="J391" s="24"/>
    </row>
    <row r="392" spans="1:10" s="1" customFormat="1" ht="15.9" customHeight="1">
      <c r="A392" s="27"/>
      <c r="B392" s="33"/>
      <c r="C392" s="33"/>
      <c r="D392" s="161"/>
      <c r="E392" s="109"/>
      <c r="F392" s="109"/>
      <c r="G392" s="109"/>
      <c r="H392" s="109"/>
      <c r="I392" s="24"/>
      <c r="J392" s="24"/>
    </row>
    <row r="393" spans="1:10" s="1" customFormat="1" ht="15.9" customHeight="1">
      <c r="A393" s="27"/>
      <c r="B393" s="33"/>
      <c r="C393" s="33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41"/>
      <c r="B395" s="33"/>
      <c r="C395" s="33"/>
      <c r="D395" s="161"/>
      <c r="E395" s="109"/>
      <c r="F395" s="109"/>
      <c r="G395" s="109"/>
      <c r="H395" s="109"/>
      <c r="I395" s="109"/>
      <c r="J395" s="109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23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1" customFormat="1" ht="15.9" customHeight="1">
      <c r="A404" s="44"/>
      <c r="B404" s="44"/>
      <c r="C404" s="44"/>
      <c r="D404" s="84"/>
      <c r="E404" s="44"/>
      <c r="F404" s="44"/>
      <c r="G404" s="44"/>
      <c r="H404" s="44"/>
      <c r="I404" s="44"/>
      <c r="J404" s="119"/>
    </row>
    <row r="405" spans="1:10" s="1" customFormat="1" ht="15.9" customHeight="1">
      <c r="A405" s="44"/>
      <c r="B405" s="44"/>
      <c r="C405" s="44"/>
      <c r="D405" s="84"/>
      <c r="E405" s="44"/>
      <c r="F405" s="44"/>
      <c r="G405" s="44"/>
      <c r="H405" s="44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109"/>
      <c r="B417" s="33"/>
      <c r="C417" s="33"/>
      <c r="D417" s="161"/>
      <c r="E417" s="109"/>
      <c r="F417" s="109"/>
      <c r="G417" s="109"/>
      <c r="H417" s="109"/>
      <c r="I417" s="24"/>
      <c r="J417" s="24"/>
      <c r="K417" s="71"/>
    </row>
    <row r="418" spans="1:14" s="1" customFormat="1" ht="15.9" customHeight="1">
      <c r="A418" s="109"/>
      <c r="B418" s="33"/>
      <c r="C418" s="33"/>
      <c r="D418" s="161"/>
      <c r="E418" s="109"/>
      <c r="F418" s="109"/>
      <c r="G418" s="109"/>
      <c r="H418" s="109"/>
      <c r="I418" s="24"/>
    </row>
    <row r="419" spans="1:14" ht="18">
      <c r="A419" s="109"/>
      <c r="B419" s="33"/>
      <c r="C419" s="33"/>
      <c r="D419" s="161"/>
      <c r="E419" s="109"/>
      <c r="F419" s="109"/>
      <c r="G419" s="109"/>
      <c r="H419" s="109"/>
      <c r="I419" s="109"/>
      <c r="J419" s="99" t="str">
        <f>LEFT($J$111,10)&amp;"-04"</f>
        <v>FG-240-2PR-04</v>
      </c>
      <c r="K419" s="7"/>
      <c r="L419" s="7"/>
      <c r="M419" s="2"/>
      <c r="N419" s="2"/>
    </row>
    <row r="420" spans="1:14" ht="12.75" customHeight="1">
      <c r="A420" s="109"/>
      <c r="B420" s="33"/>
      <c r="C420" s="33"/>
      <c r="D420" s="161"/>
      <c r="E420" s="109"/>
      <c r="F420" s="109"/>
      <c r="G420" s="109"/>
      <c r="H420" s="109"/>
      <c r="I420" s="109"/>
      <c r="J420" s="114"/>
      <c r="K420" s="7"/>
      <c r="L420" s="7"/>
      <c r="M420" s="2"/>
      <c r="N420" s="2"/>
    </row>
    <row r="421" spans="1:14" ht="30" customHeight="1">
      <c r="B421" s="182"/>
      <c r="C421" s="5"/>
      <c r="D421" s="95"/>
      <c r="E421" s="95"/>
      <c r="F421" s="95"/>
      <c r="G421" s="95"/>
      <c r="H421" s="95"/>
      <c r="I421" s="95"/>
      <c r="J421" s="90" t="str">
        <f>J2</f>
        <v>HOMELIFE</v>
      </c>
      <c r="K421" s="11"/>
      <c r="L421" s="11"/>
      <c r="M421" s="2"/>
      <c r="N421" s="2"/>
    </row>
    <row r="422" spans="1:14" ht="24.9" customHeight="1">
      <c r="B422" s="182"/>
      <c r="C422" s="28"/>
      <c r="D422" s="28"/>
      <c r="E422" s="28"/>
      <c r="F422" s="28"/>
      <c r="G422" s="28"/>
      <c r="H422" s="28"/>
      <c r="I422" s="28"/>
      <c r="J422" s="91" t="str">
        <f>J3</f>
        <v>Fabricators Guide</v>
      </c>
      <c r="K422" s="11"/>
      <c r="L422" s="11"/>
      <c r="M422" s="2"/>
      <c r="N422" s="2"/>
    </row>
    <row r="423" spans="1:14" ht="24.9" customHeight="1">
      <c r="B423" s="8"/>
      <c r="C423" s="28"/>
      <c r="D423" s="28"/>
      <c r="E423" s="28"/>
      <c r="F423" s="28"/>
      <c r="G423" s="28"/>
      <c r="H423" s="28"/>
      <c r="I423" s="28"/>
      <c r="J423" s="91" t="str">
        <f>J4</f>
        <v xml:space="preserve">240 Series Bi Fold Door </v>
      </c>
      <c r="K423" s="48"/>
      <c r="L423" s="48"/>
      <c r="M423" s="4"/>
      <c r="N423" s="4"/>
    </row>
    <row r="424" spans="1:14" s="1" customFormat="1" ht="15" customHeight="1" thickBot="1">
      <c r="A424" s="78"/>
      <c r="B424" s="78"/>
      <c r="C424" s="78"/>
      <c r="D424" s="82"/>
      <c r="E424" s="78"/>
      <c r="F424" s="78"/>
      <c r="G424" s="78"/>
      <c r="H424" s="78"/>
      <c r="I424" s="78"/>
      <c r="J424" s="100"/>
      <c r="K424" s="4"/>
      <c r="L424" s="4"/>
      <c r="M424" s="4"/>
      <c r="N424" s="4"/>
    </row>
    <row r="425" spans="1:14" s="1" customFormat="1" ht="24.9" customHeight="1" thickBot="1">
      <c r="A425" s="502" t="s">
        <v>34</v>
      </c>
      <c r="B425" s="503"/>
      <c r="C425" s="503"/>
      <c r="D425" s="503"/>
      <c r="E425" s="503"/>
      <c r="F425" s="503"/>
      <c r="G425" s="503"/>
      <c r="H425" s="503"/>
      <c r="I425" s="503"/>
      <c r="J425" s="504"/>
    </row>
    <row r="426" spans="1:14" s="1" customFormat="1" ht="15" customHeight="1">
      <c r="A426" s="63"/>
      <c r="B426" s="72"/>
      <c r="C426" s="56"/>
      <c r="D426" s="30"/>
      <c r="E426" s="29"/>
      <c r="F426" s="72"/>
      <c r="H426" s="44"/>
      <c r="I426" s="44"/>
      <c r="J426" s="119"/>
    </row>
    <row r="427" spans="1:14" s="1" customFormat="1" ht="15" customHeight="1">
      <c r="A427" s="17"/>
      <c r="B427" s="56"/>
      <c r="C427" s="56"/>
      <c r="D427" s="30"/>
      <c r="E427" s="29"/>
      <c r="F427" s="30"/>
      <c r="H427" s="44"/>
      <c r="I427" s="44"/>
      <c r="J427" s="119"/>
    </row>
    <row r="428" spans="1:14" s="1" customFormat="1" ht="15" customHeight="1">
      <c r="A428" s="17"/>
      <c r="B428" s="56"/>
      <c r="C428" s="56"/>
      <c r="D428" s="30"/>
      <c r="E428" s="29"/>
      <c r="F428" s="30"/>
      <c r="H428" s="44"/>
      <c r="I428" s="44"/>
      <c r="J428" s="119"/>
    </row>
    <row r="429" spans="1:14" s="1" customFormat="1" ht="15" customHeight="1">
      <c r="A429" s="109"/>
      <c r="B429" s="33"/>
      <c r="C429" s="161"/>
      <c r="D429" s="161"/>
      <c r="E429" s="109"/>
      <c r="F429" s="161"/>
      <c r="H429" s="44"/>
      <c r="I429" s="44"/>
      <c r="J429" s="119"/>
    </row>
    <row r="430" spans="1:14" s="1" customFormat="1" ht="15" customHeight="1">
      <c r="A430" s="109"/>
      <c r="B430" s="33"/>
      <c r="C430" s="161"/>
      <c r="D430" s="161"/>
      <c r="E430" s="35"/>
      <c r="F430" s="163"/>
      <c r="H430" s="44"/>
      <c r="I430" s="44"/>
      <c r="J430" s="119"/>
    </row>
    <row r="431" spans="1:14" s="1" customFormat="1" ht="15" customHeight="1">
      <c r="A431" s="109"/>
      <c r="B431" s="33"/>
      <c r="C431" s="161"/>
      <c r="D431" s="161"/>
      <c r="E431" s="35"/>
      <c r="F431" s="161"/>
      <c r="H431" s="44"/>
      <c r="I431" s="44"/>
      <c r="J431" s="119"/>
    </row>
    <row r="432" spans="1:14" s="1" customFormat="1" ht="15" customHeight="1">
      <c r="A432" s="109"/>
      <c r="B432" s="33"/>
      <c r="C432" s="42"/>
      <c r="D432" s="161"/>
      <c r="E432" s="109"/>
      <c r="F432" s="69"/>
      <c r="H432" s="44"/>
      <c r="I432" s="44"/>
      <c r="J432" s="119"/>
    </row>
    <row r="433" spans="1:10" s="1" customFormat="1" ht="15" customHeight="1">
      <c r="A433" s="39"/>
      <c r="B433" s="39"/>
      <c r="C433" s="163"/>
      <c r="D433" s="161"/>
      <c r="E433" s="109"/>
      <c r="F433" s="68"/>
      <c r="H433" s="44"/>
      <c r="I433" s="44"/>
      <c r="J433" s="119"/>
    </row>
    <row r="434" spans="1:10" s="1" customFormat="1" ht="15" customHeight="1">
      <c r="A434" s="92"/>
      <c r="B434" s="92"/>
      <c r="C434" s="161"/>
      <c r="D434" s="161"/>
      <c r="E434" s="109"/>
      <c r="F434" s="180"/>
      <c r="H434" s="44"/>
      <c r="I434" s="44"/>
      <c r="J434" s="119"/>
    </row>
    <row r="435" spans="1:10" s="1" customFormat="1" ht="15" customHeight="1">
      <c r="B435" s="92"/>
      <c r="C435" s="161"/>
      <c r="D435" s="161"/>
      <c r="E435" s="109"/>
      <c r="F435" s="180"/>
      <c r="H435" s="44"/>
      <c r="I435" s="44"/>
      <c r="J435" s="119"/>
    </row>
    <row r="436" spans="1:10" s="1" customFormat="1" ht="15" customHeight="1">
      <c r="A436" s="64" t="str">
        <f>A18</f>
        <v>240-2 Panel (R)</v>
      </c>
      <c r="C436" s="42"/>
      <c r="D436" s="161"/>
      <c r="E436" s="109"/>
      <c r="F436" s="68"/>
      <c r="H436" s="44"/>
      <c r="I436" s="44"/>
      <c r="J436" s="119"/>
    </row>
    <row r="437" spans="1:10" s="1" customFormat="1" ht="15.9" customHeight="1">
      <c r="A437" s="76" t="str">
        <f>A19</f>
        <v xml:space="preserve">Outside Bi Fold Door </v>
      </c>
      <c r="C437" s="161"/>
      <c r="D437" s="161"/>
      <c r="E437" s="109"/>
      <c r="F437" s="37"/>
      <c r="H437" s="44"/>
      <c r="I437" s="44"/>
      <c r="J437" s="119"/>
    </row>
    <row r="438" spans="1:10" s="1" customFormat="1" ht="15.9" customHeight="1">
      <c r="A438" s="39"/>
      <c r="B438" s="38"/>
      <c r="C438" s="43"/>
      <c r="D438" s="161"/>
      <c r="E438" s="109"/>
      <c r="F438" s="109"/>
      <c r="H438" s="44"/>
      <c r="I438" s="44"/>
      <c r="J438" s="119"/>
    </row>
    <row r="439" spans="1:10" s="1" customFormat="1" ht="15.9" customHeight="1">
      <c r="A439" s="44"/>
      <c r="C439" s="44"/>
      <c r="D439" s="84"/>
      <c r="E439" s="44"/>
      <c r="F439" s="44"/>
      <c r="H439" s="44"/>
      <c r="I439" s="44"/>
      <c r="J439" s="119"/>
    </row>
    <row r="440" spans="1:10" s="1" customFormat="1" ht="15.9" customHeight="1">
      <c r="A440" s="40"/>
      <c r="C440" s="161"/>
      <c r="D440" s="85"/>
      <c r="E440" s="40"/>
      <c r="F440" s="32"/>
      <c r="H440" s="44"/>
      <c r="I440" s="44"/>
      <c r="J440" s="119"/>
    </row>
    <row r="446" spans="1:10" s="1" customFormat="1" ht="15.9" customHeight="1">
      <c r="A446" s="109"/>
      <c r="B446" s="33"/>
      <c r="C446" s="33"/>
      <c r="D446" s="161"/>
      <c r="E446" s="109"/>
      <c r="F446" s="161"/>
      <c r="G446" s="109"/>
      <c r="H446" s="109"/>
      <c r="I446" s="24"/>
      <c r="J446" s="24"/>
    </row>
    <row r="447" spans="1:10" s="1" customFormat="1" ht="15.9" customHeight="1">
      <c r="A447" s="109"/>
      <c r="B447" s="33"/>
      <c r="C447" s="33"/>
      <c r="D447" s="161"/>
      <c r="E447" s="109"/>
      <c r="F447" s="161"/>
      <c r="G447" s="109"/>
      <c r="H447" s="109"/>
      <c r="I447" s="24"/>
      <c r="J447" s="24"/>
    </row>
    <row r="448" spans="1:10" s="1" customFormat="1" ht="15.9" customHeight="1">
      <c r="A448" s="109"/>
      <c r="B448" s="33"/>
      <c r="C448" s="33"/>
      <c r="D448" s="161"/>
      <c r="E448" s="109"/>
      <c r="F448" s="161"/>
      <c r="G448" s="109"/>
      <c r="H448" s="109"/>
      <c r="I448" s="24"/>
      <c r="J448" s="24"/>
    </row>
    <row r="449" spans="1:10" s="1" customFormat="1" ht="15.9" customHeight="1">
      <c r="A449" s="109"/>
      <c r="B449" s="33"/>
      <c r="C449" s="44"/>
      <c r="D449" s="161"/>
      <c r="E449" s="109"/>
      <c r="F449" s="161"/>
      <c r="G449" s="109"/>
      <c r="H449" s="109"/>
      <c r="I449" s="24"/>
      <c r="J449" s="24"/>
    </row>
    <row r="450" spans="1:10" s="1" customFormat="1" ht="15.9" customHeight="1">
      <c r="A450" s="109"/>
      <c r="B450" s="33"/>
      <c r="C450" s="161"/>
      <c r="D450" s="161"/>
      <c r="E450" s="109"/>
      <c r="F450" s="161"/>
      <c r="G450" s="109"/>
      <c r="H450" s="109"/>
      <c r="I450" s="24"/>
      <c r="J450" s="24"/>
    </row>
    <row r="451" spans="1:10" s="1" customFormat="1" ht="15.9" customHeight="1">
      <c r="A451" s="109"/>
      <c r="B451" s="33"/>
      <c r="C451" s="16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161"/>
      <c r="D452" s="161"/>
      <c r="E452" s="109"/>
      <c r="F452" s="161"/>
      <c r="G452" s="109"/>
      <c r="H452" s="109"/>
      <c r="I452" s="109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09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33"/>
      <c r="D454" s="161"/>
      <c r="E454" s="109"/>
      <c r="F454" s="109"/>
      <c r="G454" s="109"/>
      <c r="H454" s="107"/>
      <c r="I454" s="24"/>
      <c r="J454" s="24"/>
    </row>
    <row r="455" spans="1:10" s="1" customFormat="1" ht="15" customHeight="1">
      <c r="A455" s="109"/>
      <c r="B455" s="33"/>
      <c r="C455" s="33"/>
      <c r="D455" s="161"/>
      <c r="E455" s="109"/>
      <c r="F455" s="109"/>
      <c r="G455" s="109"/>
      <c r="H455" s="109"/>
      <c r="I455" s="24"/>
      <c r="J455" s="24"/>
    </row>
    <row r="456" spans="1:10" s="23" customFormat="1" ht="15.9" customHeight="1">
      <c r="A456" s="109"/>
      <c r="B456" s="33"/>
      <c r="C456" s="33"/>
      <c r="D456" s="161"/>
      <c r="E456" s="109"/>
      <c r="F456" s="109"/>
      <c r="G456" s="109"/>
      <c r="H456" s="109"/>
      <c r="I456" s="109"/>
      <c r="J456" s="109"/>
    </row>
    <row r="457" spans="1:10" s="1" customFormat="1" ht="15.9" customHeight="1">
      <c r="A457" s="44"/>
      <c r="B457" s="44"/>
      <c r="C457" s="44"/>
      <c r="D457" s="84"/>
      <c r="E457" s="44"/>
      <c r="F457" s="44"/>
      <c r="G457" s="44"/>
      <c r="H457" s="44"/>
      <c r="I457" s="44"/>
      <c r="J457" s="119"/>
    </row>
    <row r="458" spans="1:10" s="1" customFormat="1" ht="15.9" customHeight="1">
      <c r="A458" s="40"/>
      <c r="B458" s="40"/>
      <c r="C458" s="44"/>
      <c r="D458" s="85"/>
      <c r="E458" s="40"/>
      <c r="F458" s="32"/>
      <c r="G458" s="40"/>
      <c r="H458" s="32"/>
      <c r="I458" s="32"/>
      <c r="J458" s="40"/>
    </row>
    <row r="459" spans="1:10" s="1" customFormat="1" ht="15.9" customHeight="1">
      <c r="A459" s="27"/>
      <c r="B459" s="33"/>
      <c r="C459" s="42"/>
      <c r="D459" s="161"/>
      <c r="E459" s="109"/>
      <c r="F459" s="109"/>
      <c r="G459" s="109"/>
      <c r="H459" s="42"/>
      <c r="I459" s="24"/>
      <c r="J459" s="24"/>
    </row>
    <row r="460" spans="1:10" s="1" customFormat="1" ht="15.9" customHeight="1">
      <c r="A460" s="27"/>
      <c r="B460" s="33"/>
      <c r="C460" s="163"/>
      <c r="D460" s="161"/>
      <c r="E460" s="109"/>
      <c r="F460" s="109"/>
      <c r="G460" s="109"/>
      <c r="H460" s="67"/>
      <c r="I460" s="67"/>
      <c r="J460" s="165"/>
    </row>
    <row r="461" spans="1:10" s="1" customFormat="1" ht="15.9" customHeight="1">
      <c r="A461" s="27"/>
      <c r="B461" s="33"/>
      <c r="C461" s="161"/>
      <c r="D461" s="161"/>
      <c r="E461" s="109"/>
      <c r="F461" s="109"/>
      <c r="G461" s="109"/>
      <c r="H461" s="38"/>
      <c r="I461" s="38"/>
      <c r="J461" s="109"/>
    </row>
    <row r="462" spans="1:10" s="1" customFormat="1" ht="15.9" customHeight="1">
      <c r="A462" s="27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.9" customHeight="1">
      <c r="A463" s="27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.9" customHeight="1">
      <c r="A464" s="27"/>
      <c r="B464" s="33"/>
      <c r="C464" s="46"/>
      <c r="D464" s="161"/>
      <c r="E464" s="109"/>
      <c r="F464" s="109"/>
      <c r="G464" s="109"/>
      <c r="H464" s="109"/>
      <c r="I464" s="24"/>
      <c r="J464" s="24"/>
    </row>
    <row r="465" spans="1:10" s="1" customFormat="1" ht="15.9" customHeight="1">
      <c r="A465" s="27"/>
      <c r="B465" s="33"/>
      <c r="C465" s="161"/>
      <c r="D465" s="161"/>
      <c r="E465" s="109"/>
      <c r="F465" s="109"/>
      <c r="G465" s="109"/>
      <c r="H465" s="109"/>
      <c r="I465" s="24"/>
      <c r="J465" s="24"/>
    </row>
    <row r="466" spans="1:10" s="1" customFormat="1" ht="15.9" customHeight="1">
      <c r="A466" s="27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.9" customHeight="1">
      <c r="A467" s="27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.9" customHeight="1">
      <c r="A468" s="27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.9" customHeight="1">
      <c r="A469" s="27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.9" customHeight="1">
      <c r="A470" s="27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.9" customHeight="1">
      <c r="A471" s="27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.9" customHeight="1">
      <c r="A472" s="27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.9" customHeight="1">
      <c r="A473" s="27"/>
      <c r="D473" s="161"/>
      <c r="E473" s="109"/>
      <c r="F473" s="109"/>
      <c r="G473" s="33"/>
      <c r="H473" s="33"/>
      <c r="I473" s="24"/>
      <c r="J473" s="24"/>
    </row>
    <row r="474" spans="1:10" s="1" customFormat="1" ht="15.9" customHeight="1">
      <c r="A474" s="27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.9" customHeight="1">
      <c r="A475" s="27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.9" customHeight="1">
      <c r="A476" s="27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1" customFormat="1" ht="15.9" customHeight="1">
      <c r="A477" s="27"/>
      <c r="B477" s="33"/>
      <c r="C477" s="33"/>
      <c r="D477" s="161"/>
      <c r="E477" s="109"/>
      <c r="F477" s="109"/>
      <c r="G477" s="109"/>
      <c r="H477" s="42"/>
      <c r="I477" s="24"/>
      <c r="J477" s="24"/>
    </row>
    <row r="478" spans="1:10" s="1" customFormat="1" ht="15.9" customHeight="1">
      <c r="A478" s="27"/>
      <c r="B478" s="33"/>
      <c r="C478" s="47"/>
      <c r="D478" s="161"/>
      <c r="E478" s="109"/>
      <c r="F478" s="109"/>
      <c r="G478" s="109"/>
      <c r="H478" s="67"/>
      <c r="I478" s="67"/>
      <c r="J478" s="165"/>
    </row>
    <row r="479" spans="1:10" s="1" customFormat="1" ht="15.9" customHeight="1">
      <c r="A479" s="27"/>
      <c r="B479" s="33"/>
      <c r="C479" s="46"/>
      <c r="D479" s="161"/>
      <c r="E479" s="109"/>
      <c r="F479" s="109"/>
      <c r="G479" s="109"/>
      <c r="H479" s="38"/>
      <c r="I479" s="38"/>
      <c r="J479" s="109"/>
    </row>
    <row r="480" spans="1:10" s="1" customFormat="1" ht="15.9" customHeight="1">
      <c r="A480" s="27"/>
      <c r="B480" s="33"/>
      <c r="C480" s="161"/>
      <c r="D480" s="161"/>
      <c r="E480" s="109"/>
      <c r="F480" s="109"/>
      <c r="G480" s="109"/>
      <c r="H480" s="42"/>
      <c r="I480" s="24"/>
      <c r="J480" s="24"/>
    </row>
    <row r="481" spans="1:10" s="1" customFormat="1" ht="15.9" customHeight="1">
      <c r="A481" s="27"/>
      <c r="B481" s="33"/>
      <c r="C481" s="161"/>
      <c r="D481" s="161"/>
      <c r="E481" s="109"/>
      <c r="F481" s="109"/>
      <c r="G481" s="109"/>
      <c r="H481" s="42"/>
      <c r="I481" s="24"/>
      <c r="J481" s="24"/>
    </row>
    <row r="482" spans="1:10" s="1" customFormat="1" ht="15.9" customHeight="1">
      <c r="A482" s="27"/>
      <c r="B482" s="33"/>
      <c r="C482" s="161"/>
      <c r="D482" s="161"/>
      <c r="E482" s="109"/>
      <c r="F482" s="109"/>
      <c r="G482" s="109"/>
      <c r="H482" s="42"/>
      <c r="I482" s="24"/>
      <c r="J482" s="24"/>
    </row>
    <row r="483" spans="1:10" s="1" customFormat="1" ht="15.9" customHeight="1">
      <c r="A483" s="27"/>
      <c r="B483" s="33"/>
      <c r="C483" s="161"/>
      <c r="D483" s="161"/>
      <c r="E483" s="109"/>
      <c r="F483" s="109"/>
      <c r="G483" s="109"/>
      <c r="H483" s="42"/>
      <c r="I483" s="24"/>
      <c r="J483" s="24"/>
    </row>
    <row r="484" spans="1:10" s="1" customFormat="1" ht="15.9" customHeight="1">
      <c r="A484" s="27"/>
      <c r="B484" s="33"/>
      <c r="C484" s="161"/>
      <c r="D484" s="161"/>
      <c r="E484" s="109"/>
      <c r="F484" s="109"/>
      <c r="G484" s="109"/>
      <c r="H484" s="42"/>
      <c r="I484" s="24"/>
      <c r="J484" s="24"/>
    </row>
    <row r="485" spans="1:10" s="1" customFormat="1" ht="15.9" customHeight="1">
      <c r="A485" s="27"/>
      <c r="B485" s="33"/>
      <c r="C485" s="161"/>
      <c r="D485" s="161"/>
      <c r="E485" s="109"/>
      <c r="F485" s="109"/>
      <c r="G485" s="109"/>
      <c r="H485" s="42"/>
      <c r="I485" s="24"/>
      <c r="J485" s="24"/>
    </row>
    <row r="486" spans="1:10" s="1" customFormat="1" ht="15.9" customHeight="1">
      <c r="A486" s="27"/>
      <c r="B486" s="33"/>
      <c r="C486" s="161"/>
      <c r="D486" s="161"/>
      <c r="E486" s="109"/>
      <c r="F486" s="109"/>
      <c r="G486" s="109"/>
      <c r="H486" s="42"/>
      <c r="I486" s="24"/>
      <c r="J486" s="24"/>
    </row>
    <row r="487" spans="1:10" s="1" customFormat="1" ht="15.9" customHeight="1">
      <c r="A487" s="27"/>
      <c r="B487" s="33"/>
      <c r="C487" s="161"/>
      <c r="D487" s="161"/>
      <c r="E487" s="109"/>
      <c r="F487" s="109"/>
      <c r="G487" s="109"/>
      <c r="H487" s="42"/>
      <c r="I487" s="24"/>
      <c r="J487" s="24"/>
    </row>
    <row r="488" spans="1:10" s="1" customFormat="1" ht="15.9" customHeight="1">
      <c r="A488" s="27"/>
      <c r="B488" s="33"/>
      <c r="C488" s="161"/>
      <c r="D488" s="161"/>
      <c r="E488" s="109"/>
      <c r="F488" s="109"/>
      <c r="G488" s="109"/>
      <c r="H488" s="42"/>
      <c r="I488" s="24"/>
      <c r="J488" s="24"/>
    </row>
    <row r="489" spans="1:10" s="1" customFormat="1" ht="15.9" customHeight="1">
      <c r="A489" s="27"/>
      <c r="B489" s="33"/>
      <c r="C489" s="161"/>
      <c r="D489" s="161"/>
      <c r="E489" s="109"/>
      <c r="F489" s="109"/>
      <c r="G489" s="109"/>
      <c r="H489" s="42"/>
      <c r="I489" s="24"/>
      <c r="J489" s="24"/>
    </row>
    <row r="490" spans="1:10" s="1" customFormat="1" ht="15.9" customHeight="1">
      <c r="A490" s="27"/>
      <c r="B490" s="33"/>
      <c r="C490" s="161"/>
      <c r="D490" s="161"/>
      <c r="E490" s="109"/>
      <c r="F490" s="109"/>
      <c r="G490" s="109"/>
      <c r="H490" s="42"/>
      <c r="I490" s="24"/>
      <c r="J490" s="24"/>
    </row>
    <row r="491" spans="1:10" s="1" customFormat="1" ht="15.9" customHeight="1">
      <c r="A491" s="27"/>
      <c r="B491" s="33"/>
      <c r="C491" s="161"/>
      <c r="D491" s="161"/>
      <c r="E491" s="109"/>
      <c r="F491" s="109"/>
      <c r="G491" s="109"/>
      <c r="H491" s="42"/>
      <c r="I491" s="24"/>
      <c r="J491" s="24"/>
    </row>
    <row r="492" spans="1:10" s="1" customFormat="1" ht="15.9" customHeight="1">
      <c r="A492" s="27"/>
      <c r="B492" s="33"/>
      <c r="C492" s="161"/>
      <c r="D492" s="161"/>
      <c r="E492" s="109"/>
      <c r="F492" s="109"/>
      <c r="G492" s="109"/>
      <c r="H492" s="42"/>
      <c r="I492" s="24"/>
      <c r="J492" s="24"/>
    </row>
    <row r="493" spans="1:10" s="1" customFormat="1" ht="15.9" customHeight="1">
      <c r="A493" s="27"/>
      <c r="B493" s="33"/>
      <c r="C493" s="161"/>
      <c r="D493" s="161"/>
      <c r="E493" s="109"/>
      <c r="F493" s="109"/>
      <c r="G493" s="109"/>
      <c r="H493" s="42"/>
      <c r="I493" s="24"/>
      <c r="J493" s="24"/>
    </row>
    <row r="494" spans="1:10" s="1" customFormat="1" ht="15.9" customHeight="1">
      <c r="A494" s="27"/>
      <c r="B494" s="33"/>
      <c r="C494" s="161"/>
      <c r="D494" s="161"/>
      <c r="E494" s="109"/>
      <c r="F494" s="109"/>
      <c r="G494" s="109"/>
      <c r="H494" s="42"/>
      <c r="I494" s="24"/>
      <c r="J494" s="24"/>
    </row>
    <row r="495" spans="1:10" s="1" customFormat="1" ht="15.9" customHeight="1">
      <c r="A495" s="27"/>
      <c r="B495" s="33"/>
      <c r="C495" s="161"/>
      <c r="D495" s="161"/>
      <c r="E495" s="109"/>
      <c r="F495" s="109"/>
      <c r="G495" s="109"/>
      <c r="H495" s="42"/>
      <c r="I495" s="24"/>
      <c r="J495" s="24"/>
    </row>
    <row r="496" spans="1:10" s="1" customFormat="1" ht="15.9" customHeight="1">
      <c r="A496" s="27"/>
      <c r="B496" s="33"/>
      <c r="C496" s="161"/>
      <c r="D496" s="161"/>
      <c r="E496" s="109"/>
      <c r="F496" s="109"/>
      <c r="G496" s="109"/>
      <c r="H496" s="42"/>
      <c r="I496" s="24"/>
      <c r="J496" s="24"/>
    </row>
    <row r="497" spans="1:10" s="1" customFormat="1" ht="15.9" customHeight="1">
      <c r="A497" s="27"/>
      <c r="B497" s="33"/>
      <c r="C497" s="161"/>
      <c r="D497" s="161"/>
      <c r="E497" s="109"/>
      <c r="F497" s="109"/>
      <c r="G497" s="109"/>
      <c r="H497" s="42"/>
      <c r="I497" s="24"/>
      <c r="J497" s="24"/>
    </row>
    <row r="498" spans="1:10" s="1" customFormat="1" ht="15.9" customHeight="1">
      <c r="A498" s="27"/>
      <c r="B498" s="33"/>
      <c r="C498" s="161"/>
      <c r="D498" s="161"/>
      <c r="E498" s="109"/>
      <c r="F498" s="109"/>
      <c r="G498" s="109"/>
      <c r="H498" s="42"/>
      <c r="I498" s="24"/>
      <c r="J498" s="24"/>
    </row>
    <row r="499" spans="1:10" s="1" customFormat="1" ht="15.9" customHeight="1">
      <c r="A499" s="27"/>
      <c r="B499" s="33"/>
      <c r="C499" s="161"/>
      <c r="D499" s="161"/>
      <c r="E499" s="109"/>
      <c r="F499" s="109"/>
      <c r="G499" s="109"/>
      <c r="H499" s="42"/>
      <c r="I499" s="24"/>
      <c r="J499" s="24"/>
    </row>
    <row r="500" spans="1:10" s="1" customFormat="1" ht="15.9" customHeight="1">
      <c r="A500" s="27"/>
      <c r="B500" s="33"/>
      <c r="C500" s="161"/>
      <c r="D500" s="161"/>
      <c r="E500" s="109"/>
      <c r="F500" s="109"/>
      <c r="G500" s="109"/>
      <c r="H500" s="42"/>
      <c r="I500" s="24"/>
      <c r="J500" s="24"/>
    </row>
    <row r="501" spans="1:10" s="1" customFormat="1" ht="15.9" customHeight="1">
      <c r="A501" s="27"/>
      <c r="B501" s="33"/>
      <c r="C501" s="33"/>
      <c r="D501" s="161"/>
      <c r="E501" s="109"/>
      <c r="F501" s="109"/>
      <c r="G501" s="109"/>
      <c r="H501" s="38"/>
      <c r="I501" s="38"/>
      <c r="J501" s="109"/>
    </row>
    <row r="502" spans="1:10" s="1" customFormat="1" ht="15.9" customHeight="1">
      <c r="A502" s="27"/>
      <c r="B502" s="33"/>
      <c r="C502" s="33"/>
      <c r="D502" s="161"/>
      <c r="E502" s="109"/>
      <c r="F502" s="109"/>
      <c r="G502" s="109"/>
      <c r="H502" s="109"/>
      <c r="I502" s="24"/>
      <c r="J502" s="24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109"/>
      <c r="I503" s="24"/>
      <c r="J503" s="24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109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24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66"/>
      <c r="I511" s="43"/>
      <c r="J511" s="107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66"/>
      <c r="I512" s="43"/>
      <c r="J512" s="107"/>
    </row>
    <row r="513" spans="1:15" s="1" customFormat="1" ht="15.9" customHeight="1">
      <c r="A513" s="44"/>
      <c r="B513" s="44"/>
      <c r="C513" s="44"/>
      <c r="D513" s="84"/>
      <c r="E513" s="44"/>
      <c r="F513" s="44"/>
      <c r="G513" s="44"/>
      <c r="H513" s="44"/>
      <c r="I513" s="44"/>
      <c r="J513" s="119"/>
    </row>
    <row r="514" spans="1:15" s="1" customFormat="1" ht="15.9" customHeight="1">
      <c r="A514" s="44"/>
      <c r="B514" s="44"/>
      <c r="C514" s="44"/>
      <c r="D514" s="84"/>
      <c r="E514" s="44"/>
      <c r="F514" s="44"/>
      <c r="G514" s="44"/>
      <c r="H514" s="44"/>
      <c r="I514" s="44"/>
      <c r="J514" s="119"/>
    </row>
    <row r="515" spans="1:15" s="1" customFormat="1" ht="15.9" customHeight="1"/>
    <row r="516" spans="1:15" s="1" customFormat="1" ht="15.9" customHeight="1" thickBot="1"/>
    <row r="517" spans="1:15" s="1" customFormat="1" ht="24.9" customHeight="1" thickBot="1">
      <c r="A517" s="502" t="s">
        <v>401</v>
      </c>
      <c r="B517" s="503"/>
      <c r="C517" s="503"/>
      <c r="D517" s="503"/>
      <c r="E517" s="503"/>
      <c r="F517" s="503"/>
      <c r="G517" s="503"/>
      <c r="H517" s="503"/>
      <c r="I517" s="503"/>
      <c r="J517" s="504"/>
    </row>
    <row r="518" spans="1:15" s="1" customFormat="1" ht="35.1" customHeight="1" thickBot="1">
      <c r="A518" s="102" t="s">
        <v>2</v>
      </c>
      <c r="B518" s="103" t="s">
        <v>3</v>
      </c>
      <c r="C518" s="103" t="s">
        <v>3</v>
      </c>
      <c r="D518" s="104" t="s">
        <v>35</v>
      </c>
      <c r="E518" s="103" t="s">
        <v>5</v>
      </c>
      <c r="F518" s="339" t="s">
        <v>27</v>
      </c>
      <c r="G518" s="305"/>
      <c r="H518" s="104" t="s">
        <v>27</v>
      </c>
      <c r="I518" s="104" t="s">
        <v>26</v>
      </c>
      <c r="J518" s="115" t="s">
        <v>6</v>
      </c>
      <c r="N518" s="249" t="s">
        <v>3</v>
      </c>
      <c r="O518" s="249" t="s">
        <v>3</v>
      </c>
    </row>
    <row r="519" spans="1:15" s="1" customFormat="1" ht="15.9" customHeight="1">
      <c r="A519" s="123">
        <f>IF(C519="","",1)</f>
        <v>1</v>
      </c>
      <c r="B519" s="121" t="str">
        <f>IF($D$127=5,N519,IF($D$127=6,N520,IF($D$127=8,N521,IF($D$127=10,N522,IF($D$127=12,N523,IF($D$127=14,N524,IF($D$127=18,N525,IF($D$127=20,N526,IF($D$127=22,N527,)))))))))</f>
        <v>กระจก 6 mm (สูง) (กว้าง)</v>
      </c>
      <c r="C519" s="121" t="str">
        <f>IF($D$127=5,O519,IF($D$127=6,O520,IF($D$127=8,O521,IF($D$127=10,O522,IF($D$127=12,O523,IF($D$127=14,O524,IF($D$127=18,O525,IF($D$127=20,O526,IF($D$127=22,O527,)))))))))</f>
        <v>GLASS thk.6 mm (H) (W)</v>
      </c>
      <c r="D519" s="124">
        <f>$J$123-215</f>
        <v>2285</v>
      </c>
      <c r="E519" s="123" t="s">
        <v>11</v>
      </c>
      <c r="F519" s="527" t="s">
        <v>271</v>
      </c>
      <c r="G519" s="528"/>
      <c r="H519" s="123" t="s">
        <v>290</v>
      </c>
      <c r="I519" s="124">
        <f>(($J$126-182-113.25)/2)-13</f>
        <v>1339.375</v>
      </c>
      <c r="J519" s="151">
        <f>$J$120*2</f>
        <v>2</v>
      </c>
      <c r="M519" s="1">
        <f>ROW()</f>
        <v>519</v>
      </c>
      <c r="N519" s="19" t="s">
        <v>194</v>
      </c>
      <c r="O519" s="19" t="s">
        <v>195</v>
      </c>
    </row>
    <row r="520" spans="1:15" s="1" customFormat="1" ht="15.9" customHeight="1">
      <c r="A520" s="238"/>
      <c r="B520" s="295"/>
      <c r="C520" s="295"/>
      <c r="D520" s="357"/>
      <c r="E520" s="238"/>
      <c r="F520" s="337"/>
      <c r="G520" s="338"/>
      <c r="H520" s="238"/>
      <c r="I520" s="298"/>
      <c r="J520" s="299"/>
      <c r="M520" s="1">
        <f>ROW()</f>
        <v>520</v>
      </c>
      <c r="N520" s="19" t="s">
        <v>53</v>
      </c>
      <c r="O520" s="19" t="s">
        <v>54</v>
      </c>
    </row>
    <row r="521" spans="1:15" s="1" customFormat="1" ht="15.9" customHeight="1">
      <c r="A521" s="152"/>
      <c r="B521" s="127"/>
      <c r="C521" s="127"/>
      <c r="D521" s="128" t="s">
        <v>0</v>
      </c>
      <c r="E521" s="129"/>
      <c r="F521" s="155"/>
      <c r="G521" s="156"/>
      <c r="H521" s="127"/>
      <c r="I521" s="130"/>
      <c r="J521" s="153"/>
      <c r="M521" s="1">
        <f>ROW()</f>
        <v>521</v>
      </c>
      <c r="N521" s="19" t="s">
        <v>257</v>
      </c>
      <c r="O521" s="19" t="s">
        <v>258</v>
      </c>
    </row>
    <row r="522" spans="1:15" s="1" customFormat="1" ht="15.9" customHeight="1">
      <c r="A522" s="152"/>
      <c r="B522" s="127"/>
      <c r="C522" s="127"/>
      <c r="D522" s="128"/>
      <c r="E522" s="129"/>
      <c r="F522" s="155"/>
      <c r="G522" s="156"/>
      <c r="H522" s="129"/>
      <c r="I522" s="130"/>
      <c r="J522" s="153"/>
      <c r="M522" s="1">
        <f>ROW()</f>
        <v>522</v>
      </c>
      <c r="N522" s="19" t="s">
        <v>259</v>
      </c>
      <c r="O522" s="19" t="s">
        <v>265</v>
      </c>
    </row>
    <row r="523" spans="1:15" s="1" customFormat="1" ht="15.9" customHeight="1">
      <c r="A523" s="341"/>
      <c r="B523" s="133"/>
      <c r="C523" s="133"/>
      <c r="D523" s="134"/>
      <c r="E523" s="135"/>
      <c r="F523" s="158"/>
      <c r="G523" s="342"/>
      <c r="H523" s="135"/>
      <c r="I523" s="136"/>
      <c r="J523" s="343"/>
      <c r="M523" s="1">
        <f>ROW()</f>
        <v>523</v>
      </c>
      <c r="N523" s="19" t="s">
        <v>260</v>
      </c>
      <c r="O523" s="19" t="s">
        <v>266</v>
      </c>
    </row>
    <row r="524" spans="1:15" s="1" customFormat="1" ht="15.9" customHeight="1">
      <c r="A524" s="109" t="str">
        <f>IF(B524="","",+#REF!+1)</f>
        <v/>
      </c>
      <c r="B524" s="33"/>
      <c r="C524" s="33"/>
      <c r="D524" s="161"/>
      <c r="E524" s="109"/>
      <c r="F524" s="109"/>
      <c r="G524" s="109"/>
      <c r="H524" s="109"/>
      <c r="I524" s="109"/>
      <c r="J524" s="99" t="str">
        <f>LEFT($J$111,10)&amp;"-05"</f>
        <v>FG-240-2PR-05</v>
      </c>
      <c r="M524" s="1">
        <f>ROW()</f>
        <v>524</v>
      </c>
      <c r="N524" s="19" t="s">
        <v>261</v>
      </c>
      <c r="O524" s="19" t="s">
        <v>267</v>
      </c>
    </row>
    <row r="525" spans="1:15">
      <c r="M525" s="1">
        <f>ROW()</f>
        <v>525</v>
      </c>
      <c r="N525" s="19" t="s">
        <v>262</v>
      </c>
      <c r="O525" s="19" t="s">
        <v>268</v>
      </c>
    </row>
    <row r="526" spans="1:15">
      <c r="M526" s="1">
        <f>ROW()</f>
        <v>526</v>
      </c>
      <c r="N526" s="19" t="s">
        <v>263</v>
      </c>
      <c r="O526" s="19" t="s">
        <v>269</v>
      </c>
    </row>
    <row r="527" spans="1:15">
      <c r="M527" s="1">
        <f>ROW()</f>
        <v>527</v>
      </c>
      <c r="N527" s="19" t="s">
        <v>264</v>
      </c>
      <c r="O527" s="19" t="s">
        <v>270</v>
      </c>
    </row>
  </sheetData>
  <dataConsolidate function="product">
    <dataRefs count="1">
      <dataRef ref="O154:O162" sheet="240_2Panel(L)" r:id="rId1"/>
    </dataRefs>
  </dataConsolidate>
  <mergeCells count="43">
    <mergeCell ref="D167:D170"/>
    <mergeCell ref="D171:D172"/>
    <mergeCell ref="H167:H170"/>
    <mergeCell ref="H165:H166"/>
    <mergeCell ref="H171:H172"/>
    <mergeCell ref="F519:G519"/>
    <mergeCell ref="A212:J212"/>
    <mergeCell ref="A173:J173"/>
    <mergeCell ref="F332:G332"/>
    <mergeCell ref="F328:G328"/>
    <mergeCell ref="F329:G329"/>
    <mergeCell ref="A319:J319"/>
    <mergeCell ref="A425:J425"/>
    <mergeCell ref="A6:J6"/>
    <mergeCell ref="H120:I121"/>
    <mergeCell ref="J120:J121"/>
    <mergeCell ref="A117:J117"/>
    <mergeCell ref="A517:J517"/>
    <mergeCell ref="H123:I124"/>
    <mergeCell ref="J123:J124"/>
    <mergeCell ref="A125:B125"/>
    <mergeCell ref="H126:I127"/>
    <mergeCell ref="J126:J127"/>
    <mergeCell ref="I166:J169"/>
    <mergeCell ref="D127:G127"/>
    <mergeCell ref="A131:J131"/>
    <mergeCell ref="I158:J158"/>
    <mergeCell ref="I170:J171"/>
    <mergeCell ref="I172:J172"/>
    <mergeCell ref="D119:G119"/>
    <mergeCell ref="D121:G121"/>
    <mergeCell ref="D123:G123"/>
    <mergeCell ref="D125:G125"/>
    <mergeCell ref="I165:J165"/>
    <mergeCell ref="D129:G129"/>
    <mergeCell ref="I159:J159"/>
    <mergeCell ref="I160:J160"/>
    <mergeCell ref="I161:J161"/>
    <mergeCell ref="I162:J162"/>
    <mergeCell ref="D163:D164"/>
    <mergeCell ref="H163:H164"/>
    <mergeCell ref="I163:J164"/>
    <mergeCell ref="D165:D166"/>
  </mergeCells>
  <dataValidations count="3">
    <dataValidation type="list" allowBlank="1" showInputMessage="1" showErrorMessage="1" sqref="D127:G127">
      <formula1>$N$120:$N$128</formula1>
    </dataValidation>
    <dataValidation type="list" allowBlank="1" showInputMessage="1" showErrorMessage="1" sqref="D129:G129">
      <formula1>$O$120</formula1>
    </dataValidation>
    <dataValidation type="list" allowBlank="1" showInputMessage="1" showErrorMessage="1" sqref="D123:G123">
      <formula1>$P$119:$P$128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4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6" max="9" man="1"/>
    <brk id="313" max="16383" man="1"/>
    <brk id="419" max="9" man="1"/>
  </rowBreaks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-0.249977111117893"/>
  </sheetPr>
  <dimension ref="A1:AJ530"/>
  <sheetViews>
    <sheetView showGridLines="0" view="pageBreakPreview" topLeftCell="A115" zoomScale="75" zoomScaleNormal="75" zoomScaleSheetLayoutView="75" workbookViewId="0">
      <selection activeCell="H128" sqref="H128"/>
    </sheetView>
  </sheetViews>
  <sheetFormatPr defaultRowHeight="14.4" outlineLevelRow="1" outlineLevelCol="1"/>
  <cols>
    <col min="1" max="1" width="7" customWidth="1"/>
    <col min="2" max="2" width="40.6640625" customWidth="1"/>
    <col min="3" max="3" width="59.664062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8.6640625" customWidth="1"/>
    <col min="9" max="9" width="11.109375" bestFit="1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1.3320312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79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79"/>
      <c r="E3" s="279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644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>
      <c r="G45" s="10"/>
    </row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/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640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79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79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43" t="s">
        <v>31</v>
      </c>
      <c r="B117" s="544"/>
      <c r="C117" s="544"/>
      <c r="D117" s="544"/>
      <c r="E117" s="544"/>
      <c r="F117" s="544"/>
      <c r="G117" s="544"/>
      <c r="H117" s="544"/>
      <c r="I117" s="544"/>
      <c r="J117" s="545"/>
      <c r="K117" s="11"/>
      <c r="L117" s="4"/>
      <c r="M117" s="4"/>
      <c r="N117" s="4"/>
    </row>
    <row r="118" spans="1:16" s="1" customFormat="1" ht="15.6">
      <c r="A118" s="12"/>
      <c r="C118" s="8"/>
      <c r="D118" s="15"/>
      <c r="E118" s="13"/>
      <c r="J118" s="428"/>
      <c r="K118" s="11"/>
      <c r="L118" s="56"/>
      <c r="M118" s="56"/>
      <c r="N118" s="56"/>
    </row>
    <row r="119" spans="1:16" s="1" customFormat="1" ht="15" customHeight="1">
      <c r="A119" s="12"/>
      <c r="C119" s="110" t="s">
        <v>635</v>
      </c>
      <c r="D119" s="524"/>
      <c r="E119" s="525"/>
      <c r="F119" s="525"/>
      <c r="G119" s="526"/>
      <c r="I119" s="16"/>
      <c r="J119" s="12"/>
      <c r="N119" s="247" t="s">
        <v>191</v>
      </c>
      <c r="O119" s="12" t="s">
        <v>227</v>
      </c>
      <c r="P119" s="247" t="s">
        <v>16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7">
        <v>5</v>
      </c>
      <c r="O120" s="12" t="s">
        <v>243</v>
      </c>
      <c r="P120" s="335" t="s">
        <v>389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8">
        <v>6</v>
      </c>
      <c r="O121" s="12" t="s">
        <v>244</v>
      </c>
      <c r="P121" s="336" t="s">
        <v>390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8">
        <v>8</v>
      </c>
      <c r="P122" s="336" t="s">
        <v>391</v>
      </c>
    </row>
    <row r="123" spans="1:16" s="1" customFormat="1" ht="15" customHeight="1">
      <c r="A123" s="12"/>
      <c r="C123" s="110" t="s">
        <v>629</v>
      </c>
      <c r="D123" s="524" t="s">
        <v>15</v>
      </c>
      <c r="E123" s="525"/>
      <c r="F123" s="525"/>
      <c r="G123" s="526"/>
      <c r="H123" s="519" t="s">
        <v>638</v>
      </c>
      <c r="I123" s="520"/>
      <c r="J123" s="517">
        <v>2500</v>
      </c>
      <c r="N123" s="248">
        <v>10</v>
      </c>
      <c r="P123" s="336" t="s">
        <v>392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8">
        <v>12</v>
      </c>
      <c r="P124" s="335" t="s">
        <v>393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425"/>
      <c r="L125" s="77"/>
      <c r="N125" s="248">
        <v>14</v>
      </c>
      <c r="P125" s="335" t="s">
        <v>394</v>
      </c>
    </row>
    <row r="126" spans="1:16" s="1" customFormat="1" ht="15" customHeight="1">
      <c r="A126" s="428"/>
      <c r="B126" s="428"/>
      <c r="C126" s="423" t="s">
        <v>631</v>
      </c>
      <c r="D126" s="15"/>
      <c r="H126" s="519" t="s">
        <v>639</v>
      </c>
      <c r="I126" s="520"/>
      <c r="J126" s="517">
        <v>3500</v>
      </c>
      <c r="K126" s="425"/>
      <c r="L126" s="77"/>
      <c r="N126" s="248">
        <v>18</v>
      </c>
      <c r="P126" s="335" t="s">
        <v>395</v>
      </c>
    </row>
    <row r="127" spans="1:16" s="1" customFormat="1" ht="15" customHeight="1">
      <c r="A127" s="428"/>
      <c r="B127" s="428"/>
      <c r="C127" s="110" t="s">
        <v>633</v>
      </c>
      <c r="D127" s="534">
        <v>6</v>
      </c>
      <c r="E127" s="535"/>
      <c r="F127" s="535"/>
      <c r="G127" s="536"/>
      <c r="H127" s="520"/>
      <c r="I127" s="520"/>
      <c r="J127" s="518"/>
      <c r="N127" s="248">
        <v>20</v>
      </c>
      <c r="P127" s="335" t="s">
        <v>396</v>
      </c>
    </row>
    <row r="128" spans="1:16" s="1" customFormat="1" ht="18.75" customHeight="1">
      <c r="C128" s="423" t="s">
        <v>632</v>
      </c>
      <c r="I128" s="12"/>
      <c r="J128" s="12"/>
      <c r="N128" s="248">
        <v>22</v>
      </c>
      <c r="P128" s="335" t="s">
        <v>397</v>
      </c>
    </row>
    <row r="129" spans="1:23" s="1" customFormat="1" ht="15" customHeight="1">
      <c r="A129" s="88" t="str">
        <f>A18</f>
        <v>240-3 Panel (2L1R)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23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314</v>
      </c>
      <c r="G133" s="186">
        <v>1</v>
      </c>
      <c r="H133" s="186" t="s">
        <v>52</v>
      </c>
      <c r="I133" s="124">
        <f>$J$126-60</f>
        <v>3440</v>
      </c>
      <c r="J133" s="125">
        <f t="shared" ref="J133:J157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6</v>
      </c>
      <c r="U133" s="283" t="s">
        <v>291</v>
      </c>
      <c r="V133" s="307">
        <f>($J$126-182-(113.25*2))/3</f>
        <v>1030.5</v>
      </c>
      <c r="W133" s="286">
        <f>$J$119*T133</f>
        <v>0</v>
      </c>
    </row>
    <row r="134" spans="1:23" s="1" customFormat="1" ht="18" customHeight="1">
      <c r="A134" s="129">
        <f t="shared" ref="A134:A157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3414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6</v>
      </c>
      <c r="U134" s="129" t="s">
        <v>291</v>
      </c>
      <c r="V134" s="307">
        <f t="shared" ref="V134:V135" si="2">($J$126-182-(113.25*2))/3</f>
        <v>1030.5</v>
      </c>
      <c r="W134" s="131">
        <f t="shared" ref="W134:W135" si="3">$J$119*T134</f>
        <v>0</v>
      </c>
    </row>
    <row r="135" spans="1:23" s="1" customFormat="1" ht="18" customHeight="1">
      <c r="A135" s="129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3440</v>
      </c>
      <c r="J135" s="131">
        <f t="shared" si="0"/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6</v>
      </c>
      <c r="U135" s="135" t="s">
        <v>291</v>
      </c>
      <c r="V135" s="307">
        <f t="shared" si="2"/>
        <v>1030.5</v>
      </c>
      <c r="W135" s="293">
        <f t="shared" si="3"/>
        <v>0</v>
      </c>
    </row>
    <row r="136" spans="1:23" s="1" customFormat="1" ht="18" customHeight="1">
      <c r="A136" s="129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3440</v>
      </c>
      <c r="J136" s="131">
        <f t="shared" si="0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6</v>
      </c>
      <c r="U136" s="283" t="s">
        <v>64</v>
      </c>
      <c r="V136" s="288">
        <f>$J$123-242</f>
        <v>2258</v>
      </c>
      <c r="W136" s="286">
        <f>$J$119*T136</f>
        <v>0</v>
      </c>
    </row>
    <row r="137" spans="1:23" s="1" customFormat="1" ht="18" customHeight="1">
      <c r="A137" s="129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2500</v>
      </c>
      <c r="J137" s="131">
        <f t="shared" si="0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6</v>
      </c>
      <c r="U137" s="129" t="s">
        <v>64</v>
      </c>
      <c r="V137" s="130">
        <f>$J$123-242</f>
        <v>2258</v>
      </c>
      <c r="W137" s="131">
        <f t="shared" ref="W137:W138" si="4">$J$119*T137</f>
        <v>0</v>
      </c>
    </row>
    <row r="138" spans="1:23" s="1" customFormat="1" ht="18" customHeight="1">
      <c r="A138" s="129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505</v>
      </c>
      <c r="G138" s="143">
        <v>1</v>
      </c>
      <c r="H138" s="143" t="s">
        <v>61</v>
      </c>
      <c r="I138" s="130">
        <f>$J$123</f>
        <v>2500</v>
      </c>
      <c r="J138" s="131">
        <f t="shared" si="0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6</v>
      </c>
      <c r="U138" s="135" t="s">
        <v>64</v>
      </c>
      <c r="V138" s="136">
        <f>$J$123-242</f>
        <v>2258</v>
      </c>
      <c r="W138" s="293">
        <f t="shared" si="4"/>
        <v>0</v>
      </c>
    </row>
    <row r="139" spans="1:23" s="1" customFormat="1" ht="18" customHeight="1">
      <c r="A139" s="129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2404</v>
      </c>
      <c r="J139" s="131">
        <f t="shared" si="0"/>
        <v>1</v>
      </c>
      <c r="N139" s="98"/>
    </row>
    <row r="140" spans="1:23" s="1" customFormat="1" ht="18" customHeight="1">
      <c r="A140" s="129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2404</v>
      </c>
      <c r="J140" s="131">
        <f t="shared" si="0"/>
        <v>1</v>
      </c>
      <c r="N140" s="98"/>
    </row>
    <row r="141" spans="1:23" s="1" customFormat="1" ht="18" customHeight="1">
      <c r="A141" s="129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3</v>
      </c>
      <c r="H141" s="143" t="s">
        <v>291</v>
      </c>
      <c r="I141" s="178">
        <f>($J$126-182-(113.25*2))/3</f>
        <v>1030.5</v>
      </c>
      <c r="J141" s="131">
        <f t="shared" si="0"/>
        <v>3</v>
      </c>
      <c r="N141" s="98"/>
    </row>
    <row r="142" spans="1:23" s="1" customFormat="1" ht="18" customHeight="1">
      <c r="A142" s="129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3</v>
      </c>
      <c r="H142" s="143" t="s">
        <v>291</v>
      </c>
      <c r="I142" s="178">
        <f>($J$126-182-(113.25*2))/3</f>
        <v>1030.5</v>
      </c>
      <c r="J142" s="131">
        <f t="shared" si="0"/>
        <v>3</v>
      </c>
      <c r="N142" s="98"/>
    </row>
    <row r="143" spans="1:23" s="1" customFormat="1" ht="18" customHeight="1">
      <c r="A143" s="129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4</v>
      </c>
      <c r="H143" s="143" t="s">
        <v>63</v>
      </c>
      <c r="I143" s="130">
        <f>$J$123-92</f>
        <v>2408</v>
      </c>
      <c r="J143" s="131">
        <f t="shared" si="0"/>
        <v>4</v>
      </c>
      <c r="N143" s="98"/>
    </row>
    <row r="144" spans="1:23" s="1" customFormat="1" ht="18" customHeight="1">
      <c r="A144" s="129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1</v>
      </c>
      <c r="H144" s="143" t="s">
        <v>63</v>
      </c>
      <c r="I144" s="130">
        <f>$J$123-92</f>
        <v>2408</v>
      </c>
      <c r="J144" s="131">
        <f t="shared" si="0"/>
        <v>1</v>
      </c>
      <c r="N144" s="98"/>
    </row>
    <row r="145" spans="1:14" s="1" customFormat="1" ht="18" customHeight="1">
      <c r="A145" s="129">
        <f t="shared" si="1"/>
        <v>13</v>
      </c>
      <c r="B145" s="140" t="s">
        <v>116</v>
      </c>
      <c r="C145" s="140" t="s">
        <v>99</v>
      </c>
      <c r="D145" s="139" t="s">
        <v>50</v>
      </c>
      <c r="E145" s="143">
        <v>1.1060000000000001</v>
      </c>
      <c r="F145" s="139" t="s">
        <v>506</v>
      </c>
      <c r="G145" s="143">
        <v>1</v>
      </c>
      <c r="H145" s="143" t="s">
        <v>63</v>
      </c>
      <c r="I145" s="130">
        <f>$J$123-92</f>
        <v>2408</v>
      </c>
      <c r="J145" s="131">
        <f t="shared" si="0"/>
        <v>1</v>
      </c>
      <c r="N145" s="98"/>
    </row>
    <row r="146" spans="1:14" s="1" customFormat="1" ht="18" customHeight="1">
      <c r="A146" s="129">
        <f t="shared" si="1"/>
        <v>14</v>
      </c>
      <c r="B146" s="140" t="str">
        <f t="shared" ref="B146:I146" si="5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40" t="str">
        <f t="shared" si="5"/>
        <v>5-6mm GLAZING BEAD HORIZONTAL</v>
      </c>
      <c r="D146" s="140" t="str">
        <f t="shared" si="5"/>
        <v>B24008</v>
      </c>
      <c r="E146" s="140">
        <f t="shared" si="5"/>
        <v>0.23100000000000001</v>
      </c>
      <c r="F146" s="140" t="str">
        <f t="shared" si="5"/>
        <v>B24008-001</v>
      </c>
      <c r="G146" s="129">
        <f t="shared" si="5"/>
        <v>6</v>
      </c>
      <c r="H146" s="129" t="str">
        <f t="shared" si="5"/>
        <v>(W-182-(113.25 × 2))/3</v>
      </c>
      <c r="I146" s="178">
        <f t="shared" si="5"/>
        <v>1030.5</v>
      </c>
      <c r="J146" s="131">
        <f t="shared" si="0"/>
        <v>6</v>
      </c>
      <c r="N146" s="98"/>
    </row>
    <row r="147" spans="1:14" s="1" customFormat="1" ht="18" customHeight="1">
      <c r="A147" s="129">
        <f t="shared" si="1"/>
        <v>15</v>
      </c>
      <c r="B147" s="127" t="str">
        <f t="shared" ref="B147:I147" si="6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27" t="str">
        <f t="shared" si="6"/>
        <v>5-6mm GLAZING BEAD VERTICAL</v>
      </c>
      <c r="D147" s="127" t="str">
        <f t="shared" si="6"/>
        <v>B24008</v>
      </c>
      <c r="E147" s="127">
        <f t="shared" si="6"/>
        <v>0.23100000000000001</v>
      </c>
      <c r="F147" s="127" t="str">
        <f t="shared" si="6"/>
        <v>B24008-002</v>
      </c>
      <c r="G147" s="129">
        <f t="shared" si="6"/>
        <v>6</v>
      </c>
      <c r="H147" s="129" t="str">
        <f t="shared" si="6"/>
        <v>H-242</v>
      </c>
      <c r="I147" s="144">
        <f t="shared" si="6"/>
        <v>2258</v>
      </c>
      <c r="J147" s="131">
        <f t="shared" si="0"/>
        <v>6</v>
      </c>
      <c r="N147" s="98"/>
    </row>
    <row r="148" spans="1:14" s="1" customFormat="1" ht="18" customHeight="1">
      <c r="A148" s="129">
        <f t="shared" si="1"/>
        <v>16</v>
      </c>
      <c r="B148" s="127" t="s">
        <v>125</v>
      </c>
      <c r="C148" s="127" t="s">
        <v>124</v>
      </c>
      <c r="D148" s="139" t="s">
        <v>123</v>
      </c>
      <c r="E148" s="129"/>
      <c r="F148" s="128" t="s">
        <v>362</v>
      </c>
      <c r="G148" s="129">
        <v>1</v>
      </c>
      <c r="H148" s="129" t="s">
        <v>63</v>
      </c>
      <c r="I148" s="130">
        <f>$J$123-92</f>
        <v>2408</v>
      </c>
      <c r="J148" s="131">
        <f t="shared" si="0"/>
        <v>1</v>
      </c>
      <c r="N148" s="98"/>
    </row>
    <row r="149" spans="1:14" s="1" customFormat="1" ht="18" customHeight="1">
      <c r="A149" s="129">
        <f t="shared" si="1"/>
        <v>17</v>
      </c>
      <c r="B149" s="127" t="s">
        <v>125</v>
      </c>
      <c r="C149" s="127" t="s">
        <v>152</v>
      </c>
      <c r="D149" s="139" t="s">
        <v>123</v>
      </c>
      <c r="E149" s="129"/>
      <c r="F149" s="128" t="s">
        <v>363</v>
      </c>
      <c r="G149" s="129">
        <v>1</v>
      </c>
      <c r="H149" s="129" t="s">
        <v>63</v>
      </c>
      <c r="I149" s="130">
        <f>$J$123-92</f>
        <v>2408</v>
      </c>
      <c r="J149" s="131">
        <f t="shared" si="0"/>
        <v>1</v>
      </c>
      <c r="N149" s="98"/>
    </row>
    <row r="150" spans="1:14" s="1" customFormat="1" ht="18" customHeight="1">
      <c r="A150" s="129" t="str">
        <f t="shared" si="1"/>
        <v/>
      </c>
      <c r="B150" s="127"/>
      <c r="C150" s="127"/>
      <c r="D150" s="139"/>
      <c r="E150" s="129"/>
      <c r="F150" s="128"/>
      <c r="G150" s="129"/>
      <c r="H150" s="129"/>
      <c r="I150" s="144"/>
      <c r="J150" s="131">
        <f t="shared" si="0"/>
        <v>0</v>
      </c>
      <c r="N150" s="98"/>
    </row>
    <row r="151" spans="1:14" s="1" customFormat="1" ht="18" customHeight="1">
      <c r="A151" s="129" t="str">
        <f t="shared" si="1"/>
        <v/>
      </c>
      <c r="B151" s="127"/>
      <c r="C151" s="127"/>
      <c r="D151" s="139"/>
      <c r="E151" s="129"/>
      <c r="F151" s="128"/>
      <c r="G151" s="129"/>
      <c r="H151" s="129"/>
      <c r="I151" s="144"/>
      <c r="J151" s="131"/>
      <c r="N151" s="98"/>
    </row>
    <row r="152" spans="1:14" s="1" customFormat="1" ht="18" customHeight="1">
      <c r="A152" s="129" t="str">
        <f t="shared" si="1"/>
        <v/>
      </c>
      <c r="B152" s="127"/>
      <c r="C152" s="127"/>
      <c r="D152" s="139"/>
      <c r="E152" s="129"/>
      <c r="F152" s="128"/>
      <c r="G152" s="129"/>
      <c r="H152" s="129"/>
      <c r="I152" s="144"/>
      <c r="J152" s="131">
        <f t="shared" si="0"/>
        <v>0</v>
      </c>
      <c r="N152" s="98"/>
    </row>
    <row r="153" spans="1:14" s="1" customFormat="1" ht="18" customHeight="1">
      <c r="A153" s="129" t="str">
        <f t="shared" si="1"/>
        <v/>
      </c>
      <c r="B153" s="127"/>
      <c r="C153" s="127"/>
      <c r="D153" s="139"/>
      <c r="E153" s="129"/>
      <c r="F153" s="128"/>
      <c r="G153" s="129"/>
      <c r="H153" s="129"/>
      <c r="I153" s="144"/>
      <c r="J153" s="131">
        <f t="shared" si="0"/>
        <v>0</v>
      </c>
      <c r="N153" s="98"/>
    </row>
    <row r="154" spans="1:14" s="1" customFormat="1" ht="18" customHeight="1">
      <c r="A154" s="129" t="str">
        <f t="shared" si="1"/>
        <v/>
      </c>
      <c r="B154" s="127"/>
      <c r="C154" s="127"/>
      <c r="D154" s="139"/>
      <c r="E154" s="129"/>
      <c r="F154" s="128"/>
      <c r="G154" s="129"/>
      <c r="H154" s="129"/>
      <c r="I154" s="144"/>
      <c r="J154" s="131">
        <f t="shared" si="0"/>
        <v>0</v>
      </c>
      <c r="N154" s="98"/>
    </row>
    <row r="155" spans="1:14" s="1" customFormat="1" ht="18" customHeight="1">
      <c r="A155" s="129" t="str">
        <f t="shared" si="1"/>
        <v/>
      </c>
      <c r="B155" s="127"/>
      <c r="C155" s="127"/>
      <c r="D155" s="139"/>
      <c r="E155" s="129"/>
      <c r="F155" s="128"/>
      <c r="G155" s="129"/>
      <c r="H155" s="129"/>
      <c r="I155" s="144"/>
      <c r="J155" s="131">
        <f t="shared" si="0"/>
        <v>0</v>
      </c>
      <c r="N155" s="98"/>
    </row>
    <row r="156" spans="1:14" s="1" customFormat="1" ht="18" customHeight="1">
      <c r="A156" s="129" t="str">
        <f t="shared" si="1"/>
        <v/>
      </c>
      <c r="B156" s="127"/>
      <c r="C156" s="127"/>
      <c r="D156" s="139"/>
      <c r="E156" s="129"/>
      <c r="F156" s="128"/>
      <c r="G156" s="129"/>
      <c r="H156" s="129"/>
      <c r="I156" s="144"/>
      <c r="J156" s="131">
        <f t="shared" si="0"/>
        <v>0</v>
      </c>
      <c r="N156" s="98"/>
    </row>
    <row r="157" spans="1:14" s="1" customFormat="1" ht="18" customHeight="1" thickBot="1">
      <c r="A157" s="129" t="str">
        <f t="shared" si="1"/>
        <v/>
      </c>
      <c r="B157" s="167"/>
      <c r="C157" s="167"/>
      <c r="D157" s="168"/>
      <c r="E157" s="166"/>
      <c r="F157" s="168"/>
      <c r="G157" s="166"/>
      <c r="H157" s="166"/>
      <c r="I157" s="171"/>
      <c r="J157" s="172">
        <f t="shared" si="0"/>
        <v>0</v>
      </c>
    </row>
    <row r="158" spans="1:14" s="1" customFormat="1" ht="27" outlineLevel="1" thickBot="1">
      <c r="A158" s="169" t="s">
        <v>2</v>
      </c>
      <c r="B158" s="169" t="s">
        <v>29</v>
      </c>
      <c r="C158" s="169" t="s">
        <v>3</v>
      </c>
      <c r="D158" s="169" t="s">
        <v>4</v>
      </c>
      <c r="E158" s="169" t="s">
        <v>5</v>
      </c>
      <c r="F158" s="177" t="s">
        <v>85</v>
      </c>
      <c r="G158" s="169" t="s">
        <v>22</v>
      </c>
      <c r="H158" s="170" t="s">
        <v>23</v>
      </c>
      <c r="I158" s="540"/>
      <c r="J158" s="541"/>
    </row>
    <row r="159" spans="1:14" s="1" customFormat="1" ht="15" customHeight="1" outlineLevel="1">
      <c r="A159" s="21">
        <f>IF(B159="","",1)</f>
        <v>1</v>
      </c>
      <c r="B159" s="173" t="str">
        <f t="shared" ref="B159:C165" si="7">B133</f>
        <v>เฟรมบน</v>
      </c>
      <c r="C159" s="173" t="str">
        <f t="shared" si="7"/>
        <v>HEAD</v>
      </c>
      <c r="D159" s="430" t="str">
        <f>VLOOKUP(C159,$C$133:$H$157,2,0)</f>
        <v>B24001</v>
      </c>
      <c r="E159" s="175">
        <f t="shared" ref="E159:E172" si="8">VLOOKUP(C159,$C$133:$H$157,3,0)</f>
        <v>1.603</v>
      </c>
      <c r="F159" s="175">
        <f>VLOOKUP(C159,$C$133:$J$157,7,0)</f>
        <v>3440</v>
      </c>
      <c r="G159" s="175">
        <f t="shared" ref="G159:G172" si="9">VLOOKUP(C159,$C$133:$J$157,8,0)</f>
        <v>1</v>
      </c>
      <c r="H159" s="176">
        <f>ROUNDUP((F159*G159)/6400,0)</f>
        <v>1</v>
      </c>
      <c r="I159" s="500"/>
      <c r="J159" s="501"/>
    </row>
    <row r="160" spans="1:14" s="1" customFormat="1" ht="15" customHeight="1" outlineLevel="1">
      <c r="A160" s="18">
        <f t="shared" ref="A160:A172" si="10">IF(B160="","",+A159+1)</f>
        <v>2</v>
      </c>
      <c r="B160" s="173" t="str">
        <f>B134</f>
        <v>บังใบบน</v>
      </c>
      <c r="C160" s="173" t="str">
        <f t="shared" si="7"/>
        <v>DOOR STOP HEAD</v>
      </c>
      <c r="D160" s="430" t="str">
        <f>VLOOKUP(C160,$C$133:$H$157,2,0)</f>
        <v>B24002</v>
      </c>
      <c r="E160" s="175">
        <f t="shared" si="8"/>
        <v>0.27800000000000002</v>
      </c>
      <c r="F160" s="175">
        <f t="shared" ref="F160:F172" si="11">VLOOKUP(C160,$C$133:$I$157,7,0)</f>
        <v>3414</v>
      </c>
      <c r="G160" s="175">
        <f t="shared" si="9"/>
        <v>1</v>
      </c>
      <c r="H160" s="176">
        <f>ROUNDUP((F160*G160)/6400,0)</f>
        <v>1</v>
      </c>
      <c r="I160" s="500"/>
      <c r="J160" s="501"/>
    </row>
    <row r="161" spans="1:36" s="1" customFormat="1" ht="15" customHeight="1" outlineLevel="1">
      <c r="A161" s="18">
        <f t="shared" si="10"/>
        <v>3</v>
      </c>
      <c r="B161" s="173" t="str">
        <f t="shared" ref="B161:C172" si="12">B135</f>
        <v xml:space="preserve">เฟรมล่าง </v>
      </c>
      <c r="C161" s="173" t="str">
        <f t="shared" si="7"/>
        <v>SILL</v>
      </c>
      <c r="D161" s="430" t="str">
        <f>VLOOKUP(C161,$C$133:$H$157,2,0)</f>
        <v>B24003</v>
      </c>
      <c r="E161" s="175">
        <f t="shared" si="8"/>
        <v>1.603</v>
      </c>
      <c r="F161" s="175">
        <f t="shared" si="11"/>
        <v>3440</v>
      </c>
      <c r="G161" s="175">
        <f t="shared" si="9"/>
        <v>1</v>
      </c>
      <c r="H161" s="176">
        <f t="shared" ref="H161:H162" si="13">ROUNDUP((F161*G161)/6400,0)</f>
        <v>1</v>
      </c>
      <c r="I161" s="500"/>
      <c r="J161" s="501"/>
    </row>
    <row r="162" spans="1:36" s="1" customFormat="1" ht="15" customHeight="1" outlineLevel="1">
      <c r="A162" s="18">
        <f t="shared" si="10"/>
        <v>4</v>
      </c>
      <c r="B162" s="173" t="str">
        <f t="shared" si="12"/>
        <v>ตัวตับธรณี</v>
      </c>
      <c r="C162" s="173" t="str">
        <f t="shared" si="7"/>
        <v>DOOR STOP SILL</v>
      </c>
      <c r="D162" s="430" t="str">
        <f>VLOOKUP(C162,$C$133:$H$157,2,0)</f>
        <v>B24004</v>
      </c>
      <c r="E162" s="175">
        <f t="shared" si="8"/>
        <v>0.51600000000000001</v>
      </c>
      <c r="F162" s="175">
        <f t="shared" si="11"/>
        <v>3440</v>
      </c>
      <c r="G162" s="175">
        <f t="shared" si="9"/>
        <v>1</v>
      </c>
      <c r="H162" s="176">
        <f t="shared" si="13"/>
        <v>1</v>
      </c>
      <c r="I162" s="500"/>
      <c r="J162" s="501"/>
    </row>
    <row r="163" spans="1:36" s="1" customFormat="1" ht="15" customHeight="1" outlineLevel="1">
      <c r="A163" s="18">
        <f t="shared" si="10"/>
        <v>5</v>
      </c>
      <c r="B163" s="173" t="str">
        <f t="shared" si="12"/>
        <v>เฟรมข้าง (ซ้าย)</v>
      </c>
      <c r="C163" s="173" t="str">
        <f t="shared" si="7"/>
        <v>JAMB (L)</v>
      </c>
      <c r="D163" s="508" t="str">
        <f>VLOOKUP(C163,$C$133:$H$157,2,0)</f>
        <v>B24005</v>
      </c>
      <c r="E163" s="175">
        <f t="shared" si="8"/>
        <v>0.89300000000000002</v>
      </c>
      <c r="F163" s="175">
        <f t="shared" si="11"/>
        <v>2500</v>
      </c>
      <c r="G163" s="175">
        <f t="shared" si="9"/>
        <v>1</v>
      </c>
      <c r="H163" s="516">
        <f>ROUNDUP(((F163*G163)+(F164*G164))/6400,0)</f>
        <v>1</v>
      </c>
      <c r="I163" s="506"/>
      <c r="J163" s="506"/>
    </row>
    <row r="164" spans="1:36" s="1" customFormat="1" ht="15" customHeight="1" outlineLevel="1">
      <c r="A164" s="18">
        <f t="shared" si="10"/>
        <v>6</v>
      </c>
      <c r="B164" s="173" t="str">
        <f t="shared" si="12"/>
        <v>เฟรมข้าง (ขวา)</v>
      </c>
      <c r="C164" s="173" t="str">
        <f t="shared" si="7"/>
        <v>JAMB (R)</v>
      </c>
      <c r="D164" s="509"/>
      <c r="E164" s="175">
        <f t="shared" si="8"/>
        <v>0.89300000000000002</v>
      </c>
      <c r="F164" s="175">
        <f t="shared" si="11"/>
        <v>2500</v>
      </c>
      <c r="G164" s="175">
        <f t="shared" si="9"/>
        <v>1</v>
      </c>
      <c r="H164" s="516"/>
      <c r="I164" s="506"/>
      <c r="J164" s="506"/>
    </row>
    <row r="165" spans="1:36" s="1" customFormat="1" ht="15" customHeight="1" outlineLevel="1">
      <c r="A165" s="18">
        <f t="shared" si="10"/>
        <v>7</v>
      </c>
      <c r="B165" s="173" t="str">
        <f t="shared" si="12"/>
        <v>บังใบข้าง (ซ้าย)</v>
      </c>
      <c r="C165" s="173" t="str">
        <f t="shared" si="7"/>
        <v>DOOR STOP JAMB (L)</v>
      </c>
      <c r="D165" s="508" t="str">
        <f>VLOOKUP(C165,$C$133:$H$157,2,0)</f>
        <v>B24006</v>
      </c>
      <c r="E165" s="175">
        <f t="shared" si="8"/>
        <v>0.23499999999999999</v>
      </c>
      <c r="F165" s="175">
        <f t="shared" si="11"/>
        <v>2404</v>
      </c>
      <c r="G165" s="175">
        <f t="shared" si="9"/>
        <v>1</v>
      </c>
      <c r="H165" s="516">
        <f>ROUNDUP(((F165*G165)+(F166*G166))/6400,0)</f>
        <v>1</v>
      </c>
      <c r="I165" s="500"/>
      <c r="J165" s="501"/>
    </row>
    <row r="166" spans="1:36" s="1" customFormat="1" ht="15" customHeight="1" outlineLevel="1">
      <c r="A166" s="18">
        <f t="shared" si="10"/>
        <v>8</v>
      </c>
      <c r="B166" s="173" t="str">
        <f t="shared" si="12"/>
        <v>บังใบข้าง (ขวา)</v>
      </c>
      <c r="C166" s="173" t="str">
        <f t="shared" si="12"/>
        <v>DOOR STOP JAMB (R)</v>
      </c>
      <c r="D166" s="509"/>
      <c r="E166" s="175">
        <f t="shared" si="8"/>
        <v>0.23499999999999999</v>
      </c>
      <c r="F166" s="175">
        <f t="shared" si="11"/>
        <v>2404</v>
      </c>
      <c r="G166" s="175">
        <f t="shared" si="9"/>
        <v>1</v>
      </c>
      <c r="H166" s="516"/>
      <c r="I166" s="533"/>
      <c r="J166" s="506"/>
    </row>
    <row r="167" spans="1:36" s="1" customFormat="1" ht="13.8" outlineLevel="1">
      <c r="A167" s="18">
        <f t="shared" si="10"/>
        <v>9</v>
      </c>
      <c r="B167" s="173" t="str">
        <f t="shared" si="12"/>
        <v>ขวางบน</v>
      </c>
      <c r="C167" s="173" t="str">
        <f t="shared" si="12"/>
        <v>SASH (Hor) (T)</v>
      </c>
      <c r="D167" s="508" t="str">
        <f t="shared" ref="D167:D172" si="14">VLOOKUP(C167,$C$133:$H$157,2,0)</f>
        <v>B24007</v>
      </c>
      <c r="E167" s="175">
        <f t="shared" si="8"/>
        <v>1.1060000000000001</v>
      </c>
      <c r="F167" s="175">
        <f t="shared" si="11"/>
        <v>1030.5</v>
      </c>
      <c r="G167" s="175">
        <f t="shared" si="9"/>
        <v>3</v>
      </c>
      <c r="H167" s="512">
        <f>ROUNDUP(((F167*G167)+(F168*G168)+(F169*G169)+(F170*G170)+(F171*G171))/6400,0)</f>
        <v>4</v>
      </c>
      <c r="I167" s="533"/>
      <c r="J167" s="506"/>
    </row>
    <row r="168" spans="1:36" s="1" customFormat="1" ht="13.8" outlineLevel="1">
      <c r="A168" s="18">
        <f t="shared" si="10"/>
        <v>10</v>
      </c>
      <c r="B168" s="173" t="str">
        <f t="shared" si="12"/>
        <v>ขวางล่าง</v>
      </c>
      <c r="C168" s="173" t="str">
        <f t="shared" si="12"/>
        <v>SASH (Hor) (B)</v>
      </c>
      <c r="D168" s="510"/>
      <c r="E168" s="175">
        <f t="shared" si="8"/>
        <v>1.1060000000000001</v>
      </c>
      <c r="F168" s="175">
        <f t="shared" si="11"/>
        <v>1030.5</v>
      </c>
      <c r="G168" s="175">
        <f t="shared" si="9"/>
        <v>3</v>
      </c>
      <c r="H168" s="514"/>
      <c r="I168" s="533"/>
      <c r="J168" s="506"/>
    </row>
    <row r="169" spans="1:36" s="1" customFormat="1" ht="13.8" outlineLevel="1">
      <c r="A169" s="18">
        <f t="shared" si="10"/>
        <v>11</v>
      </c>
      <c r="B169" s="173" t="str">
        <f t="shared" si="12"/>
        <v>เสา</v>
      </c>
      <c r="C169" s="173" t="str">
        <f t="shared" si="12"/>
        <v xml:space="preserve">SASH (Ver) </v>
      </c>
      <c r="D169" s="510"/>
      <c r="E169" s="175">
        <f t="shared" si="8"/>
        <v>1.1060000000000001</v>
      </c>
      <c r="F169" s="175">
        <f t="shared" si="11"/>
        <v>2408</v>
      </c>
      <c r="G169" s="175">
        <f t="shared" si="9"/>
        <v>4</v>
      </c>
      <c r="H169" s="514"/>
      <c r="I169" s="533"/>
      <c r="J169" s="506"/>
    </row>
    <row r="170" spans="1:36" s="1" customFormat="1" ht="13.8" outlineLevel="1">
      <c r="A170" s="18">
        <f t="shared" si="10"/>
        <v>12</v>
      </c>
      <c r="B170" s="173" t="str">
        <f t="shared" si="12"/>
        <v>เสากุญแจ</v>
      </c>
      <c r="C170" s="173" t="str">
        <f t="shared" si="12"/>
        <v xml:space="preserve">SASH (Ver) LOCK </v>
      </c>
      <c r="D170" s="510"/>
      <c r="E170" s="175">
        <f t="shared" si="8"/>
        <v>1.1060000000000001</v>
      </c>
      <c r="F170" s="175">
        <f t="shared" si="11"/>
        <v>2408</v>
      </c>
      <c r="G170" s="175">
        <f t="shared" si="9"/>
        <v>1</v>
      </c>
      <c r="H170" s="514"/>
      <c r="I170" s="533"/>
      <c r="J170" s="506"/>
    </row>
    <row r="171" spans="1:36" s="1" customFormat="1" ht="13.8" outlineLevel="1">
      <c r="A171" s="18">
        <f t="shared" si="10"/>
        <v>13</v>
      </c>
      <c r="B171" s="173" t="str">
        <f t="shared" si="12"/>
        <v>เสากุญแจมือจับ</v>
      </c>
      <c r="C171" s="173" t="str">
        <f t="shared" si="12"/>
        <v>SASH (Ver) LOCK HANDLE</v>
      </c>
      <c r="D171" s="509"/>
      <c r="E171" s="175">
        <f t="shared" si="8"/>
        <v>1.1060000000000001</v>
      </c>
      <c r="F171" s="175">
        <f t="shared" si="11"/>
        <v>2408</v>
      </c>
      <c r="G171" s="175">
        <f t="shared" si="9"/>
        <v>1</v>
      </c>
      <c r="H171" s="515"/>
      <c r="I171" s="533"/>
      <c r="J171" s="506"/>
    </row>
    <row r="172" spans="1:36" s="1" customFormat="1" ht="13.8" outlineLevel="1">
      <c r="A172" s="18">
        <f t="shared" si="10"/>
        <v>14</v>
      </c>
      <c r="B172" s="173" t="str">
        <f t="shared" si="12"/>
        <v>5-6mm คิ้วตบกระจกแนวนอน</v>
      </c>
      <c r="C172" s="173" t="str">
        <f t="shared" si="12"/>
        <v>5-6mm GLAZING BEAD HORIZONTAL</v>
      </c>
      <c r="D172" s="508" t="str">
        <f t="shared" si="14"/>
        <v>B24008</v>
      </c>
      <c r="E172" s="175">
        <f t="shared" si="8"/>
        <v>0.23100000000000001</v>
      </c>
      <c r="F172" s="175">
        <f t="shared" si="11"/>
        <v>1030.5</v>
      </c>
      <c r="G172" s="175">
        <f t="shared" si="9"/>
        <v>6</v>
      </c>
      <c r="H172" s="516">
        <f>ROUNDUP(((F172*G172)+(F173*G173))/6400,0)</f>
        <v>4</v>
      </c>
      <c r="I172" s="500"/>
      <c r="J172" s="501"/>
    </row>
    <row r="173" spans="1:36" s="1" customFormat="1" ht="13.8" outlineLevel="1">
      <c r="A173" s="18">
        <f t="shared" ref="A173:A175" si="15">IF(B173="","",+A172+1)</f>
        <v>15</v>
      </c>
      <c r="B173" s="173" t="str">
        <f t="shared" ref="B173:C173" si="16">B147</f>
        <v>5-6mm คิ้วตบกระจกแนวตั้ง</v>
      </c>
      <c r="C173" s="173" t="str">
        <f t="shared" si="16"/>
        <v>5-6mm GLAZING BEAD VERTICAL</v>
      </c>
      <c r="D173" s="509"/>
      <c r="E173" s="175">
        <f t="shared" ref="E173:E175" si="17">VLOOKUP(C173,$C$133:$H$157,3,0)</f>
        <v>0.23100000000000001</v>
      </c>
      <c r="F173" s="175">
        <f t="shared" ref="F173:F175" si="18">VLOOKUP(C173,$C$133:$I$157,7,0)</f>
        <v>2258</v>
      </c>
      <c r="G173" s="175">
        <f t="shared" ref="G173:G175" si="19">VLOOKUP(C173,$C$133:$J$157,8,0)</f>
        <v>6</v>
      </c>
      <c r="H173" s="516"/>
      <c r="I173" s="426"/>
      <c r="J173" s="427"/>
    </row>
    <row r="174" spans="1:36" s="1" customFormat="1" ht="13.8" outlineLevel="1">
      <c r="A174" s="18">
        <f t="shared" si="15"/>
        <v>16</v>
      </c>
      <c r="B174" s="173" t="str">
        <f t="shared" ref="B174:C174" si="20">B148</f>
        <v>บังใบ</v>
      </c>
      <c r="C174" s="173" t="str">
        <f t="shared" si="20"/>
        <v>SASH STOP</v>
      </c>
      <c r="D174" s="508" t="str">
        <f t="shared" ref="D174" si="21">VLOOKUP(C174,$C$133:$H$157,2,0)</f>
        <v>B24009</v>
      </c>
      <c r="E174" s="175">
        <f t="shared" si="17"/>
        <v>0</v>
      </c>
      <c r="F174" s="175">
        <f t="shared" si="18"/>
        <v>2408</v>
      </c>
      <c r="G174" s="175">
        <f t="shared" si="19"/>
        <v>1</v>
      </c>
      <c r="H174" s="516">
        <f>ROUNDUP(((F174*G174)+(F175*G175))/6400,0)</f>
        <v>1</v>
      </c>
      <c r="I174" s="426"/>
      <c r="J174" s="427"/>
    </row>
    <row r="175" spans="1:36" s="23" customFormat="1" ht="15" customHeight="1" outlineLevel="1" thickBot="1">
      <c r="A175" s="18">
        <f t="shared" si="15"/>
        <v>17</v>
      </c>
      <c r="B175" s="173" t="str">
        <f t="shared" ref="B175:C175" si="22">B149</f>
        <v>บังใบ</v>
      </c>
      <c r="C175" s="173" t="str">
        <f t="shared" si="22"/>
        <v xml:space="preserve">SASH STOP </v>
      </c>
      <c r="D175" s="511"/>
      <c r="E175" s="175">
        <f t="shared" si="17"/>
        <v>0</v>
      </c>
      <c r="F175" s="175">
        <f t="shared" si="18"/>
        <v>2408</v>
      </c>
      <c r="G175" s="175">
        <f t="shared" si="19"/>
        <v>1</v>
      </c>
      <c r="H175" s="516"/>
      <c r="I175" s="500"/>
      <c r="J175" s="50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s="1" customFormat="1" ht="24.9" customHeight="1" thickBot="1">
      <c r="A176" s="529" t="s">
        <v>9</v>
      </c>
      <c r="B176" s="530"/>
      <c r="C176" s="530"/>
      <c r="D176" s="530"/>
      <c r="E176" s="530"/>
      <c r="F176" s="530"/>
      <c r="G176" s="530"/>
      <c r="H176" s="530"/>
      <c r="I176" s="530"/>
      <c r="J176" s="531"/>
    </row>
    <row r="177" spans="1:23" s="1" customFormat="1" ht="35.1" customHeight="1" thickBot="1">
      <c r="A177" s="102" t="s">
        <v>2</v>
      </c>
      <c r="B177" s="103" t="s">
        <v>29</v>
      </c>
      <c r="C177" s="103" t="s">
        <v>3</v>
      </c>
      <c r="D177" s="103" t="s">
        <v>199</v>
      </c>
      <c r="E177" s="103" t="s">
        <v>5</v>
      </c>
      <c r="F177" s="104" t="s">
        <v>28</v>
      </c>
      <c r="G177" s="103" t="s">
        <v>19</v>
      </c>
      <c r="H177" s="104" t="s">
        <v>200</v>
      </c>
      <c r="I177" s="104" t="s">
        <v>20</v>
      </c>
      <c r="J177" s="115" t="s">
        <v>201</v>
      </c>
      <c r="N177" s="101" t="s">
        <v>191</v>
      </c>
      <c r="O177" s="246" t="s">
        <v>29</v>
      </c>
      <c r="P177" s="246" t="s">
        <v>3</v>
      </c>
      <c r="Q177" s="246" t="s">
        <v>199</v>
      </c>
      <c r="R177" s="246" t="s">
        <v>5</v>
      </c>
      <c r="S177" s="246" t="s">
        <v>28</v>
      </c>
      <c r="T177" s="246" t="s">
        <v>19</v>
      </c>
      <c r="U177" s="246" t="s">
        <v>200</v>
      </c>
      <c r="V177" s="246" t="s">
        <v>20</v>
      </c>
      <c r="W177" s="246" t="s">
        <v>201</v>
      </c>
    </row>
    <row r="178" spans="1:23" s="1" customFormat="1" ht="18" customHeight="1">
      <c r="A178" s="120">
        <f>IF(B178="","",1)</f>
        <v>1</v>
      </c>
      <c r="B178" s="140" t="s">
        <v>110</v>
      </c>
      <c r="C178" s="140" t="s">
        <v>66</v>
      </c>
      <c r="D178" s="139" t="s">
        <v>73</v>
      </c>
      <c r="E178" s="143"/>
      <c r="F178" s="143" t="s">
        <v>73</v>
      </c>
      <c r="G178" s="143" t="s">
        <v>202</v>
      </c>
      <c r="H178" s="143">
        <v>1</v>
      </c>
      <c r="I178" s="130"/>
      <c r="J178" s="131">
        <f t="shared" ref="J178:J191" si="23">$J$120*H178</f>
        <v>1</v>
      </c>
      <c r="N178" s="101" t="s">
        <v>226</v>
      </c>
      <c r="O178" s="280" t="s">
        <v>252</v>
      </c>
      <c r="P178" s="290" t="s">
        <v>248</v>
      </c>
      <c r="Q178" s="280" t="s">
        <v>69</v>
      </c>
      <c r="R178" s="213"/>
      <c r="S178" s="213" t="s">
        <v>69</v>
      </c>
      <c r="T178" s="213" t="s">
        <v>198</v>
      </c>
      <c r="U178" s="291">
        <f>((($I$141*$G$141)+($I$142*$G$142)+($I$143*$G$143)+($I$144*$G$144)+($I$145*$G$145))/1000)*$J$120</f>
        <v>20.631</v>
      </c>
      <c r="V178" s="291">
        <v>100</v>
      </c>
      <c r="W178" s="292">
        <f>ROUNDUP((U178)/100,0)</f>
        <v>1</v>
      </c>
    </row>
    <row r="179" spans="1:23" s="1" customFormat="1" ht="18" customHeight="1">
      <c r="A179" s="126">
        <f>IF(B179="","",+A178+1)</f>
        <v>2</v>
      </c>
      <c r="B179" s="140" t="s">
        <v>111</v>
      </c>
      <c r="C179" s="140" t="s">
        <v>67</v>
      </c>
      <c r="D179" s="139" t="s">
        <v>74</v>
      </c>
      <c r="E179" s="143"/>
      <c r="F179" s="143" t="s">
        <v>74</v>
      </c>
      <c r="G179" s="143" t="s">
        <v>202</v>
      </c>
      <c r="H179" s="143">
        <v>6</v>
      </c>
      <c r="I179" s="130"/>
      <c r="J179" s="131">
        <f t="shared" si="23"/>
        <v>6</v>
      </c>
      <c r="N179" s="101" t="s">
        <v>230</v>
      </c>
      <c r="O179" s="280" t="s">
        <v>253</v>
      </c>
      <c r="P179" s="290" t="s">
        <v>249</v>
      </c>
      <c r="Q179" s="280" t="s">
        <v>188</v>
      </c>
      <c r="R179" s="213"/>
      <c r="S179" s="213" t="s">
        <v>188</v>
      </c>
      <c r="T179" s="213" t="s">
        <v>198</v>
      </c>
      <c r="U179" s="291">
        <f>((($I$141*$G$141)+($I$142*$G$142)+($I$143*$G$143)+($I$144*$G$144)+($I$145*$G$145))/1000)*$J$120</f>
        <v>20.631</v>
      </c>
      <c r="V179" s="291">
        <v>100</v>
      </c>
      <c r="W179" s="292">
        <f t="shared" ref="W179:W182" si="24">ROUNDUP((U179)/100,0)</f>
        <v>1</v>
      </c>
    </row>
    <row r="180" spans="1:23" s="1" customFormat="1" ht="18" customHeight="1">
      <c r="A180" s="126">
        <f t="shared" ref="A180:A205" si="25">IF(B180="","",+A179+1)</f>
        <v>3</v>
      </c>
      <c r="B180" s="140" t="s">
        <v>106</v>
      </c>
      <c r="C180" s="140" t="s">
        <v>503</v>
      </c>
      <c r="D180" s="139" t="s">
        <v>75</v>
      </c>
      <c r="E180" s="143"/>
      <c r="F180" s="143" t="s">
        <v>75</v>
      </c>
      <c r="G180" s="143" t="s">
        <v>202</v>
      </c>
      <c r="H180" s="143">
        <v>2</v>
      </c>
      <c r="I180" s="130"/>
      <c r="J180" s="131">
        <f t="shared" si="23"/>
        <v>2</v>
      </c>
      <c r="N180" s="101" t="s">
        <v>229</v>
      </c>
      <c r="O180" s="290" t="s">
        <v>254</v>
      </c>
      <c r="P180" s="290" t="s">
        <v>250</v>
      </c>
      <c r="Q180" s="280" t="s">
        <v>70</v>
      </c>
      <c r="R180" s="213"/>
      <c r="S180" s="213" t="s">
        <v>70</v>
      </c>
      <c r="T180" s="213" t="s">
        <v>198</v>
      </c>
      <c r="U180" s="291">
        <f>((($I$141*$G$141)+($I$142*$G$142)+($I$143*$G$143)+($I$144*$G$144)+($I$145*$G$145))/1000)*$J$120</f>
        <v>20.631</v>
      </c>
      <c r="V180" s="291">
        <v>100</v>
      </c>
      <c r="W180" s="292">
        <f t="shared" si="24"/>
        <v>1</v>
      </c>
    </row>
    <row r="181" spans="1:23" s="1" customFormat="1" ht="18" customHeight="1">
      <c r="A181" s="126">
        <f t="shared" si="25"/>
        <v>4</v>
      </c>
      <c r="B181" s="140" t="s">
        <v>107</v>
      </c>
      <c r="C181" s="140" t="s">
        <v>504</v>
      </c>
      <c r="D181" s="139" t="s">
        <v>76</v>
      </c>
      <c r="E181" s="143"/>
      <c r="F181" s="143" t="s">
        <v>76</v>
      </c>
      <c r="G181" s="143" t="s">
        <v>202</v>
      </c>
      <c r="H181" s="143">
        <v>2</v>
      </c>
      <c r="I181" s="130"/>
      <c r="J181" s="131">
        <f t="shared" si="23"/>
        <v>2</v>
      </c>
      <c r="N181" s="101" t="s">
        <v>231</v>
      </c>
      <c r="O181" s="290" t="s">
        <v>255</v>
      </c>
      <c r="P181" s="290" t="s">
        <v>251</v>
      </c>
      <c r="Q181" s="280" t="s">
        <v>189</v>
      </c>
      <c r="R181" s="213"/>
      <c r="S181" s="213" t="s">
        <v>189</v>
      </c>
      <c r="T181" s="213" t="s">
        <v>198</v>
      </c>
      <c r="U181" s="291">
        <f>((($I$141*$G$141)+($I$142*$G$142)+($I$143*$G$143)+($I$144*$G$144)+($I$145*$G$145))/1000)*$J$120</f>
        <v>20.631</v>
      </c>
      <c r="V181" s="291">
        <v>100</v>
      </c>
      <c r="W181" s="292">
        <f t="shared" si="24"/>
        <v>1</v>
      </c>
    </row>
    <row r="182" spans="1:23" s="1" customFormat="1" ht="18" customHeight="1">
      <c r="A182" s="126">
        <f t="shared" si="25"/>
        <v>5</v>
      </c>
      <c r="B182" s="140" t="s">
        <v>108</v>
      </c>
      <c r="C182" s="140" t="s">
        <v>10</v>
      </c>
      <c r="D182" s="139">
        <v>9</v>
      </c>
      <c r="E182" s="143"/>
      <c r="F182" s="143">
        <v>9</v>
      </c>
      <c r="G182" s="143" t="s">
        <v>202</v>
      </c>
      <c r="H182" s="143">
        <v>24</v>
      </c>
      <c r="I182" s="130"/>
      <c r="J182" s="131">
        <f t="shared" si="23"/>
        <v>24</v>
      </c>
      <c r="N182" s="101" t="s">
        <v>232</v>
      </c>
      <c r="O182" s="290" t="s">
        <v>256</v>
      </c>
      <c r="P182" s="290" t="s">
        <v>247</v>
      </c>
      <c r="Q182" s="280" t="s">
        <v>233</v>
      </c>
      <c r="R182" s="213"/>
      <c r="S182" s="213" t="s">
        <v>233</v>
      </c>
      <c r="T182" s="213" t="s">
        <v>198</v>
      </c>
      <c r="U182" s="291">
        <f>((($I$141*$G$141)+($I$142*$G$142)+($I$143*$G$143)+($I$144*$G$144)+($I$145*$G$145))/1000)*$J$120</f>
        <v>20.631</v>
      </c>
      <c r="V182" s="291">
        <v>100</v>
      </c>
      <c r="W182" s="292">
        <f t="shared" si="24"/>
        <v>1</v>
      </c>
    </row>
    <row r="183" spans="1:23" s="1" customFormat="1" ht="18" customHeight="1">
      <c r="A183" s="126">
        <f t="shared" si="25"/>
        <v>6</v>
      </c>
      <c r="B183" s="140" t="s">
        <v>109</v>
      </c>
      <c r="C183" s="140" t="s">
        <v>68</v>
      </c>
      <c r="D183" s="139">
        <v>9</v>
      </c>
      <c r="E183" s="143"/>
      <c r="F183" s="143">
        <v>9</v>
      </c>
      <c r="G183" s="143" t="s">
        <v>202</v>
      </c>
      <c r="H183" s="143">
        <v>48</v>
      </c>
      <c r="I183" s="130"/>
      <c r="J183" s="131">
        <f t="shared" si="23"/>
        <v>48</v>
      </c>
    </row>
    <row r="184" spans="1:23" s="1" customFormat="1" ht="18" customHeight="1">
      <c r="A184" s="126">
        <f t="shared" si="25"/>
        <v>7</v>
      </c>
      <c r="B184" s="140" t="s">
        <v>118</v>
      </c>
      <c r="C184" s="140" t="s">
        <v>77</v>
      </c>
      <c r="D184" s="139" t="s">
        <v>80</v>
      </c>
      <c r="E184" s="143"/>
      <c r="F184" s="143" t="s">
        <v>80</v>
      </c>
      <c r="G184" s="143" t="s">
        <v>185</v>
      </c>
      <c r="H184" s="143">
        <v>1</v>
      </c>
      <c r="I184" s="130"/>
      <c r="J184" s="131">
        <f t="shared" si="23"/>
        <v>1</v>
      </c>
    </row>
    <row r="185" spans="1:23" s="1" customFormat="1" ht="18" customHeight="1">
      <c r="A185" s="126">
        <f t="shared" si="25"/>
        <v>8</v>
      </c>
      <c r="B185" s="140" t="s">
        <v>120</v>
      </c>
      <c r="C185" s="140" t="s">
        <v>94</v>
      </c>
      <c r="D185" s="139" t="s">
        <v>96</v>
      </c>
      <c r="E185" s="143"/>
      <c r="F185" s="143" t="s">
        <v>96</v>
      </c>
      <c r="G185" s="143" t="s">
        <v>185</v>
      </c>
      <c r="H185" s="143">
        <v>1</v>
      </c>
      <c r="I185" s="130"/>
      <c r="J185" s="131">
        <f t="shared" ref="J185" si="26">$J$120*H185</f>
        <v>1</v>
      </c>
    </row>
    <row r="186" spans="1:23" s="1" customFormat="1" ht="18" customHeight="1">
      <c r="A186" s="126">
        <f t="shared" si="25"/>
        <v>9</v>
      </c>
      <c r="B186" s="140" t="s">
        <v>142</v>
      </c>
      <c r="C186" s="140" t="s">
        <v>141</v>
      </c>
      <c r="D186" s="139" t="s">
        <v>81</v>
      </c>
      <c r="E186" s="143"/>
      <c r="F186" s="143" t="s">
        <v>81</v>
      </c>
      <c r="G186" s="143" t="s">
        <v>185</v>
      </c>
      <c r="H186" s="143">
        <v>1</v>
      </c>
      <c r="I186" s="130"/>
      <c r="J186" s="131">
        <f t="shared" si="23"/>
        <v>1</v>
      </c>
    </row>
    <row r="187" spans="1:23" s="1" customFormat="1" ht="18" customHeight="1">
      <c r="A187" s="126">
        <f t="shared" si="25"/>
        <v>10</v>
      </c>
      <c r="B187" s="140" t="s">
        <v>117</v>
      </c>
      <c r="C187" s="140" t="s">
        <v>79</v>
      </c>
      <c r="D187" s="139" t="s">
        <v>82</v>
      </c>
      <c r="E187" s="143"/>
      <c r="F187" s="143" t="s">
        <v>82</v>
      </c>
      <c r="G187" s="143" t="s">
        <v>185</v>
      </c>
      <c r="H187" s="143">
        <v>1</v>
      </c>
      <c r="I187" s="130"/>
      <c r="J187" s="131">
        <f t="shared" si="23"/>
        <v>1</v>
      </c>
      <c r="N187" s="56"/>
      <c r="O187" s="56"/>
      <c r="P187" s="56"/>
      <c r="Q187" s="289"/>
      <c r="R187" s="289"/>
      <c r="S187" s="289"/>
      <c r="T187" s="17"/>
      <c r="U187" s="17"/>
      <c r="V187" s="17"/>
      <c r="W187" s="56"/>
    </row>
    <row r="188" spans="1:23" s="1" customFormat="1" ht="18" customHeight="1">
      <c r="A188" s="126">
        <f t="shared" si="25"/>
        <v>11</v>
      </c>
      <c r="B188" s="140" t="s">
        <v>113</v>
      </c>
      <c r="C188" s="140" t="s">
        <v>502</v>
      </c>
      <c r="D188" s="139" t="s">
        <v>83</v>
      </c>
      <c r="E188" s="143"/>
      <c r="F188" s="143" t="s">
        <v>83</v>
      </c>
      <c r="G188" s="143" t="s">
        <v>185</v>
      </c>
      <c r="H188" s="143">
        <v>1</v>
      </c>
      <c r="I188" s="130"/>
      <c r="J188" s="131">
        <f t="shared" si="23"/>
        <v>1</v>
      </c>
      <c r="N188" s="101" t="s">
        <v>227</v>
      </c>
      <c r="O188" s="246" t="s">
        <v>29</v>
      </c>
      <c r="P188" s="246" t="s">
        <v>3</v>
      </c>
      <c r="Q188" s="246" t="s">
        <v>199</v>
      </c>
      <c r="R188" s="246" t="s">
        <v>5</v>
      </c>
      <c r="S188" s="246" t="s">
        <v>28</v>
      </c>
      <c r="T188" s="246" t="s">
        <v>19</v>
      </c>
      <c r="U188" s="246" t="s">
        <v>200</v>
      </c>
      <c r="V188" s="246" t="s">
        <v>20</v>
      </c>
      <c r="W188" s="246" t="s">
        <v>201</v>
      </c>
    </row>
    <row r="189" spans="1:23" s="1" customFormat="1" ht="18" customHeight="1">
      <c r="A189" s="126">
        <f t="shared" si="25"/>
        <v>12</v>
      </c>
      <c r="B189" s="140" t="s">
        <v>122</v>
      </c>
      <c r="C189" s="140" t="s">
        <v>101</v>
      </c>
      <c r="D189" s="139" t="s">
        <v>104</v>
      </c>
      <c r="E189" s="143"/>
      <c r="F189" s="143" t="s">
        <v>104</v>
      </c>
      <c r="G189" s="143" t="s">
        <v>185</v>
      </c>
      <c r="H189" s="143">
        <v>1</v>
      </c>
      <c r="I189" s="144"/>
      <c r="J189" s="131">
        <f t="shared" si="23"/>
        <v>1</v>
      </c>
      <c r="N189" s="101" t="s">
        <v>240</v>
      </c>
      <c r="O189" s="290" t="s">
        <v>234</v>
      </c>
      <c r="P189" s="290" t="s">
        <v>236</v>
      </c>
      <c r="Q189" s="280" t="s">
        <v>190</v>
      </c>
      <c r="R189" s="213"/>
      <c r="S189" s="213" t="s">
        <v>190</v>
      </c>
      <c r="T189" s="213" t="s">
        <v>198</v>
      </c>
      <c r="U189" s="291">
        <f>((($I$134*$G$134)+($I$136*$G$136)+($I$139*$G$139))/1000)*$J$120</f>
        <v>9.2579999999999991</v>
      </c>
      <c r="V189" s="291">
        <v>300</v>
      </c>
      <c r="W189" s="292">
        <f>ROUNDUP((U189)/V189,0)</f>
        <v>1</v>
      </c>
    </row>
    <row r="190" spans="1:23" s="1" customFormat="1" ht="18" customHeight="1">
      <c r="A190" s="126">
        <f t="shared" si="25"/>
        <v>13</v>
      </c>
      <c r="B190" s="140" t="s">
        <v>112</v>
      </c>
      <c r="C190" s="140" t="s">
        <v>114</v>
      </c>
      <c r="D190" s="139" t="s">
        <v>520</v>
      </c>
      <c r="E190" s="143"/>
      <c r="F190" s="143" t="s">
        <v>520</v>
      </c>
      <c r="G190" s="143" t="s">
        <v>202</v>
      </c>
      <c r="H190" s="143">
        <v>2</v>
      </c>
      <c r="I190" s="144"/>
      <c r="J190" s="131">
        <f t="shared" si="23"/>
        <v>2</v>
      </c>
      <c r="N190" s="101" t="s">
        <v>241</v>
      </c>
      <c r="O190" s="290" t="s">
        <v>235</v>
      </c>
      <c r="P190" s="290" t="s">
        <v>238</v>
      </c>
      <c r="Q190" s="280" t="s">
        <v>71</v>
      </c>
      <c r="R190" s="213"/>
      <c r="S190" s="213" t="s">
        <v>71</v>
      </c>
      <c r="T190" s="213" t="s">
        <v>198</v>
      </c>
      <c r="U190" s="291">
        <f>((($I$134*$G$134)+($I$136*$G$136)+($I$139*$G$139))/1000)*$J$120</f>
        <v>9.2579999999999991</v>
      </c>
      <c r="V190" s="291">
        <v>100</v>
      </c>
      <c r="W190" s="292">
        <f t="shared" ref="W190:W192" si="27">ROUNDUP((U190)/V190,0)</f>
        <v>1</v>
      </c>
    </row>
    <row r="191" spans="1:23" s="1" customFormat="1" ht="18" customHeight="1">
      <c r="A191" s="126">
        <f t="shared" si="25"/>
        <v>14</v>
      </c>
      <c r="B191" s="140" t="s">
        <v>115</v>
      </c>
      <c r="C191" s="140" t="s">
        <v>45</v>
      </c>
      <c r="D191" s="139" t="s">
        <v>84</v>
      </c>
      <c r="E191" s="143"/>
      <c r="F191" s="143" t="s">
        <v>84</v>
      </c>
      <c r="G191" s="143" t="s">
        <v>202</v>
      </c>
      <c r="H191" s="143">
        <v>1</v>
      </c>
      <c r="I191" s="144"/>
      <c r="J191" s="131">
        <f t="shared" si="23"/>
        <v>1</v>
      </c>
      <c r="N191" s="101" t="s">
        <v>240</v>
      </c>
      <c r="O191" s="290" t="s">
        <v>245</v>
      </c>
      <c r="P191" s="290" t="s">
        <v>237</v>
      </c>
      <c r="Q191" s="280" t="s">
        <v>72</v>
      </c>
      <c r="R191" s="213"/>
      <c r="S191" s="213" t="s">
        <v>72</v>
      </c>
      <c r="T191" s="213" t="s">
        <v>198</v>
      </c>
      <c r="U191" s="291">
        <f>((($I$143*$G$143*2)+($I$144*$G$144*2)+($I$141*$G$141*2))/1000)*$J$120</f>
        <v>30.263000000000002</v>
      </c>
      <c r="V191" s="291">
        <v>350</v>
      </c>
      <c r="W191" s="292">
        <f t="shared" si="27"/>
        <v>1</v>
      </c>
    </row>
    <row r="192" spans="1:23" s="1" customFormat="1" ht="18" customHeight="1">
      <c r="A192" s="126">
        <f t="shared" si="25"/>
        <v>15</v>
      </c>
      <c r="B192" s="139" t="str">
        <f>IF($D$129="Standard",$O$189,IF($D$129="Soumdproof",$O$190,))</f>
        <v>ยางเฟรมกันน้ำ (ธรรมดา)</v>
      </c>
      <c r="C192" s="139" t="str">
        <f>IF($D$129="Standard",$P$189,IF($D$129="Soumdproof",$P$190,))</f>
        <v>FRAME SEAL (Standard)</v>
      </c>
      <c r="D192" s="139" t="str">
        <f>IF($D$129="Standard",$Q$189,IF($D$129="Soumdproof",$Q$190,))</f>
        <v>02-026</v>
      </c>
      <c r="E192" s="143">
        <f t="shared" ref="E192" si="28">IF($D$129="Standard",R190,IF($D$129="Soumdproof",R191,))</f>
        <v>0</v>
      </c>
      <c r="F192" s="143" t="str">
        <f>IF($D$129="Standard",$S$189,IF($D$129="Soumdproof",$S$190,))</f>
        <v>02-026</v>
      </c>
      <c r="G192" s="143" t="str">
        <f>IF($D$129="Standard",$T$189,IF($D$129="Soumdproof",$T$190,))</f>
        <v>M</v>
      </c>
      <c r="H192" s="261">
        <f>IF($D$129="Standard",$U$189,IF($D$129="Soumdproof",$U$190,))</f>
        <v>9.2579999999999991</v>
      </c>
      <c r="I192" s="258">
        <f>IF($D$129="Standard",$V$189,IF($D$129="Soumdproof",$V$190,))</f>
        <v>300</v>
      </c>
      <c r="J192" s="260">
        <f>ROUNDUP((H192)/100,0)</f>
        <v>1</v>
      </c>
      <c r="N192" s="101" t="s">
        <v>241</v>
      </c>
      <c r="O192" s="290" t="s">
        <v>246</v>
      </c>
      <c r="P192" s="290" t="s">
        <v>239</v>
      </c>
      <c r="Q192" s="280" t="s">
        <v>193</v>
      </c>
      <c r="R192" s="213"/>
      <c r="S192" s="213" t="s">
        <v>193</v>
      </c>
      <c r="T192" s="213" t="s">
        <v>198</v>
      </c>
      <c r="U192" s="291">
        <f>((($I$143*$G$143*2)+($I$144*$G$144*2)+($I$141*$G$141*2))/1000)*$J$120</f>
        <v>30.263000000000002</v>
      </c>
      <c r="V192" s="291">
        <v>100</v>
      </c>
      <c r="W192" s="292">
        <f t="shared" si="27"/>
        <v>1</v>
      </c>
    </row>
    <row r="193" spans="1:36" s="1" customFormat="1" ht="18" customHeight="1">
      <c r="A193" s="126">
        <f t="shared" si="25"/>
        <v>16</v>
      </c>
      <c r="B193" s="139" t="str">
        <f>IF($D$129="Standard",$O$191,IF($D$129="Soumdproof",$O$192,))</f>
        <v>ยางแซชกันน้ำ (ธรรมดา)</v>
      </c>
      <c r="C193" s="139" t="str">
        <f>IF($D$129="Standard",$P$191,IF($D$129="Soumdproof",$P$192,))</f>
        <v>SASH SEAL FOAM (Standard)</v>
      </c>
      <c r="D193" s="139" t="str">
        <f>IF($D$129="Standard",$Q$191,IF($D$129="Soumdproof",$Q$192,))</f>
        <v>02-031</v>
      </c>
      <c r="E193" s="143">
        <f t="shared" ref="E193" si="29">IF($D$129="Standard",R192,IF($D$129="Soumdproof",R193,))</f>
        <v>0</v>
      </c>
      <c r="F193" s="143" t="str">
        <f>IF($D$129="Standard",$S$191,IF($D$129="Soumdproof",$S$192,))</f>
        <v>02-031</v>
      </c>
      <c r="G193" s="143" t="str">
        <f>IF($D$129="Standard",$T$191,IF($D$129="Soumdproof",$T$192,))</f>
        <v>M</v>
      </c>
      <c r="H193" s="261">
        <f>IF($D$129="Standard",$U$191,IF($D$129="Soumdproof",$U$192,))</f>
        <v>30.263000000000002</v>
      </c>
      <c r="I193" s="258">
        <f>IF($D$129="Standard",$V$191,IF($D$129="Soumdproof",$V$192,))</f>
        <v>350</v>
      </c>
      <c r="J193" s="260">
        <f>ROUNDUP((H193)/100,0)</f>
        <v>1</v>
      </c>
    </row>
    <row r="194" spans="1:36" s="1" customFormat="1" ht="18" customHeight="1">
      <c r="A194" s="126">
        <f t="shared" si="25"/>
        <v>17</v>
      </c>
      <c r="B194" s="241" t="str">
        <f>IF($D$127=5,$O$180,IF($D$127=6,$O$181,IF($D$127=8,$O$182,IF($D$127=10,$O$180,IF($D$127=12,$O$180,IF($D$127=14,$O$182,IF($D$127=18,$O$180,IF($D$127=20,$O$181,IF($D$127=22,"")))))))))</f>
        <v>6,20 mm ยางอัดกระจก</v>
      </c>
      <c r="C194" s="241" t="str">
        <f>IF($D$127=5,$P$180,IF($D$127=6,$P$181,IF($D$127=8,$P$182,IF($D$127=10,$P$180,IF($D$127=12,$P$180,IF($D$127=14,$P$182,IF($D$127=18,$P$180,IF($D$127=20,$P$181,IF($D$127=22,"")))))))))</f>
        <v>6,20 mm ROLL IN WEDGE</v>
      </c>
      <c r="D194" s="241" t="str">
        <f>IF($D$127=5,$Q$180,IF($D$127=6,$Q$181,IF($D$127=8,$Q$182,IF($D$127=10,$Q$180,IF($D$127=12,$Q$180,IF($D$127=14,$Q$182,IF($D$127=18,$Q$180,IF($D$127=20,$Q$181,IF($D$127=22,"")))))))))</f>
        <v>02-034</v>
      </c>
      <c r="E194" s="241">
        <f t="shared" ref="E194" si="30">IF($D$127=5,R181,IF($D$127=6,R182,IF($D$127=8,R183,IF($D$127=10,R181,IF($D$127=12,R181,IF($D$127=14,R183,IF($D$127=18,R181,IF($D$127=20,R182,IF($D$127=22,"",)))))))))</f>
        <v>0</v>
      </c>
      <c r="F194" s="242" t="str">
        <f>IF($D$127=5,$S$180,IF($D$127=6,$S$181,IF($D$127=8,$S$182,IF($D$127=10,$S$180,IF($D$127=12,$S$180,IF($D$127=14,$S$182,IF($D$127=18,$S$180,IF($D$127=20,$S$181,IF($D$127=22,"")))))))))</f>
        <v>02-034</v>
      </c>
      <c r="G194" s="242" t="str">
        <f>IF($D$127=5,$T$180,IF($D$127=6,$T$181,IF($D$127=8,$T$182,IF($D$127=10,$T$180,IF($D$127=12,$T$180,IF($D$127=14,$T$182,IF($D$127=18,$T$180,IF($D$127=20,$T$181,IF($D$127=22,"")))))))))</f>
        <v>M</v>
      </c>
      <c r="H194" s="261">
        <f>IF($D$127=5,$U$180,IF($D$127=6,$U$181,IF($D$127=8,$U$182,IF($D$127=10,$U$180*2,IF($D$127=12,$U$180,IF($D$127=14,$U$182*2,IF($D$127=18,$U$180,IF($D$127=20,$U$181,IF($D$127=22,"")))))))))</f>
        <v>20.631</v>
      </c>
      <c r="I194" s="258">
        <f>IF($D$127=5,$V$180,IF($D$127=6,$V$181,IF($D$127=8,$V$182,IF($D$127=10,$V$180,IF($D$127=12,$V$180,IF($D$127=14,$V$182,IF($D$127=18,$V$180,IF($D$127=20,$V$181,IF($D$127=22,"")))))))))</f>
        <v>100</v>
      </c>
      <c r="J194" s="260">
        <f>ROUNDUP((H194)/100,0)</f>
        <v>1</v>
      </c>
    </row>
    <row r="195" spans="1:36" s="1" customFormat="1" ht="18" customHeight="1">
      <c r="A195" s="126">
        <f t="shared" si="25"/>
        <v>18</v>
      </c>
      <c r="B195" s="241" t="str">
        <f>IF($D$127=5,$O$178,IF($D$127=6,$O$178,IF($D$127=8,$O$180,IF($D$127=10,"",IF($D$127=12,$O$179,IF($D$127=14,"",IF($D$127=18,$O$178,IF($D$127=20,$O$179,IF($D$127=22,"",)))))))))</f>
        <v>5,6,18 mm ยางรองกระจก</v>
      </c>
      <c r="C195" s="241" t="str">
        <f>IF($D$127=5,$P$178,IF($D$127=6,$P$178,IF($D$127=8,$P$180,IF($D$127=10,"",IF($D$127=12,$P$179,IF($D$127=14,"",IF($D$127=18,$P$178,IF($D$127=20,$P$179,IF($D$127=22,"",)))))))))</f>
        <v>5,6,18 mm CAPTIVE WEDGE</v>
      </c>
      <c r="D195" s="241" t="str">
        <f>IF($D$127=5,$Q$178,IF($D$127=6,$Q$178,IF($D$127=8,$Q$180,IF($D$127=10,"",IF($D$127=12,$Q$179,IF($D$127=14,"",IF($D$127=18,$Q$178,IF($D$127=20,$Q$179,IF($D$127=22,"",)))))))))</f>
        <v>02-022</v>
      </c>
      <c r="E195" s="241">
        <f t="shared" ref="E195" si="31">IF($D$127=5,R179,IF($D$127=6,R179,IF($D$127=8,R181,IF($D$127=10,"",IF($D$127=12,R180,IF($D$127=14,"",IF($D$127=18,R179,IF($D$127=20,R180,IF($D$127=22,"",)))))))))</f>
        <v>0</v>
      </c>
      <c r="F195" s="242" t="str">
        <f>IF($D$127=5,$S$178,IF($D$127=6,$S$178,IF($D$127=8,$S$180,IF($D$127=10,"",IF($D$127=12,$S$179,IF($D$127=14,"",IF($D$127=18,$S$178,IF($D$127=20,$S$179,IF($D$127=22,"",)))))))))</f>
        <v>02-022</v>
      </c>
      <c r="G195" s="242" t="str">
        <f>IF($D$127=5,$T$178,IF($D$127=6,$T$178,IF($D$127=8,$T$180,IF($D$127=10,"",IF($D$127=12,$T$179,IF($D$127=14,"",IF($D$127=18,$T$178,IF($D$127=20,$T$179,IF($D$127=22,"",)))))))))</f>
        <v>M</v>
      </c>
      <c r="H195" s="261">
        <f>IF($D$127=5,$U$178,IF($D$127=6,$U$178,IF($D$127=8,$U$180,IF($D$127=10,"",IF($D$127=12,$U$179,IF($D$127=14,"",IF($D$127=18,$U$178,IF($D$127=20,$U$179,IF($D$127=22,"")))))))))</f>
        <v>20.631</v>
      </c>
      <c r="I195" s="258">
        <f>IF($D$127=5,$V$178,IF($D$127=6,$V$178,IF($D$127=8,$V$180,IF($D$127=10,"",IF($D$127=12,$V$179,IF($D$127=14,"",IF($D$127=18,$V$178,IF($D$127=20,$V$179,IF($D$127=22,"",)))))))))</f>
        <v>100</v>
      </c>
      <c r="J195" s="267">
        <f>ROUNDUP((H195)/100,0)</f>
        <v>1</v>
      </c>
    </row>
    <row r="196" spans="1:36" s="1" customFormat="1" ht="18" customHeight="1">
      <c r="A196" s="126" t="str">
        <f t="shared" si="25"/>
        <v/>
      </c>
      <c r="B196" s="140"/>
      <c r="C196" s="140"/>
      <c r="D196" s="139"/>
      <c r="E196" s="143"/>
      <c r="F196" s="143"/>
      <c r="G196" s="143"/>
      <c r="H196" s="143"/>
      <c r="I196" s="144"/>
      <c r="J196" s="131">
        <f>$J$120*H196</f>
        <v>0</v>
      </c>
    </row>
    <row r="197" spans="1:36" s="1" customFormat="1" ht="18" customHeight="1">
      <c r="A197" s="126" t="str">
        <f t="shared" si="25"/>
        <v/>
      </c>
      <c r="B197" s="140"/>
      <c r="C197" s="140"/>
      <c r="D197" s="139"/>
      <c r="E197" s="143"/>
      <c r="F197" s="143"/>
      <c r="G197" s="143"/>
      <c r="H197" s="143"/>
      <c r="I197" s="130"/>
      <c r="J197" s="131">
        <f>$J$120*H197</f>
        <v>0</v>
      </c>
    </row>
    <row r="198" spans="1:36" ht="18" customHeight="1">
      <c r="A198" s="126" t="str">
        <f t="shared" si="25"/>
        <v/>
      </c>
      <c r="B198" s="140"/>
      <c r="C198" s="140"/>
      <c r="D198" s="139"/>
      <c r="E198" s="143"/>
      <c r="F198" s="143"/>
      <c r="G198" s="143"/>
      <c r="H198" s="143"/>
      <c r="I198" s="130"/>
      <c r="J198" s="131">
        <f>$J$120*H198</f>
        <v>0</v>
      </c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s="1" customFormat="1" ht="18" customHeight="1">
      <c r="A199" s="126" t="str">
        <f t="shared" si="25"/>
        <v/>
      </c>
      <c r="B199" s="127"/>
      <c r="C199" s="127"/>
      <c r="D199" s="128"/>
      <c r="E199" s="129"/>
      <c r="F199" s="129"/>
      <c r="G199" s="129"/>
      <c r="H199" s="129"/>
      <c r="I199" s="130"/>
      <c r="J199" s="131">
        <f>$J$120*H199</f>
        <v>0</v>
      </c>
    </row>
    <row r="200" spans="1:36" s="1" customFormat="1" ht="18" customHeight="1">
      <c r="A200" s="126" t="str">
        <f t="shared" si="25"/>
        <v/>
      </c>
      <c r="B200" s="127"/>
      <c r="C200" s="127"/>
      <c r="D200" s="128"/>
      <c r="E200" s="129"/>
      <c r="F200" s="129"/>
      <c r="G200" s="129"/>
      <c r="H200" s="129"/>
      <c r="I200" s="130"/>
      <c r="J200" s="131"/>
    </row>
    <row r="201" spans="1:36" s="1" customFormat="1" ht="18" customHeight="1">
      <c r="A201" s="126" t="str">
        <f t="shared" si="25"/>
        <v/>
      </c>
      <c r="B201" s="127"/>
      <c r="C201" s="127"/>
      <c r="D201" s="128"/>
      <c r="E201" s="129"/>
      <c r="F201" s="129"/>
      <c r="G201" s="129"/>
      <c r="H201" s="129"/>
      <c r="I201" s="130"/>
      <c r="J201" s="131">
        <f>$J$120*H201</f>
        <v>0</v>
      </c>
    </row>
    <row r="202" spans="1:36" s="1" customFormat="1" ht="18" customHeight="1">
      <c r="A202" s="126" t="str">
        <f t="shared" si="25"/>
        <v/>
      </c>
      <c r="B202" s="127"/>
      <c r="C202" s="127"/>
      <c r="D202" s="128"/>
      <c r="E202" s="129"/>
      <c r="F202" s="129"/>
      <c r="G202" s="129"/>
      <c r="H202" s="129"/>
      <c r="I202" s="130"/>
      <c r="J202" s="131">
        <f>$J$120*H202</f>
        <v>0</v>
      </c>
      <c r="P202" s="334"/>
    </row>
    <row r="203" spans="1:36" s="1" customFormat="1" ht="18" customHeight="1">
      <c r="A203" s="126" t="str">
        <f>IF(B203="","",+#REF!+1)</f>
        <v/>
      </c>
      <c r="B203" s="127"/>
      <c r="C203" s="127"/>
      <c r="D203" s="128"/>
      <c r="E203" s="129"/>
      <c r="F203" s="129"/>
      <c r="G203" s="129"/>
      <c r="H203" s="129"/>
      <c r="I203" s="130"/>
      <c r="J203" s="131">
        <f>$J$120*H203</f>
        <v>0</v>
      </c>
    </row>
    <row r="204" spans="1:36" s="1" customFormat="1" ht="18" customHeight="1">
      <c r="A204" s="126" t="str">
        <f t="shared" si="25"/>
        <v/>
      </c>
      <c r="B204" s="127"/>
      <c r="C204" s="127"/>
      <c r="D204" s="128"/>
      <c r="E204" s="129"/>
      <c r="F204" s="129"/>
      <c r="G204" s="129"/>
      <c r="H204" s="129"/>
      <c r="I204" s="130"/>
      <c r="J204" s="131"/>
    </row>
    <row r="205" spans="1:36" s="1" customFormat="1" ht="18" customHeight="1">
      <c r="A205" s="126" t="str">
        <f t="shared" si="25"/>
        <v/>
      </c>
      <c r="B205" s="127"/>
      <c r="C205" s="127"/>
      <c r="D205" s="128"/>
      <c r="E205" s="129"/>
      <c r="F205" s="129"/>
      <c r="G205" s="129"/>
      <c r="H205" s="129"/>
      <c r="I205" s="130"/>
      <c r="J205" s="131">
        <f>$J$120*H205</f>
        <v>0</v>
      </c>
    </row>
    <row r="206" spans="1:36" s="1" customFormat="1" ht="18" customHeight="1">
      <c r="A206" s="306"/>
      <c r="B206" s="133"/>
      <c r="C206" s="133"/>
      <c r="D206" s="134"/>
      <c r="E206" s="135"/>
      <c r="F206" s="135"/>
      <c r="G206" s="135"/>
      <c r="H206" s="135"/>
      <c r="I206" s="136"/>
      <c r="J206" s="293"/>
    </row>
    <row r="207" spans="1:36" ht="18" customHeight="1">
      <c r="A207" s="17"/>
      <c r="B207" s="56"/>
      <c r="C207" s="56"/>
      <c r="D207" s="30"/>
      <c r="E207" s="17"/>
      <c r="F207" s="17"/>
      <c r="G207" s="17"/>
      <c r="H207" s="17"/>
      <c r="J207" s="99" t="str">
        <f>LEFT($J$111,13)&amp;"-02"</f>
        <v>FG-240-3P2L1R-02</v>
      </c>
    </row>
    <row r="208" spans="1:36" ht="12.75" customHeight="1">
      <c r="K208" s="7"/>
      <c r="L208" s="7"/>
      <c r="M208" s="2"/>
      <c r="N208" s="2"/>
    </row>
    <row r="209" spans="1:14" ht="30" customHeight="1">
      <c r="B209" s="279"/>
      <c r="C209" s="5"/>
      <c r="D209" s="95"/>
      <c r="E209" s="95"/>
      <c r="F209" s="95"/>
      <c r="G209" s="95"/>
      <c r="H209" s="95"/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279"/>
      <c r="C210" s="28"/>
      <c r="D210" s="28"/>
      <c r="E210" s="28"/>
      <c r="F210" s="28"/>
      <c r="G210" s="28"/>
      <c r="H210" s="28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8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78"/>
      <c r="C212" s="78"/>
      <c r="D212" s="82"/>
      <c r="E212" s="78"/>
      <c r="F212" s="78"/>
      <c r="G212" s="78"/>
      <c r="H212" s="7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 s="93"/>
      <c r="C215" s="56"/>
      <c r="D215" s="30"/>
      <c r="E215" s="29"/>
      <c r="F215" s="160"/>
      <c r="G215" s="160"/>
      <c r="H215" s="160"/>
      <c r="I215" s="160"/>
      <c r="J215" s="116"/>
    </row>
    <row r="216" spans="1:14" s="1" customFormat="1" ht="15" customHeight="1">
      <c r="A216" s="17"/>
      <c r="B216" s="56"/>
      <c r="C216" s="89"/>
      <c r="D216" s="30"/>
      <c r="E216" s="29"/>
      <c r="F216" s="3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ht="15.6">
      <c r="A218" s="109"/>
      <c r="B218" s="33"/>
      <c r="C218" s="429"/>
      <c r="D218" s="161"/>
      <c r="E218" s="109"/>
      <c r="F218" s="161"/>
      <c r="G218" s="1"/>
      <c r="H218" s="328"/>
    </row>
    <row r="219" spans="1:14" s="1" customFormat="1" ht="15" customHeight="1">
      <c r="A219" s="93"/>
      <c r="B219" s="93"/>
      <c r="C219" s="56"/>
      <c r="D219" s="30"/>
      <c r="E219" s="29"/>
      <c r="F219" s="160"/>
      <c r="H219" s="89" t="s">
        <v>641</v>
      </c>
      <c r="I219" s="161"/>
      <c r="J219" s="109"/>
    </row>
    <row r="220" spans="1:14" s="1" customFormat="1" ht="15" customHeight="1">
      <c r="A220" s="17"/>
      <c r="B220" s="56"/>
      <c r="C220" s="89" t="s">
        <v>272</v>
      </c>
      <c r="D220" s="30"/>
      <c r="E220" s="29"/>
      <c r="F220" s="30"/>
      <c r="H220" s="328" t="s">
        <v>642</v>
      </c>
      <c r="I220" s="328"/>
      <c r="J220" s="328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542" t="s">
        <v>643</v>
      </c>
      <c r="I221" s="542"/>
      <c r="J221" s="542"/>
    </row>
    <row r="222" spans="1:14" s="1" customFormat="1" ht="15.6">
      <c r="A222" s="109"/>
      <c r="B222" s="33"/>
      <c r="C222" s="429" t="s">
        <v>273</v>
      </c>
      <c r="D222" s="161"/>
      <c r="E222" s="109"/>
      <c r="F222" s="161"/>
      <c r="H222" s="432">
        <f>$I$148</f>
        <v>2408</v>
      </c>
      <c r="I222" s="363">
        <f>$J$148+$J$149</f>
        <v>2</v>
      </c>
    </row>
    <row r="223" spans="1:14" s="1" customFormat="1" ht="15" customHeight="1">
      <c r="A223" s="109"/>
      <c r="B223" s="33"/>
      <c r="C223" s="374">
        <f>$I$133</f>
        <v>3440</v>
      </c>
      <c r="D223" s="161"/>
      <c r="E223" s="35"/>
      <c r="F223" s="161"/>
      <c r="G223" s="68"/>
      <c r="I223" s="328"/>
      <c r="J223" s="328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425"/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425"/>
      <c r="J225" s="12"/>
    </row>
    <row r="226" spans="1:10" s="1" customFormat="1" ht="15" customHeight="1">
      <c r="A226" s="92"/>
      <c r="B226" s="92"/>
      <c r="C226" s="13"/>
      <c r="D226" s="161"/>
      <c r="E226" s="109"/>
      <c r="F226" s="161"/>
      <c r="G226" s="68"/>
      <c r="J226" s="12"/>
    </row>
    <row r="227" spans="1:10" s="1" customFormat="1" ht="15" customHeight="1">
      <c r="A227" s="92"/>
      <c r="B227" s="92"/>
      <c r="C227" s="13"/>
      <c r="D227" s="161"/>
      <c r="E227" s="109"/>
      <c r="F227" s="161"/>
      <c r="H227" s="109"/>
      <c r="J227" s="12"/>
    </row>
    <row r="228" spans="1:10" s="1" customFormat="1" ht="15" customHeight="1">
      <c r="A228" s="92"/>
      <c r="B228" s="92"/>
      <c r="C228" s="13"/>
      <c r="D228" s="161"/>
      <c r="E228" s="109"/>
      <c r="F228" s="161"/>
      <c r="H228" s="109"/>
      <c r="I228" s="109"/>
      <c r="J228" s="109"/>
    </row>
    <row r="229" spans="1:10" s="1" customFormat="1" ht="15" customHeight="1">
      <c r="A229" s="92"/>
      <c r="B229" s="92"/>
      <c r="C229" s="429"/>
      <c r="D229" s="161"/>
      <c r="E229" s="109"/>
      <c r="F229" s="161"/>
      <c r="H229" s="109"/>
      <c r="I229" s="109"/>
      <c r="J229" s="109"/>
    </row>
    <row r="230" spans="1:10" s="1" customFormat="1" ht="15" customHeight="1">
      <c r="A230" s="92"/>
      <c r="B230" s="92"/>
      <c r="C230" s="429"/>
      <c r="D230" s="161"/>
      <c r="E230" s="109"/>
      <c r="F230" s="161"/>
      <c r="H230" s="109"/>
      <c r="I230" s="109"/>
      <c r="J230" s="109"/>
    </row>
    <row r="231" spans="1:10" s="1" customFormat="1" ht="15.9" customHeight="1">
      <c r="A231" s="45"/>
      <c r="B231" s="45"/>
      <c r="D231" s="161"/>
      <c r="E231" s="109"/>
      <c r="F231" s="161"/>
      <c r="I231" s="109"/>
      <c r="J231" s="109"/>
    </row>
    <row r="232" spans="1:10" s="1" customFormat="1" ht="15.9" customHeight="1">
      <c r="A232" s="109"/>
      <c r="B232" s="109"/>
      <c r="D232" s="161"/>
      <c r="E232" s="109"/>
      <c r="F232" s="161"/>
      <c r="I232" s="109"/>
      <c r="J232" s="109"/>
    </row>
    <row r="233" spans="1:10" s="1" customFormat="1" ht="15.9" customHeight="1">
      <c r="A233" s="39"/>
      <c r="B233" s="38"/>
      <c r="D233" s="161"/>
      <c r="E233" s="109"/>
      <c r="F233" s="109"/>
      <c r="I233" s="32"/>
      <c r="J233" s="40"/>
    </row>
    <row r="234" spans="1:10" s="1" customFormat="1" ht="15.9" customHeight="1">
      <c r="A234" s="44"/>
      <c r="B234" s="44"/>
      <c r="C234" s="89" t="s">
        <v>274</v>
      </c>
      <c r="D234" s="84"/>
      <c r="E234" s="44"/>
      <c r="F234" s="44"/>
      <c r="G234" s="109"/>
      <c r="H234" s="109"/>
      <c r="I234" s="328"/>
      <c r="J234" s="117"/>
    </row>
    <row r="235" spans="1:10" s="1" customFormat="1" ht="15.9" customHeight="1">
      <c r="A235" s="40"/>
      <c r="B235" s="40"/>
      <c r="C235" s="328" t="s">
        <v>652</v>
      </c>
      <c r="D235" s="85"/>
      <c r="E235" s="40"/>
      <c r="F235" s="32"/>
      <c r="G235" s="109"/>
      <c r="H235" s="109"/>
      <c r="I235" s="328"/>
      <c r="J235" s="117"/>
    </row>
    <row r="236" spans="1:10" s="1" customFormat="1" ht="15.9" customHeight="1">
      <c r="A236" s="109"/>
      <c r="B236" s="33"/>
      <c r="C236" s="433" t="s">
        <v>654</v>
      </c>
      <c r="D236" s="161"/>
      <c r="E236" s="109"/>
      <c r="F236" s="161"/>
      <c r="G236" s="109"/>
      <c r="H236" s="109"/>
      <c r="I236" s="328"/>
      <c r="J236" s="117"/>
    </row>
    <row r="237" spans="1:10" s="1" customFormat="1" ht="15.9" customHeight="1">
      <c r="A237" s="109"/>
      <c r="B237" s="33"/>
      <c r="C237" s="374">
        <f>$I$134</f>
        <v>3414</v>
      </c>
      <c r="D237" s="161"/>
      <c r="E237" s="109"/>
      <c r="F237" s="161"/>
      <c r="G237" s="109"/>
      <c r="H237" s="109"/>
      <c r="I237" s="328"/>
      <c r="J237" s="117"/>
    </row>
    <row r="238" spans="1:10" s="1" customFormat="1" ht="15.9" customHeight="1">
      <c r="A238" s="109"/>
      <c r="B238" s="33"/>
      <c r="C238" s="363">
        <f>$J$134</f>
        <v>1</v>
      </c>
      <c r="D238" s="161"/>
      <c r="E238" s="109"/>
      <c r="F238" s="161"/>
      <c r="G238" s="109"/>
      <c r="H238" s="107"/>
      <c r="I238" s="328"/>
      <c r="J238" s="117"/>
    </row>
    <row r="239" spans="1:10" s="1" customFormat="1" ht="15.9" customHeight="1">
      <c r="A239" s="109"/>
      <c r="B239" s="33"/>
      <c r="C239" s="44"/>
      <c r="D239" s="161"/>
      <c r="E239" s="109"/>
      <c r="F239" s="161"/>
      <c r="G239" s="109"/>
      <c r="H239" s="107"/>
      <c r="J239" s="12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109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109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24"/>
      <c r="J242" s="24"/>
    </row>
    <row r="243" spans="1:10" s="1" customFormat="1" ht="15.9" customHeight="1">
      <c r="A243" s="109"/>
      <c r="B243" s="33"/>
      <c r="D243" s="161"/>
      <c r="E243" s="109"/>
      <c r="F243" s="161"/>
      <c r="G243" s="109"/>
      <c r="H243" s="36"/>
      <c r="I243" s="89"/>
      <c r="J243" s="118"/>
    </row>
    <row r="244" spans="1:10" s="1" customFormat="1" ht="15.9" customHeight="1">
      <c r="A244" s="109"/>
      <c r="B244" s="33"/>
      <c r="D244" s="161"/>
      <c r="E244" s="109"/>
      <c r="F244" s="161"/>
      <c r="G244" s="109"/>
      <c r="H244" s="109"/>
      <c r="I244" s="328"/>
      <c r="J244" s="117"/>
    </row>
    <row r="245" spans="1:10" s="1" customFormat="1" ht="15.9" customHeight="1">
      <c r="A245" s="109"/>
      <c r="B245" s="33"/>
      <c r="C245" s="89" t="s">
        <v>276</v>
      </c>
      <c r="D245" s="161"/>
      <c r="E245" s="109"/>
      <c r="F245" s="161"/>
      <c r="G245" s="109"/>
      <c r="H245" s="109"/>
      <c r="I245" s="328"/>
      <c r="J245" s="117"/>
    </row>
    <row r="246" spans="1:10" s="1" customFormat="1" ht="15.9" customHeight="1">
      <c r="A246" s="109"/>
      <c r="B246" s="33"/>
      <c r="C246" s="328" t="s">
        <v>275</v>
      </c>
      <c r="D246" s="161"/>
      <c r="E246" s="109"/>
      <c r="F246" s="161"/>
      <c r="G246" s="109"/>
      <c r="H246" s="109"/>
      <c r="I246" s="24"/>
      <c r="J246" s="24"/>
    </row>
    <row r="247" spans="1:10" s="1" customFormat="1" ht="15.9" customHeight="1">
      <c r="A247" s="109"/>
      <c r="B247" s="33"/>
      <c r="C247" s="429" t="s">
        <v>273</v>
      </c>
      <c r="D247" s="161"/>
      <c r="E247" s="109"/>
      <c r="F247" s="161"/>
      <c r="G247" s="109"/>
      <c r="H247" s="109"/>
      <c r="I247" s="24"/>
      <c r="J247" s="24"/>
    </row>
    <row r="248" spans="1:10" s="1" customFormat="1" ht="15.9" customHeight="1">
      <c r="A248" s="109"/>
      <c r="B248" s="33"/>
      <c r="C248" s="374">
        <f>$I$135</f>
        <v>3440</v>
      </c>
      <c r="D248" s="161"/>
      <c r="E248" s="109"/>
      <c r="F248" s="161"/>
      <c r="G248" s="109"/>
      <c r="H248" s="109"/>
      <c r="I248" s="109"/>
      <c r="J248" s="24"/>
    </row>
    <row r="249" spans="1:10" s="1" customFormat="1" ht="15.9" customHeight="1">
      <c r="A249" s="109"/>
      <c r="B249" s="33"/>
      <c r="C249" s="363">
        <f>$J$135</f>
        <v>1</v>
      </c>
      <c r="D249" s="161"/>
      <c r="E249" s="109"/>
      <c r="F249" s="161"/>
      <c r="G249" s="109"/>
      <c r="H249" s="109"/>
      <c r="I249" s="24"/>
      <c r="J249" s="24"/>
    </row>
    <row r="250" spans="1:10" s="1" customFormat="1" ht="15.9" customHeight="1">
      <c r="A250" s="109"/>
      <c r="B250" s="33"/>
      <c r="C250" s="161"/>
      <c r="D250" s="161"/>
      <c r="E250" s="109"/>
      <c r="F250" s="161"/>
      <c r="G250" s="109"/>
      <c r="H250" s="109"/>
      <c r="I250" s="24"/>
      <c r="J250" s="24"/>
    </row>
    <row r="251" spans="1:10" s="1" customFormat="1" ht="15" customHeight="1">
      <c r="A251" s="109"/>
      <c r="B251" s="33"/>
      <c r="C251" s="33"/>
      <c r="D251" s="161"/>
      <c r="E251" s="109"/>
      <c r="F251" s="109"/>
      <c r="G251" s="44"/>
      <c r="H251" s="109"/>
      <c r="I251" s="24"/>
      <c r="J251" s="24"/>
    </row>
    <row r="252" spans="1:10" s="1" customFormat="1" ht="15.9" customHeight="1">
      <c r="A252" s="109"/>
      <c r="B252" s="33"/>
      <c r="C252" s="33"/>
      <c r="D252" s="161"/>
      <c r="E252" s="109"/>
      <c r="F252" s="109"/>
      <c r="G252" s="44"/>
      <c r="H252" s="109"/>
      <c r="I252" s="44"/>
      <c r="J252" s="119"/>
    </row>
    <row r="253" spans="1:10" s="1" customFormat="1" ht="15.9" customHeight="1">
      <c r="A253" s="109"/>
      <c r="B253" s="33"/>
      <c r="C253" s="33"/>
      <c r="D253" s="161"/>
      <c r="E253" s="109"/>
      <c r="F253" s="109"/>
      <c r="G253" s="44"/>
      <c r="H253" s="109"/>
      <c r="I253" s="44"/>
      <c r="J253" s="119"/>
    </row>
    <row r="254" spans="1:10" s="1" customFormat="1" ht="15.9" customHeight="1">
      <c r="A254" s="109"/>
      <c r="B254" s="33"/>
      <c r="C254" s="33"/>
      <c r="D254" s="161"/>
      <c r="E254" s="109"/>
      <c r="F254" s="109"/>
      <c r="G254" s="40"/>
      <c r="H254" s="109"/>
      <c r="I254" s="32"/>
      <c r="J254" s="40"/>
    </row>
    <row r="255" spans="1:10" s="1" customFormat="1" ht="15.9" customHeight="1">
      <c r="A255" s="109"/>
      <c r="B255" s="33"/>
      <c r="D255" s="161"/>
      <c r="E255" s="109"/>
      <c r="F255" s="109"/>
      <c r="G255" s="109"/>
      <c r="H255" s="109"/>
      <c r="J255" s="12"/>
    </row>
    <row r="256" spans="1:10" s="1" customFormat="1" ht="15.9" customHeight="1">
      <c r="A256" s="44"/>
      <c r="B256" s="44"/>
      <c r="D256" s="84"/>
      <c r="E256" s="44"/>
      <c r="F256" s="44"/>
      <c r="G256" s="109"/>
      <c r="H256" s="109"/>
      <c r="J256" s="12"/>
    </row>
    <row r="257" spans="1:32" s="1" customFormat="1" ht="15.9" customHeight="1">
      <c r="A257" s="40"/>
      <c r="B257" s="40"/>
      <c r="C257" s="89" t="s">
        <v>277</v>
      </c>
      <c r="D257" s="85"/>
      <c r="E257" s="40"/>
      <c r="F257" s="32"/>
      <c r="G257" s="109"/>
      <c r="J257" s="12"/>
    </row>
    <row r="258" spans="1:32" s="1" customFormat="1" ht="15.9" customHeight="1">
      <c r="A258" s="27"/>
      <c r="B258" s="33"/>
      <c r="C258" s="328" t="s">
        <v>275</v>
      </c>
      <c r="D258" s="161"/>
      <c r="E258" s="109"/>
      <c r="F258" s="109"/>
      <c r="G258" s="109"/>
      <c r="I258" s="24"/>
      <c r="J258" s="24"/>
    </row>
    <row r="259" spans="1:32" s="1" customFormat="1" ht="15.9" customHeight="1">
      <c r="A259" s="27"/>
      <c r="B259" s="33"/>
      <c r="C259" s="429" t="s">
        <v>273</v>
      </c>
      <c r="D259" s="161"/>
      <c r="E259" s="109"/>
      <c r="F259" s="109"/>
      <c r="G259" s="109"/>
      <c r="I259" s="24"/>
      <c r="J259" s="24"/>
    </row>
    <row r="260" spans="1:32" s="1" customFormat="1" ht="15.9" customHeight="1">
      <c r="A260" s="27"/>
      <c r="B260" s="33"/>
      <c r="C260" s="374">
        <f>$I$136</f>
        <v>3440</v>
      </c>
      <c r="D260" s="161"/>
      <c r="E260" s="109"/>
      <c r="F260" s="109"/>
      <c r="G260" s="109"/>
      <c r="I260" s="24"/>
      <c r="J260" s="24"/>
    </row>
    <row r="261" spans="1:32" s="1" customFormat="1" ht="15.9" customHeight="1">
      <c r="A261" s="27"/>
      <c r="B261" s="33"/>
      <c r="C261" s="363">
        <f>$J$136</f>
        <v>1</v>
      </c>
      <c r="D261" s="161"/>
      <c r="E261" s="109"/>
      <c r="F261" s="109"/>
      <c r="G261" s="109"/>
      <c r="I261" s="24"/>
      <c r="J261" s="24"/>
    </row>
    <row r="262" spans="1:32" s="1" customFormat="1" ht="15.9" customHeight="1">
      <c r="A262" s="27"/>
      <c r="B262" s="33"/>
      <c r="C262" s="33"/>
      <c r="D262" s="161"/>
      <c r="E262" s="109"/>
      <c r="F262" s="109"/>
      <c r="G262" s="109"/>
      <c r="I262" s="24"/>
      <c r="J262" s="24"/>
    </row>
    <row r="263" spans="1:32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32" s="1" customFormat="1" ht="15.9" customHeight="1">
      <c r="A264" s="27"/>
      <c r="B264" s="33"/>
      <c r="C264" s="33"/>
      <c r="D264" s="161"/>
      <c r="E264" s="109"/>
      <c r="F264" s="109"/>
      <c r="G264" s="109"/>
      <c r="I264" s="24"/>
      <c r="J264" s="24"/>
    </row>
    <row r="265" spans="1:32" s="1" customFormat="1" ht="15.9" customHeight="1">
      <c r="A265" s="27"/>
      <c r="B265" s="33"/>
      <c r="C265" s="46"/>
      <c r="D265" s="161"/>
      <c r="E265" s="109"/>
      <c r="F265" s="109"/>
      <c r="G265" s="109"/>
      <c r="I265" s="24"/>
      <c r="J265" s="24"/>
    </row>
    <row r="266" spans="1:32" s="1" customFormat="1" ht="15.9" customHeight="1">
      <c r="A266" s="27"/>
      <c r="B266" s="33"/>
      <c r="C266" s="161"/>
      <c r="D266" s="161"/>
      <c r="E266" s="109"/>
      <c r="F266" s="109"/>
      <c r="G266" s="109"/>
      <c r="I266" s="24"/>
      <c r="J266" s="24"/>
    </row>
    <row r="267" spans="1:32" s="1" customFormat="1" ht="15.9" customHeight="1">
      <c r="A267" s="27"/>
      <c r="B267" s="33"/>
      <c r="C267" s="33"/>
      <c r="D267" s="161"/>
      <c r="E267" s="109"/>
      <c r="F267" s="109"/>
      <c r="G267" s="109"/>
      <c r="I267" s="24"/>
      <c r="J267" s="24"/>
    </row>
    <row r="268" spans="1:32" s="1" customFormat="1" ht="15.9" customHeight="1">
      <c r="A268" s="27"/>
      <c r="B268" s="33"/>
      <c r="C268" s="89" t="s">
        <v>278</v>
      </c>
      <c r="D268" s="161"/>
      <c r="E268" s="109"/>
      <c r="F268" s="109"/>
      <c r="G268" s="109"/>
      <c r="H268" s="109"/>
      <c r="I268" s="24"/>
      <c r="J268" s="24"/>
    </row>
    <row r="269" spans="1:32" s="1" customFormat="1" ht="15.9" customHeight="1">
      <c r="A269" s="27"/>
      <c r="B269" s="33"/>
      <c r="C269" s="328" t="s">
        <v>287</v>
      </c>
      <c r="D269" s="328"/>
      <c r="E269" s="328"/>
      <c r="F269" s="109"/>
      <c r="G269" s="109"/>
      <c r="H269" s="109"/>
      <c r="I269" s="24"/>
      <c r="J269" s="24"/>
      <c r="AF269" s="1">
        <v>6</v>
      </c>
    </row>
    <row r="270" spans="1:32" s="1" customFormat="1" ht="15.9" customHeight="1">
      <c r="A270" s="27"/>
      <c r="B270" s="33"/>
      <c r="C270" s="429" t="s">
        <v>279</v>
      </c>
      <c r="D270" s="429"/>
      <c r="E270" s="429"/>
      <c r="F270" s="109"/>
      <c r="G270" s="109"/>
      <c r="H270" s="109"/>
      <c r="I270" s="24"/>
      <c r="J270" s="24"/>
    </row>
    <row r="271" spans="1:32" s="1" customFormat="1" ht="15.9" customHeight="1">
      <c r="A271" s="27"/>
      <c r="B271" s="33"/>
      <c r="C271" s="374">
        <f>$I$137</f>
        <v>2500</v>
      </c>
      <c r="D271" s="161"/>
      <c r="E271" s="109"/>
      <c r="F271" s="109"/>
      <c r="G271" s="33"/>
      <c r="H271" s="33"/>
      <c r="I271" s="24"/>
      <c r="J271" s="24"/>
    </row>
    <row r="272" spans="1:32" s="1" customFormat="1" ht="15.9" customHeight="1">
      <c r="A272" s="27"/>
      <c r="B272" s="33"/>
      <c r="C272" s="363">
        <f>$J$137+$J$138</f>
        <v>2</v>
      </c>
      <c r="D272" s="161"/>
      <c r="E272" s="109"/>
      <c r="F272" s="109"/>
      <c r="G272" s="109"/>
      <c r="H272" s="109"/>
      <c r="I272" s="24"/>
      <c r="J272" s="24"/>
    </row>
    <row r="273" spans="1:10" s="1" customFormat="1" ht="15.9" customHeight="1">
      <c r="A273" s="27"/>
      <c r="B273" s="33"/>
      <c r="D273" s="89"/>
      <c r="E273" s="89"/>
      <c r="F273" s="109"/>
      <c r="G273" s="109"/>
      <c r="H273" s="109"/>
      <c r="I273" s="24"/>
      <c r="J273" s="24"/>
    </row>
    <row r="274" spans="1:10" s="1" customFormat="1" ht="15.9" customHeight="1">
      <c r="A274" s="27"/>
      <c r="B274" s="33"/>
      <c r="D274" s="89"/>
      <c r="E274" s="89"/>
      <c r="F274" s="109"/>
      <c r="G274" s="109"/>
      <c r="H274" s="109"/>
      <c r="J274" s="12"/>
    </row>
    <row r="275" spans="1:10" s="1" customFormat="1" ht="15.9" customHeight="1">
      <c r="A275" s="27"/>
      <c r="B275" s="33"/>
      <c r="D275" s="89"/>
      <c r="E275" s="89"/>
      <c r="F275" s="109"/>
      <c r="G275" s="109"/>
      <c r="H275" s="109"/>
      <c r="J275" s="12"/>
    </row>
    <row r="276" spans="1:10" s="1" customFormat="1" ht="15.9" customHeight="1">
      <c r="A276" s="27"/>
      <c r="B276" s="33"/>
      <c r="D276" s="89"/>
      <c r="E276" s="89"/>
      <c r="F276" s="109"/>
      <c r="G276" s="109"/>
      <c r="H276" s="109"/>
      <c r="J276" s="12"/>
    </row>
    <row r="277" spans="1:10" s="1" customFormat="1" ht="15.9" customHeight="1">
      <c r="A277" s="27"/>
      <c r="D277" s="328"/>
      <c r="E277" s="328"/>
      <c r="F277" s="109"/>
      <c r="G277" s="109"/>
      <c r="H277" s="109"/>
      <c r="J277" s="12"/>
    </row>
    <row r="278" spans="1:10" s="1" customFormat="1" ht="15.9" customHeight="1">
      <c r="A278" s="27"/>
      <c r="B278" s="33"/>
      <c r="D278" s="328"/>
      <c r="E278" s="328"/>
      <c r="F278" s="109"/>
      <c r="G278" s="109"/>
      <c r="J278" s="12"/>
    </row>
    <row r="279" spans="1:10" s="1" customFormat="1" ht="15.9" customHeight="1">
      <c r="A279" s="27"/>
      <c r="B279" s="33"/>
      <c r="C279" s="33"/>
      <c r="D279" s="161"/>
      <c r="E279" s="109"/>
      <c r="F279" s="109"/>
      <c r="G279" s="109"/>
      <c r="J279" s="12"/>
    </row>
    <row r="280" spans="1:10" s="1" customFormat="1" ht="15.9" customHeight="1">
      <c r="A280" s="27"/>
      <c r="B280" s="33"/>
      <c r="C280" s="89" t="s">
        <v>280</v>
      </c>
      <c r="D280" s="162"/>
      <c r="E280" s="24"/>
      <c r="F280" s="109"/>
      <c r="G280" s="109"/>
      <c r="J280" s="12"/>
    </row>
    <row r="281" spans="1:10" s="1" customFormat="1" ht="15.9" customHeight="1">
      <c r="A281" s="27"/>
      <c r="B281" s="33"/>
      <c r="C281" s="328" t="s">
        <v>649</v>
      </c>
      <c r="D281" s="328"/>
      <c r="E281" s="328"/>
      <c r="F281" s="109"/>
      <c r="G281" s="109"/>
      <c r="J281" s="12"/>
    </row>
    <row r="282" spans="1:10" s="1" customFormat="1" ht="15.9" customHeight="1">
      <c r="A282" s="27"/>
      <c r="B282" s="33"/>
      <c r="C282" s="433" t="s">
        <v>650</v>
      </c>
      <c r="D282" s="429"/>
      <c r="E282" s="429"/>
      <c r="F282" s="109"/>
      <c r="G282" s="109"/>
      <c r="I282" s="24"/>
      <c r="J282" s="24"/>
    </row>
    <row r="283" spans="1:10" s="1" customFormat="1" ht="15.9" customHeight="1">
      <c r="A283" s="27"/>
      <c r="B283" s="33"/>
      <c r="C283" s="374">
        <f>$I$139</f>
        <v>2404</v>
      </c>
      <c r="F283" s="109"/>
      <c r="G283" s="109"/>
      <c r="I283" s="24"/>
      <c r="J283" s="24"/>
    </row>
    <row r="284" spans="1:10" s="1" customFormat="1" ht="15.9" customHeight="1">
      <c r="A284" s="27"/>
      <c r="B284" s="33"/>
      <c r="C284" s="363">
        <f>$J$139+$J$140</f>
        <v>2</v>
      </c>
      <c r="F284" s="109"/>
      <c r="G284" s="109"/>
      <c r="I284" s="24"/>
      <c r="J284" s="24"/>
    </row>
    <row r="285" spans="1:10" s="1" customFormat="1" ht="15.9" customHeight="1">
      <c r="A285" s="27"/>
      <c r="B285" s="33"/>
      <c r="F285" s="109"/>
      <c r="G285" s="109"/>
      <c r="H285" s="109"/>
      <c r="I285" s="109"/>
      <c r="J285" s="24"/>
    </row>
    <row r="286" spans="1:10" s="1" customFormat="1" ht="15.9" customHeight="1">
      <c r="A286" s="27"/>
      <c r="B286" s="33"/>
      <c r="F286" s="109"/>
      <c r="G286" s="109"/>
      <c r="H286" s="109"/>
      <c r="I286" s="109"/>
      <c r="J286" s="24"/>
    </row>
    <row r="287" spans="1:10" s="1" customFormat="1" ht="15.9" customHeight="1">
      <c r="A287" s="27"/>
      <c r="B287" s="33"/>
      <c r="C287" s="33"/>
      <c r="D287" s="161"/>
      <c r="E287" s="109"/>
      <c r="F287" s="109"/>
      <c r="G287" s="109"/>
      <c r="H287" s="109"/>
      <c r="I287" s="109"/>
      <c r="J287" s="24"/>
    </row>
    <row r="288" spans="1:10" s="1" customFormat="1" ht="15.9" customHeight="1">
      <c r="A288" s="27"/>
      <c r="B288" s="33"/>
      <c r="F288" s="109"/>
      <c r="G288" s="109"/>
      <c r="H288" s="109"/>
      <c r="I288" s="109"/>
      <c r="J288" s="24"/>
    </row>
    <row r="289" spans="1:10" s="1" customFormat="1" ht="15.9" customHeight="1">
      <c r="A289" s="27"/>
      <c r="B289" s="33"/>
      <c r="F289" s="109"/>
      <c r="G289" s="109"/>
      <c r="H289" s="109"/>
      <c r="I289" s="109"/>
      <c r="J289" s="24"/>
    </row>
    <row r="290" spans="1:10" s="1" customFormat="1" ht="15.9" customHeight="1">
      <c r="A290" s="27"/>
      <c r="B290" s="33"/>
      <c r="C290" s="89" t="s">
        <v>283</v>
      </c>
      <c r="F290" s="109"/>
      <c r="G290" s="109"/>
      <c r="H290" s="109"/>
      <c r="J290" s="12"/>
    </row>
    <row r="291" spans="1:10" s="1" customFormat="1" ht="15.9" customHeight="1">
      <c r="A291" s="27"/>
      <c r="B291" s="33"/>
      <c r="C291" s="94" t="s">
        <v>459</v>
      </c>
      <c r="D291" s="161"/>
      <c r="E291" s="109"/>
      <c r="F291" s="109"/>
      <c r="G291" s="109"/>
      <c r="H291" s="109"/>
      <c r="J291" s="12"/>
    </row>
    <row r="292" spans="1:10" s="1" customFormat="1" ht="15.9" customHeight="1">
      <c r="A292" s="27"/>
      <c r="B292" s="33"/>
      <c r="C292" s="429" t="s">
        <v>460</v>
      </c>
      <c r="D292" s="161"/>
      <c r="E292" s="109"/>
      <c r="F292" s="109"/>
      <c r="G292" s="109"/>
      <c r="H292" s="109"/>
      <c r="J292" s="12"/>
    </row>
    <row r="293" spans="1:10" s="1" customFormat="1" ht="15.9" customHeight="1">
      <c r="A293" s="27"/>
      <c r="B293" s="33"/>
      <c r="C293" s="328" t="s">
        <v>281</v>
      </c>
      <c r="D293" s="328"/>
      <c r="E293" s="328"/>
      <c r="F293" s="109"/>
      <c r="G293" s="109"/>
      <c r="I293" s="162"/>
      <c r="J293" s="24"/>
    </row>
    <row r="294" spans="1:10" s="1" customFormat="1" ht="15.9" customHeight="1">
      <c r="A294" s="27"/>
      <c r="B294" s="33"/>
      <c r="C294" s="429" t="s">
        <v>282</v>
      </c>
      <c r="D294" s="429"/>
      <c r="E294" s="429"/>
      <c r="F294" s="109"/>
      <c r="G294" s="109"/>
      <c r="I294" s="109"/>
      <c r="J294" s="24"/>
    </row>
    <row r="295" spans="1:10" s="1" customFormat="1" ht="15.9" customHeight="1">
      <c r="A295" s="27"/>
      <c r="B295" s="33"/>
      <c r="C295" s="374">
        <f>$I$141</f>
        <v>1030.5</v>
      </c>
      <c r="F295" s="109"/>
      <c r="G295" s="109"/>
      <c r="I295" s="24"/>
      <c r="J295" s="24"/>
    </row>
    <row r="296" spans="1:10" s="1" customFormat="1" ht="15.9" customHeight="1">
      <c r="A296" s="27"/>
      <c r="B296" s="33"/>
      <c r="C296" s="363">
        <f>$J$141+$J$142</f>
        <v>6</v>
      </c>
      <c r="D296" s="161"/>
      <c r="E296" s="109"/>
      <c r="F296" s="109"/>
      <c r="G296" s="109"/>
      <c r="H296" s="161"/>
      <c r="I296" s="24"/>
      <c r="J296" s="24"/>
    </row>
    <row r="297" spans="1:10" s="1" customFormat="1" ht="15.9" customHeight="1">
      <c r="A297" s="27"/>
      <c r="B297" s="33"/>
      <c r="C297" s="374">
        <f>$I$143</f>
        <v>2408</v>
      </c>
      <c r="D297" s="161"/>
      <c r="E297" s="109"/>
      <c r="F297" s="109"/>
      <c r="G297" s="109"/>
      <c r="H297" s="109"/>
      <c r="I297" s="24"/>
      <c r="J297" s="24"/>
    </row>
    <row r="298" spans="1:10" s="23" customFormat="1" ht="15.9" customHeight="1">
      <c r="A298" s="27"/>
      <c r="B298" s="33"/>
      <c r="C298" s="363">
        <f>$J$143+$J$144+$J$145</f>
        <v>6</v>
      </c>
      <c r="D298" s="161"/>
      <c r="E298" s="109"/>
      <c r="F298" s="109"/>
      <c r="G298" s="109"/>
      <c r="H298" s="109"/>
      <c r="I298" s="109"/>
      <c r="J298" s="109"/>
    </row>
    <row r="299" spans="1:10" s="23" customFormat="1" ht="15.9" customHeight="1">
      <c r="A299" s="27"/>
      <c r="B299" s="33"/>
      <c r="C299" s="1"/>
      <c r="D299" s="161"/>
      <c r="E299" s="109"/>
      <c r="F299" s="109"/>
      <c r="G299" s="109"/>
      <c r="H299" s="109"/>
      <c r="I299" s="109"/>
      <c r="J299" s="109"/>
    </row>
    <row r="300" spans="1:10" s="23" customFormat="1" ht="15.9" customHeight="1">
      <c r="A300" s="27"/>
      <c r="B300" s="33"/>
      <c r="C300" s="1"/>
      <c r="D300" s="161"/>
      <c r="E300" s="109"/>
      <c r="F300" s="109"/>
      <c r="G300" s="109"/>
      <c r="H300" s="109"/>
      <c r="I300" s="109"/>
      <c r="J300" s="109"/>
    </row>
    <row r="301" spans="1:10" s="1" customFormat="1" ht="15.9" customHeight="1">
      <c r="A301" s="27"/>
      <c r="B301" s="33"/>
      <c r="C301" s="33"/>
      <c r="D301" s="161"/>
      <c r="E301" s="109"/>
      <c r="F301" s="109"/>
      <c r="G301" s="109"/>
      <c r="H301" s="109"/>
      <c r="I301" s="44"/>
      <c r="J301" s="119"/>
    </row>
    <row r="302" spans="1:10" s="1" customFormat="1" ht="15.9" customHeight="1">
      <c r="A302" s="27"/>
      <c r="B302" s="33"/>
      <c r="C302" s="23"/>
      <c r="D302" s="161"/>
      <c r="E302" s="109"/>
      <c r="F302" s="109"/>
      <c r="G302" s="109"/>
      <c r="H302" s="109"/>
      <c r="I302" s="32"/>
      <c r="J302" s="40"/>
    </row>
    <row r="303" spans="1:10" s="1" customFormat="1" ht="15.9" customHeight="1">
      <c r="A303" s="27"/>
      <c r="B303" s="33"/>
      <c r="C303" s="89" t="s">
        <v>284</v>
      </c>
      <c r="D303" s="161"/>
      <c r="E303" s="109"/>
      <c r="F303" s="109"/>
      <c r="G303" s="109"/>
      <c r="H303" s="109"/>
      <c r="I303" s="24"/>
      <c r="J303" s="24"/>
    </row>
    <row r="304" spans="1:10" s="1" customFormat="1" ht="15.9" customHeight="1">
      <c r="A304" s="27"/>
      <c r="B304" s="33"/>
      <c r="C304" s="94" t="s">
        <v>459</v>
      </c>
      <c r="D304" s="161"/>
      <c r="E304" s="109"/>
      <c r="F304" s="109"/>
      <c r="G304" s="44"/>
      <c r="H304" s="44"/>
      <c r="I304" s="24"/>
      <c r="J304" s="24"/>
    </row>
    <row r="305" spans="1:14" s="1" customFormat="1" ht="15.9" customHeight="1">
      <c r="A305" s="27"/>
      <c r="B305" s="33"/>
      <c r="C305" s="429" t="s">
        <v>460</v>
      </c>
      <c r="D305" s="328"/>
      <c r="E305" s="328"/>
      <c r="F305" s="109"/>
      <c r="G305" s="40"/>
      <c r="H305" s="32"/>
      <c r="I305" s="109"/>
      <c r="J305" s="24"/>
    </row>
    <row r="306" spans="1:14" s="1" customFormat="1" ht="15.9" customHeight="1">
      <c r="A306" s="41"/>
      <c r="B306" s="33"/>
      <c r="C306" s="328" t="s">
        <v>286</v>
      </c>
      <c r="D306" s="429"/>
      <c r="E306" s="429"/>
      <c r="F306" s="109"/>
      <c r="G306" s="109"/>
      <c r="H306" s="109"/>
      <c r="I306" s="109"/>
      <c r="J306" s="24"/>
    </row>
    <row r="307" spans="1:14" s="1" customFormat="1" ht="15.9" customHeight="1">
      <c r="A307" s="44"/>
      <c r="B307" s="44"/>
      <c r="C307" s="429" t="s">
        <v>285</v>
      </c>
      <c r="D307" s="86"/>
      <c r="E307" s="79"/>
      <c r="F307" s="44"/>
      <c r="G307" s="109"/>
      <c r="H307" s="109"/>
      <c r="I307" s="109"/>
      <c r="J307" s="24"/>
    </row>
    <row r="308" spans="1:14" s="1" customFormat="1" ht="15.9" customHeight="1">
      <c r="A308" s="40"/>
      <c r="B308" s="40"/>
      <c r="C308" s="374">
        <f>$I$146</f>
        <v>1030.5</v>
      </c>
      <c r="D308" s="87"/>
      <c r="E308" s="80"/>
      <c r="F308" s="32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63">
        <f>$J$146</f>
        <v>6</v>
      </c>
      <c r="D309" s="15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74">
        <f>$I$147</f>
        <v>2258</v>
      </c>
      <c r="D310" s="15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C311" s="363">
        <f>$J$147</f>
        <v>6</v>
      </c>
      <c r="D311" s="15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C312" s="89"/>
      <c r="D312" s="161"/>
      <c r="E312" s="109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C313" s="328"/>
      <c r="D313" s="328"/>
      <c r="E313" s="328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26"/>
      <c r="C314" s="26"/>
      <c r="D314" s="83"/>
      <c r="E314" s="25"/>
      <c r="F314" s="25"/>
      <c r="G314" s="25"/>
      <c r="H314" s="25"/>
      <c r="I314" s="27"/>
      <c r="J314" s="99" t="str">
        <f>LEFT($J$111,13)&amp;"-03"</f>
        <v>FG-240-3P2L1R-03</v>
      </c>
    </row>
    <row r="315" spans="1:14" ht="12.75" customHeight="1">
      <c r="A315" s="17"/>
      <c r="B315" s="56"/>
      <c r="C315" s="56"/>
      <c r="D315" s="30"/>
      <c r="E315" s="17"/>
      <c r="F315" s="17"/>
      <c r="G315" s="17"/>
      <c r="H315" s="17"/>
      <c r="I315" s="179"/>
      <c r="J315" s="179"/>
    </row>
    <row r="316" spans="1:14" ht="30" customHeight="1">
      <c r="B316" s="279"/>
      <c r="C316" s="5"/>
      <c r="D316" s="95"/>
      <c r="E316" s="95"/>
      <c r="F316" s="95"/>
      <c r="G316" s="95"/>
      <c r="H316" s="95"/>
      <c r="I316" s="95"/>
      <c r="J316" s="90" t="str">
        <f>$J$2</f>
        <v>HOMELIFE</v>
      </c>
      <c r="K316" s="11"/>
      <c r="L316" s="11"/>
      <c r="M316" s="2"/>
      <c r="N316" s="2"/>
    </row>
    <row r="317" spans="1:14" ht="24.9" customHeight="1">
      <c r="B317" s="279"/>
      <c r="C317" s="28"/>
      <c r="D317" s="28"/>
      <c r="E317" s="28"/>
      <c r="F317" s="28"/>
      <c r="G317" s="28"/>
      <c r="H317" s="28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8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ht="15" customHeight="1" thickBot="1"/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</row>
    <row r="321" spans="1:10" s="1" customFormat="1" ht="15" customHeight="1">
      <c r="A321" s="63"/>
      <c r="B321" s="72"/>
      <c r="C321" s="56"/>
      <c r="D321" s="30"/>
      <c r="E321" s="29"/>
      <c r="F321" s="160"/>
      <c r="G321" s="160"/>
      <c r="H321" s="160"/>
      <c r="I321" s="160"/>
      <c r="J321" s="116"/>
    </row>
    <row r="322" spans="1:10" s="1" customFormat="1" ht="15" customHeight="1">
      <c r="A322" s="63"/>
      <c r="B322" s="72"/>
      <c r="C322" s="56"/>
      <c r="D322" s="30"/>
      <c r="E322" s="29"/>
      <c r="F322" s="160"/>
      <c r="G322" s="160"/>
      <c r="H322" s="160"/>
      <c r="I322" s="160"/>
      <c r="J322" s="116"/>
    </row>
    <row r="323" spans="1:10" s="1" customFormat="1" ht="15" customHeight="1">
      <c r="A323" s="17"/>
      <c r="B323" s="56"/>
      <c r="C323" s="56"/>
      <c r="D323" s="30"/>
      <c r="E323" s="29"/>
      <c r="F323" s="30"/>
      <c r="G323" s="31"/>
      <c r="H323" s="31"/>
      <c r="I323" s="31"/>
      <c r="J323" s="17"/>
    </row>
    <row r="324" spans="1:10" s="1" customFormat="1" ht="15" customHeight="1">
      <c r="A324" s="17"/>
      <c r="B324" s="56"/>
      <c r="C324" s="30"/>
      <c r="D324" s="30"/>
      <c r="E324" s="29"/>
      <c r="F324" s="30"/>
      <c r="G324" s="17"/>
      <c r="H324" s="31"/>
      <c r="I324" s="17"/>
      <c r="J324" s="17"/>
    </row>
    <row r="325" spans="1:10" s="1" customFormat="1" ht="15" customHeight="1">
      <c r="A325" s="17"/>
      <c r="B325" s="56"/>
      <c r="C325" s="30"/>
      <c r="D325" s="30"/>
      <c r="E325" s="29"/>
      <c r="F325" s="30"/>
      <c r="G325" s="17"/>
      <c r="H325" s="31"/>
      <c r="I325" s="17"/>
      <c r="J325" s="17"/>
    </row>
    <row r="326" spans="1:10" s="1" customFormat="1" ht="15" customHeight="1">
      <c r="A326" s="17"/>
      <c r="B326" s="56"/>
      <c r="C326" s="30"/>
      <c r="D326" s="30"/>
      <c r="E326" s="29"/>
      <c r="F326" s="30"/>
      <c r="G326" s="17"/>
      <c r="H326" s="31"/>
      <c r="I326" s="17"/>
      <c r="J326" s="17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109"/>
      <c r="J329" s="109"/>
    </row>
    <row r="330" spans="1:10" s="1" customFormat="1" ht="15" customHeight="1">
      <c r="A330" s="109"/>
      <c r="B330" s="33"/>
      <c r="C330" s="42"/>
      <c r="D330" s="161"/>
      <c r="E330" s="109"/>
      <c r="F330" s="505"/>
      <c r="G330" s="505"/>
      <c r="H330" s="425"/>
      <c r="I330" s="42"/>
      <c r="J330" s="109"/>
    </row>
    <row r="331" spans="1:10" s="1" customFormat="1" ht="15" customHeight="1">
      <c r="A331" s="92"/>
      <c r="B331" s="92"/>
      <c r="C331" s="161"/>
      <c r="D331" s="161"/>
      <c r="E331" s="109"/>
      <c r="F331" s="425"/>
      <c r="G331" s="425"/>
      <c r="H331" s="425"/>
      <c r="I331" s="161"/>
      <c r="J331" s="109"/>
    </row>
    <row r="332" spans="1:10" s="1" customFormat="1" ht="15" customHeight="1">
      <c r="A332" s="64" t="str">
        <f>A18</f>
        <v>240-3 Panel (2L1R)</v>
      </c>
      <c r="B332" s="92"/>
      <c r="C332" s="161"/>
      <c r="D332" s="161"/>
      <c r="E332" s="109"/>
      <c r="F332" s="425"/>
      <c r="G332" s="425"/>
      <c r="H332" s="425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45"/>
      <c r="C333" s="42"/>
      <c r="D333" s="161"/>
      <c r="E333" s="109"/>
      <c r="F333" s="507"/>
      <c r="G333" s="507"/>
      <c r="H333" s="425"/>
      <c r="I333" s="109"/>
      <c r="J333" s="109"/>
    </row>
    <row r="334" spans="1:10" s="1" customFormat="1" ht="15.9" customHeight="1">
      <c r="A334" s="109"/>
      <c r="B334" s="109"/>
      <c r="C334" s="161"/>
      <c r="D334" s="161"/>
      <c r="E334" s="109"/>
      <c r="F334" s="37"/>
      <c r="G334" s="38"/>
      <c r="H334" s="109"/>
      <c r="I334" s="109"/>
      <c r="J334" s="109"/>
    </row>
    <row r="335" spans="1:10" s="1" customFormat="1" ht="15.9" customHeight="1">
      <c r="A335" s="39"/>
      <c r="C335" s="43"/>
      <c r="D335" s="161"/>
      <c r="E335" s="109"/>
      <c r="F335" s="109"/>
      <c r="G335" s="109"/>
      <c r="H335" s="109"/>
      <c r="I335" s="109"/>
      <c r="J335" s="109"/>
    </row>
    <row r="336" spans="1:10" s="1" customFormat="1" ht="15.9" customHeight="1">
      <c r="A336" s="44"/>
      <c r="C336" s="44"/>
      <c r="D336" s="84"/>
      <c r="E336" s="44"/>
      <c r="F336" s="44"/>
      <c r="G336" s="44"/>
      <c r="H336" s="44"/>
      <c r="I336" s="44"/>
      <c r="J336" s="119"/>
    </row>
    <row r="337" spans="1:10" s="1" customFormat="1" ht="15.9" customHeight="1">
      <c r="A337" s="40"/>
      <c r="C337" s="161"/>
      <c r="D337" s="85"/>
      <c r="E337" s="40"/>
      <c r="F337" s="32"/>
      <c r="G337" s="40"/>
      <c r="H337" s="32"/>
      <c r="I337" s="32"/>
      <c r="J337" s="40"/>
    </row>
    <row r="338" spans="1:10" s="1" customFormat="1" ht="15.9" customHeight="1">
      <c r="A338" s="109"/>
      <c r="C338" s="163"/>
      <c r="D338" s="161"/>
      <c r="E338" s="109"/>
      <c r="F338" s="161"/>
      <c r="G338" s="109"/>
      <c r="H338" s="109"/>
      <c r="I338" s="24"/>
      <c r="J338" s="24"/>
    </row>
    <row r="339" spans="1:10" s="1" customFormat="1" ht="15.9" customHeight="1">
      <c r="A339" s="109"/>
      <c r="B339" s="33"/>
      <c r="C339" s="161"/>
      <c r="D339" s="161"/>
      <c r="E339" s="109"/>
      <c r="F339" s="161"/>
      <c r="G339" s="109"/>
      <c r="H339" s="109"/>
      <c r="I339" s="24"/>
      <c r="J339" s="24"/>
    </row>
    <row r="340" spans="1:10" s="1" customFormat="1" ht="15.9" customHeight="1">
      <c r="A340" s="109"/>
      <c r="B340" s="33"/>
      <c r="C340" s="44"/>
      <c r="D340" s="161"/>
      <c r="E340" s="109"/>
      <c r="F340" s="161"/>
      <c r="G340" s="109"/>
      <c r="H340" s="162"/>
      <c r="I340" s="162"/>
      <c r="J340" s="162"/>
    </row>
    <row r="341" spans="1:10" s="1" customFormat="1" ht="15.9" customHeight="1">
      <c r="A341" s="109"/>
      <c r="B341" s="33"/>
      <c r="C341" s="42"/>
      <c r="D341" s="161"/>
      <c r="E341" s="109"/>
      <c r="F341" s="161"/>
      <c r="G341" s="109"/>
      <c r="H341" s="161"/>
      <c r="I341" s="161"/>
      <c r="J341" s="161"/>
    </row>
    <row r="342" spans="1:10" s="1" customFormat="1" ht="15.9" customHeight="1">
      <c r="A342" s="109"/>
      <c r="B342" s="33"/>
      <c r="C342" s="163"/>
      <c r="D342" s="161"/>
      <c r="E342" s="109"/>
      <c r="F342" s="161"/>
      <c r="G342" s="109"/>
      <c r="H342" s="161"/>
      <c r="I342" s="161"/>
      <c r="J342" s="161"/>
    </row>
    <row r="343" spans="1:10" s="1" customFormat="1" ht="15.9" customHeight="1">
      <c r="A343" s="109"/>
      <c r="B343" s="33"/>
      <c r="C343" s="161"/>
      <c r="D343" s="161"/>
      <c r="E343" s="109"/>
      <c r="F343" s="161"/>
      <c r="G343" s="109"/>
      <c r="H343" s="109"/>
      <c r="I343" s="109"/>
      <c r="J343" s="24"/>
    </row>
    <row r="344" spans="1:10" s="1" customFormat="1" ht="15.9" customHeight="1">
      <c r="A344" s="109"/>
      <c r="B344" s="33"/>
      <c r="C344" s="33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44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161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3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1"/>
      <c r="D350" s="161"/>
      <c r="E350" s="109"/>
      <c r="F350" s="161"/>
      <c r="G350" s="109"/>
      <c r="H350" s="109"/>
      <c r="I350" s="109"/>
      <c r="J350" s="24"/>
    </row>
    <row r="351" spans="1:10" s="1" customFormat="1" ht="15.9" customHeight="1">
      <c r="A351" s="109"/>
      <c r="B351" s="33"/>
      <c r="C351" s="33"/>
      <c r="D351" s="161"/>
      <c r="E351" s="109"/>
      <c r="F351" s="109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33"/>
      <c r="D352" s="161"/>
      <c r="E352" s="109"/>
      <c r="F352" s="109"/>
      <c r="G352" s="109"/>
      <c r="H352" s="107"/>
      <c r="I352" s="24"/>
      <c r="J352" s="24"/>
    </row>
    <row r="353" spans="1:10" s="1" customFormat="1" ht="15" customHeight="1">
      <c r="A353" s="109"/>
      <c r="B353" s="33"/>
      <c r="C353" s="33"/>
      <c r="D353" s="161"/>
      <c r="E353" s="109"/>
      <c r="F353" s="109"/>
      <c r="G353" s="109"/>
      <c r="H353" s="109"/>
      <c r="I353" s="24"/>
      <c r="J353" s="24"/>
    </row>
    <row r="354" spans="1:10" s="23" customFormat="1" ht="15.9" customHeight="1">
      <c r="A354" s="109"/>
      <c r="B354" s="33"/>
      <c r="C354" s="33"/>
      <c r="D354" s="161"/>
      <c r="E354" s="109"/>
      <c r="F354" s="109"/>
      <c r="G354" s="109"/>
      <c r="H354" s="109"/>
      <c r="I354" s="109"/>
      <c r="J354" s="109"/>
    </row>
    <row r="355" spans="1:10" s="1" customFormat="1" ht="15.9" customHeight="1">
      <c r="A355" s="44"/>
      <c r="B355" s="44"/>
      <c r="C355" s="44"/>
      <c r="D355" s="84"/>
      <c r="E355" s="44"/>
      <c r="F355" s="44"/>
      <c r="G355" s="44"/>
      <c r="H355" s="44"/>
      <c r="I355" s="44"/>
      <c r="J355" s="119"/>
    </row>
    <row r="356" spans="1:10" s="1" customFormat="1" ht="15.9" customHeight="1">
      <c r="A356" s="40"/>
      <c r="B356" s="40"/>
      <c r="C356" s="44"/>
      <c r="D356" s="85"/>
      <c r="E356" s="40"/>
      <c r="F356" s="32"/>
      <c r="G356" s="40"/>
      <c r="H356" s="32"/>
      <c r="I356" s="32"/>
      <c r="J356" s="40"/>
    </row>
    <row r="357" spans="1:10" s="1" customFormat="1" ht="15.9" customHeight="1">
      <c r="A357" s="27"/>
      <c r="B357" s="33"/>
      <c r="C357" s="42"/>
      <c r="D357" s="161"/>
      <c r="E357" s="109"/>
      <c r="F357" s="109"/>
      <c r="G357" s="109"/>
      <c r="H357" s="42"/>
      <c r="I357" s="24"/>
      <c r="J357" s="24"/>
    </row>
    <row r="358" spans="1:10" s="1" customFormat="1" ht="15.9" customHeight="1">
      <c r="A358" s="27"/>
      <c r="B358" s="33"/>
      <c r="C358" s="163"/>
      <c r="D358" s="161"/>
      <c r="E358" s="109"/>
      <c r="F358" s="109"/>
      <c r="G358" s="109"/>
      <c r="H358" s="163"/>
      <c r="I358" s="163"/>
      <c r="J358" s="163"/>
    </row>
    <row r="359" spans="1:10" s="1" customFormat="1" ht="15.9" customHeight="1">
      <c r="A359" s="27"/>
      <c r="B359" s="33"/>
      <c r="C359" s="161"/>
      <c r="D359" s="161"/>
      <c r="E359" s="109"/>
      <c r="F359" s="109"/>
      <c r="G359" s="109"/>
      <c r="H359" s="161"/>
      <c r="I359" s="161"/>
      <c r="J359" s="161"/>
    </row>
    <row r="360" spans="1:10" s="1" customFormat="1" ht="15.9" customHeight="1">
      <c r="A360" s="27"/>
      <c r="B360" s="33"/>
      <c r="C360" s="33"/>
      <c r="D360" s="161"/>
      <c r="E360" s="109"/>
      <c r="F360" s="109"/>
      <c r="G360" s="109"/>
      <c r="H360" s="109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46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161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33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B369" s="33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D371" s="161"/>
      <c r="E371" s="109"/>
      <c r="F371" s="109"/>
      <c r="G371" s="33"/>
      <c r="H371" s="33"/>
      <c r="I371" s="24"/>
      <c r="J371" s="24"/>
    </row>
    <row r="372" spans="1:10" s="1" customFormat="1" ht="15.9" customHeight="1">
      <c r="A372" s="27"/>
      <c r="B372" s="33"/>
      <c r="C372" s="33"/>
      <c r="D372" s="161"/>
      <c r="E372" s="109"/>
      <c r="F372" s="109"/>
      <c r="G372" s="109"/>
      <c r="H372" s="109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42"/>
      <c r="I375" s="24"/>
      <c r="J375" s="24"/>
    </row>
    <row r="376" spans="1:10" s="1" customFormat="1" ht="15.9" customHeight="1">
      <c r="A376" s="27"/>
      <c r="B376" s="33"/>
      <c r="C376" s="47"/>
      <c r="D376" s="161"/>
      <c r="E376" s="109"/>
      <c r="F376" s="109"/>
      <c r="G376" s="109"/>
      <c r="H376" s="163"/>
      <c r="I376" s="163"/>
      <c r="J376" s="163"/>
    </row>
    <row r="377" spans="1:10" s="1" customFormat="1" ht="15.9" customHeight="1">
      <c r="A377" s="27"/>
      <c r="B377" s="33"/>
      <c r="C377" s="46"/>
      <c r="D377" s="161"/>
      <c r="E377" s="109"/>
      <c r="F377" s="109"/>
      <c r="G377" s="109"/>
      <c r="H377" s="161"/>
      <c r="I377" s="161"/>
      <c r="J377" s="161"/>
    </row>
    <row r="378" spans="1:10" s="1" customFormat="1" ht="15.9" customHeight="1">
      <c r="A378" s="27"/>
      <c r="B378" s="33"/>
      <c r="C378" s="161"/>
      <c r="D378" s="161"/>
      <c r="E378" s="109"/>
      <c r="F378" s="109"/>
      <c r="G378" s="109"/>
      <c r="H378" s="42"/>
      <c r="I378" s="24"/>
      <c r="J378" s="24"/>
    </row>
    <row r="379" spans="1:10" s="1" customFormat="1" ht="15.9" customHeight="1">
      <c r="A379" s="27"/>
      <c r="B379" s="33"/>
      <c r="C379" s="33"/>
      <c r="D379" s="161"/>
      <c r="E379" s="109"/>
      <c r="F379" s="109"/>
      <c r="G379" s="109"/>
      <c r="H379" s="163"/>
      <c r="I379" s="163"/>
      <c r="J379" s="163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1"/>
      <c r="I380" s="161"/>
      <c r="J380" s="161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09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64"/>
      <c r="I388" s="164"/>
      <c r="J388" s="16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5"/>
      <c r="I389" s="165"/>
      <c r="J389" s="165"/>
    </row>
    <row r="390" spans="1:10" s="1" customFormat="1" ht="15.9" customHeight="1">
      <c r="A390" s="27"/>
      <c r="B390" s="33"/>
      <c r="C390" s="47"/>
      <c r="D390" s="161"/>
      <c r="E390" s="109"/>
      <c r="F390" s="109"/>
      <c r="G390" s="109"/>
      <c r="H390" s="161"/>
      <c r="I390" s="161"/>
      <c r="J390" s="161"/>
    </row>
    <row r="391" spans="1:10" s="1" customFormat="1" ht="15.9" customHeight="1">
      <c r="A391" s="27"/>
      <c r="B391" s="33"/>
      <c r="C391" s="46"/>
      <c r="D391" s="161"/>
      <c r="E391" s="109"/>
      <c r="F391" s="109"/>
      <c r="G391" s="109"/>
      <c r="H391" s="109"/>
      <c r="I391" s="24"/>
      <c r="J391" s="24"/>
    </row>
    <row r="392" spans="1:10" s="1" customFormat="1" ht="15.9" customHeight="1">
      <c r="A392" s="27"/>
      <c r="B392" s="33"/>
      <c r="C392" s="161"/>
      <c r="D392" s="161"/>
      <c r="E392" s="109"/>
      <c r="F392" s="109"/>
      <c r="G392" s="109"/>
      <c r="H392" s="109"/>
      <c r="I392" s="109"/>
      <c r="J392" s="24"/>
    </row>
    <row r="393" spans="1:10" s="1" customFormat="1" ht="15.9" customHeight="1">
      <c r="A393" s="27"/>
      <c r="B393" s="33"/>
      <c r="C393" s="33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23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23" customFormat="1" ht="15.9" customHeight="1">
      <c r="A405" s="41"/>
      <c r="B405" s="33"/>
      <c r="C405" s="33"/>
      <c r="D405" s="161"/>
      <c r="E405" s="109"/>
      <c r="F405" s="109"/>
      <c r="G405" s="109"/>
      <c r="H405" s="109"/>
      <c r="I405" s="109"/>
      <c r="J405" s="10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109"/>
      <c r="B419" s="33"/>
      <c r="C419" s="33"/>
      <c r="D419" s="161"/>
      <c r="E419" s="109"/>
      <c r="F419" s="109"/>
      <c r="G419" s="109"/>
      <c r="H419" s="109"/>
      <c r="I419" s="24"/>
      <c r="J419" s="24"/>
      <c r="K419" s="71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LEFT($J$111,13)&amp;"-04"</f>
        <v>FG-240-3P2L1R-04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B423" s="279"/>
      <c r="C423" s="5"/>
      <c r="D423" s="95"/>
      <c r="E423" s="95"/>
      <c r="F423" s="95"/>
      <c r="G423" s="95"/>
      <c r="H423" s="95"/>
      <c r="I423" s="95"/>
      <c r="J423" s="90" t="str">
        <f>J2</f>
        <v>HOMELIFE</v>
      </c>
      <c r="K423" s="11"/>
      <c r="L423" s="11"/>
      <c r="M423" s="2"/>
      <c r="N423" s="2"/>
    </row>
    <row r="424" spans="1:14" ht="24.9" customHeight="1">
      <c r="B424" s="279"/>
      <c r="C424" s="28"/>
      <c r="D424" s="28"/>
      <c r="E424" s="28"/>
      <c r="F424" s="28"/>
      <c r="G424" s="28"/>
      <c r="H424" s="28"/>
      <c r="I424" s="28"/>
      <c r="J424" s="91" t="str">
        <f>J3</f>
        <v>Fabricators Guide</v>
      </c>
      <c r="K424" s="11"/>
      <c r="L424" s="11"/>
      <c r="M424" s="2"/>
      <c r="N424" s="2"/>
    </row>
    <row r="425" spans="1:14" ht="24.9" customHeight="1">
      <c r="B425" s="8"/>
      <c r="C425" s="28"/>
      <c r="D425" s="28"/>
      <c r="E425" s="28"/>
      <c r="F425" s="28"/>
      <c r="G425" s="28"/>
      <c r="H425" s="28"/>
      <c r="I425" s="28"/>
      <c r="J425" s="91" t="str">
        <f>J4</f>
        <v xml:space="preserve">240 Series Bi Fold Door </v>
      </c>
      <c r="K425" s="48"/>
      <c r="L425" s="48"/>
      <c r="M425" s="4"/>
      <c r="N425" s="4"/>
    </row>
    <row r="426" spans="1:14" s="1" customFormat="1" ht="15" customHeight="1" thickBot="1">
      <c r="A426" s="78"/>
      <c r="B426" s="78"/>
      <c r="C426" s="78"/>
      <c r="D426" s="82"/>
      <c r="E426" s="78"/>
      <c r="F426" s="78"/>
      <c r="G426" s="78"/>
      <c r="H426" s="7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</row>
    <row r="428" spans="1:14" s="1" customFormat="1" ht="15" customHeight="1">
      <c r="A428" s="63"/>
      <c r="B428" s="72"/>
      <c r="C428" s="56"/>
      <c r="D428" s="30"/>
      <c r="E428" s="29"/>
      <c r="F428" s="72"/>
      <c r="H428" s="44"/>
      <c r="I428" s="44"/>
      <c r="J428" s="119"/>
    </row>
    <row r="429" spans="1:14" s="1" customFormat="1" ht="15" customHeight="1">
      <c r="A429" s="17"/>
      <c r="B429" s="56"/>
      <c r="C429" s="56"/>
      <c r="D429" s="30"/>
      <c r="E429" s="29"/>
      <c r="F429" s="30"/>
      <c r="H429" s="44"/>
      <c r="I429" s="44"/>
      <c r="J429" s="119"/>
    </row>
    <row r="430" spans="1:14" s="1" customFormat="1" ht="15" customHeight="1">
      <c r="A430" s="17"/>
      <c r="B430" s="56"/>
      <c r="C430" s="56"/>
      <c r="D430" s="30"/>
      <c r="E430" s="29"/>
      <c r="F430" s="30"/>
      <c r="H430" s="44"/>
      <c r="I430" s="44"/>
      <c r="J430" s="119"/>
    </row>
    <row r="431" spans="1:14" s="1" customFormat="1" ht="15" customHeight="1">
      <c r="A431" s="109"/>
      <c r="B431" s="33"/>
      <c r="C431" s="161"/>
      <c r="D431" s="161"/>
      <c r="E431" s="109"/>
      <c r="F431" s="161"/>
      <c r="H431" s="44"/>
      <c r="I431" s="44"/>
      <c r="J431" s="119"/>
    </row>
    <row r="432" spans="1:14" s="1" customFormat="1" ht="15" customHeight="1">
      <c r="A432" s="109"/>
      <c r="B432" s="33"/>
      <c r="C432" s="161"/>
      <c r="D432" s="161"/>
      <c r="E432" s="35"/>
      <c r="F432" s="163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35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42"/>
      <c r="D434" s="161"/>
      <c r="E434" s="109"/>
      <c r="F434" s="69"/>
      <c r="H434" s="44"/>
      <c r="I434" s="44"/>
      <c r="J434" s="119"/>
    </row>
    <row r="435" spans="1:10" s="1" customFormat="1" ht="15" customHeight="1">
      <c r="A435" s="39"/>
      <c r="B435" s="39"/>
      <c r="C435" s="163"/>
      <c r="D435" s="161"/>
      <c r="E435" s="109"/>
      <c r="F435" s="68"/>
      <c r="H435" s="44"/>
      <c r="I435" s="44"/>
      <c r="J435" s="119"/>
    </row>
    <row r="436" spans="1:10" s="1" customFormat="1" ht="15" customHeight="1">
      <c r="A436" s="92"/>
      <c r="B436" s="92"/>
      <c r="C436" s="161"/>
      <c r="D436" s="161"/>
      <c r="E436" s="109"/>
      <c r="F436" s="425"/>
      <c r="H436" s="44"/>
      <c r="I436" s="44"/>
      <c r="J436" s="119"/>
    </row>
    <row r="437" spans="1:10" s="1" customFormat="1" ht="15" customHeight="1">
      <c r="B437" s="92"/>
      <c r="C437" s="161"/>
      <c r="D437" s="161"/>
      <c r="E437" s="109"/>
      <c r="F437" s="425"/>
      <c r="H437" s="44"/>
      <c r="I437" s="44"/>
      <c r="J437" s="119"/>
    </row>
    <row r="438" spans="1:10" s="1" customFormat="1" ht="15" customHeight="1">
      <c r="A438" s="64" t="str">
        <f>A18</f>
        <v>240-3 Panel (2L1R)</v>
      </c>
      <c r="C438" s="42"/>
      <c r="D438" s="161"/>
      <c r="E438" s="109"/>
      <c r="F438" s="68"/>
      <c r="H438" s="44"/>
      <c r="I438" s="44"/>
      <c r="J438" s="119"/>
    </row>
    <row r="439" spans="1:10" s="1" customFormat="1" ht="15.9" customHeight="1">
      <c r="A439" s="76" t="str">
        <f>A19</f>
        <v xml:space="preserve">Outside Bi Fold Door </v>
      </c>
      <c r="C439" s="161"/>
      <c r="D439" s="161"/>
      <c r="E439" s="109"/>
      <c r="F439" s="37"/>
      <c r="H439" s="44"/>
      <c r="I439" s="44"/>
      <c r="J439" s="119"/>
    </row>
    <row r="440" spans="1:10" s="1" customFormat="1" ht="15.9" customHeight="1">
      <c r="A440" s="39"/>
      <c r="B440" s="38"/>
      <c r="C440" s="43"/>
      <c r="D440" s="161"/>
      <c r="E440" s="109"/>
      <c r="F440" s="109"/>
      <c r="H440" s="44"/>
      <c r="I440" s="44"/>
      <c r="J440" s="119"/>
    </row>
    <row r="441" spans="1:10" s="1" customFormat="1" ht="15.9" customHeight="1">
      <c r="A441" s="44"/>
      <c r="C441" s="44"/>
      <c r="D441" s="84"/>
      <c r="E441" s="44"/>
      <c r="F441" s="44"/>
      <c r="H441" s="44"/>
      <c r="I441" s="44"/>
      <c r="J441" s="119"/>
    </row>
    <row r="442" spans="1:10" s="1" customFormat="1" ht="15.9" customHeight="1">
      <c r="A442" s="40"/>
      <c r="C442" s="161"/>
      <c r="D442" s="85"/>
      <c r="E442" s="40"/>
      <c r="F442" s="32"/>
      <c r="H442" s="44"/>
      <c r="I442" s="44"/>
      <c r="J442" s="119"/>
    </row>
    <row r="448" spans="1:10" s="1" customFormat="1" ht="15.9" customHeight="1">
      <c r="A448" s="109"/>
      <c r="B448" s="33"/>
      <c r="C448" s="33"/>
      <c r="D448" s="161"/>
      <c r="E448" s="109"/>
      <c r="F448" s="161"/>
      <c r="G448" s="109"/>
      <c r="H448" s="109"/>
      <c r="I448" s="24"/>
      <c r="J448" s="24"/>
    </row>
    <row r="449" spans="1:10" s="1" customFormat="1" ht="15.9" customHeight="1">
      <c r="A449" s="109"/>
      <c r="B449" s="33"/>
      <c r="C449" s="33"/>
      <c r="D449" s="161"/>
      <c r="E449" s="109"/>
      <c r="F449" s="161"/>
      <c r="G449" s="109"/>
      <c r="H449" s="109"/>
      <c r="I449" s="24"/>
      <c r="J449" s="24"/>
    </row>
    <row r="450" spans="1:10" s="1" customFormat="1" ht="15.9" customHeight="1">
      <c r="A450" s="109"/>
      <c r="B450" s="33"/>
      <c r="C450" s="33"/>
      <c r="D450" s="161"/>
      <c r="E450" s="109"/>
      <c r="F450" s="161"/>
      <c r="G450" s="109"/>
      <c r="H450" s="109"/>
      <c r="I450" s="24"/>
      <c r="J450" s="24"/>
    </row>
    <row r="451" spans="1:10" s="1" customFormat="1" ht="15.9" customHeight="1">
      <c r="A451" s="109"/>
      <c r="B451" s="33"/>
      <c r="C451" s="44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161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16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161"/>
      <c r="D454" s="161"/>
      <c r="E454" s="109"/>
      <c r="F454" s="161"/>
      <c r="G454" s="109"/>
      <c r="H454" s="109"/>
      <c r="I454" s="109"/>
      <c r="J454" s="24"/>
    </row>
    <row r="455" spans="1:10" s="1" customFormat="1" ht="15.9" customHeight="1">
      <c r="A455" s="109"/>
      <c r="B455" s="33"/>
      <c r="C455" s="33"/>
      <c r="D455" s="161"/>
      <c r="E455" s="109"/>
      <c r="F455" s="109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33"/>
      <c r="D456" s="161"/>
      <c r="E456" s="109"/>
      <c r="F456" s="109"/>
      <c r="G456" s="109"/>
      <c r="H456" s="107"/>
      <c r="I456" s="24"/>
      <c r="J456" s="24"/>
    </row>
    <row r="457" spans="1:10" s="1" customFormat="1" ht="15" customHeight="1">
      <c r="A457" s="109"/>
      <c r="B457" s="33"/>
      <c r="C457" s="33"/>
      <c r="D457" s="161"/>
      <c r="E457" s="109"/>
      <c r="F457" s="109"/>
      <c r="G457" s="109"/>
      <c r="H457" s="109"/>
      <c r="I457" s="24"/>
      <c r="J457" s="24"/>
    </row>
    <row r="458" spans="1:10" s="1" customFormat="1" ht="15" customHeight="1">
      <c r="A458" s="109"/>
      <c r="B458" s="33"/>
      <c r="C458" s="33"/>
      <c r="D458" s="161"/>
      <c r="E458" s="109"/>
      <c r="F458" s="109"/>
      <c r="G458" s="109"/>
      <c r="H458" s="109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9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23" customFormat="1" ht="15.9" customHeight="1">
      <c r="A475" s="109"/>
      <c r="B475" s="33"/>
      <c r="C475" s="33"/>
      <c r="D475" s="161"/>
      <c r="E475" s="109"/>
      <c r="F475" s="109"/>
      <c r="G475" s="109"/>
      <c r="H475" s="109"/>
      <c r="I475" s="109"/>
      <c r="J475" s="109"/>
    </row>
    <row r="476" spans="1:10" s="1" customFormat="1" ht="15.9" customHeight="1">
      <c r="A476" s="44"/>
      <c r="B476" s="44"/>
      <c r="C476" s="44"/>
      <c r="D476" s="84"/>
      <c r="E476" s="44"/>
      <c r="F476" s="44"/>
      <c r="G476" s="44"/>
      <c r="H476" s="44"/>
      <c r="I476" s="44"/>
      <c r="J476" s="119"/>
    </row>
    <row r="477" spans="1:10" s="1" customFormat="1" ht="15.9" customHeight="1">
      <c r="A477" s="40"/>
      <c r="B477" s="40"/>
      <c r="C477" s="44"/>
      <c r="D477" s="85"/>
      <c r="E477" s="40"/>
      <c r="F477" s="32"/>
      <c r="G477" s="40"/>
      <c r="H477" s="32"/>
      <c r="I477" s="32"/>
      <c r="J477" s="40"/>
    </row>
    <row r="478" spans="1:10" s="1" customFormat="1" ht="15.9" customHeight="1">
      <c r="A478" s="27"/>
      <c r="B478" s="33"/>
      <c r="C478" s="42"/>
      <c r="D478" s="161"/>
      <c r="E478" s="109"/>
      <c r="F478" s="109"/>
      <c r="G478" s="109"/>
      <c r="H478" s="42"/>
      <c r="I478" s="24"/>
      <c r="J478" s="24"/>
    </row>
    <row r="479" spans="1:10" s="1" customFormat="1" ht="15.9" customHeight="1">
      <c r="A479" s="27"/>
      <c r="B479" s="33"/>
      <c r="C479" s="163"/>
      <c r="D479" s="161"/>
      <c r="E479" s="109"/>
      <c r="F479" s="109"/>
      <c r="G479" s="109"/>
      <c r="H479" s="67"/>
      <c r="I479" s="67"/>
      <c r="J479" s="165"/>
    </row>
    <row r="480" spans="1:10" s="1" customFormat="1" ht="15.9" customHeight="1">
      <c r="A480" s="27"/>
      <c r="B480" s="33"/>
      <c r="C480" s="161"/>
      <c r="D480" s="161"/>
      <c r="E480" s="109"/>
      <c r="F480" s="109"/>
      <c r="G480" s="109"/>
      <c r="H480" s="38"/>
      <c r="I480" s="38"/>
      <c r="J480" s="109"/>
    </row>
    <row r="481" spans="1:10" s="1" customFormat="1" ht="15.9" customHeight="1">
      <c r="A481" s="27"/>
      <c r="B481" s="33"/>
      <c r="C481" s="33"/>
      <c r="D481" s="161"/>
      <c r="E481" s="109"/>
      <c r="F481" s="109"/>
      <c r="G481" s="109"/>
      <c r="H481" s="109"/>
      <c r="I481" s="24"/>
      <c r="J481" s="24"/>
    </row>
    <row r="482" spans="1:10" s="1" customFormat="1" ht="15.9" customHeight="1">
      <c r="A482" s="27"/>
      <c r="B482" s="33"/>
      <c r="C482" s="33"/>
      <c r="D482" s="161"/>
      <c r="E482" s="109"/>
      <c r="F482" s="109"/>
      <c r="G482" s="109"/>
      <c r="H482" s="109"/>
      <c r="I482" s="24"/>
      <c r="J482" s="24"/>
    </row>
    <row r="483" spans="1:10" s="1" customFormat="1" ht="15.9" customHeight="1">
      <c r="A483" s="27"/>
      <c r="B483" s="33"/>
      <c r="C483" s="46"/>
      <c r="D483" s="161"/>
      <c r="E483" s="109"/>
      <c r="F483" s="109"/>
      <c r="G483" s="109"/>
      <c r="H483" s="109"/>
      <c r="I483" s="24"/>
      <c r="J483" s="24"/>
    </row>
    <row r="484" spans="1:10" s="1" customFormat="1" ht="15.9" customHeight="1">
      <c r="A484" s="27"/>
      <c r="B484" s="33"/>
      <c r="C484" s="161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33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33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D492" s="161"/>
      <c r="E492" s="109"/>
      <c r="F492" s="109"/>
      <c r="G492" s="33"/>
      <c r="H492" s="33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B495" s="33"/>
      <c r="C495" s="33"/>
      <c r="D495" s="161"/>
      <c r="E495" s="109"/>
      <c r="F495" s="109"/>
      <c r="G495" s="109"/>
      <c r="H495" s="109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42"/>
      <c r="I496" s="24"/>
      <c r="J496" s="24"/>
    </row>
    <row r="497" spans="1:10" s="1" customFormat="1" ht="15.9" customHeight="1">
      <c r="A497" s="27"/>
      <c r="B497" s="33"/>
      <c r="C497" s="47"/>
      <c r="D497" s="161"/>
      <c r="E497" s="109"/>
      <c r="F497" s="109"/>
      <c r="G497" s="109"/>
      <c r="H497" s="67"/>
      <c r="I497" s="67"/>
      <c r="J497" s="165"/>
    </row>
    <row r="498" spans="1:10" s="1" customFormat="1" ht="15.9" customHeight="1">
      <c r="A498" s="27"/>
      <c r="B498" s="33"/>
      <c r="C498" s="46"/>
      <c r="D498" s="161"/>
      <c r="E498" s="109"/>
      <c r="F498" s="109"/>
      <c r="G498" s="109"/>
      <c r="H498" s="38"/>
      <c r="I498" s="38"/>
      <c r="J498" s="109"/>
    </row>
    <row r="499" spans="1:10" s="1" customFormat="1" ht="15.9" customHeight="1">
      <c r="A499" s="27"/>
      <c r="B499" s="33"/>
      <c r="C499" s="161"/>
      <c r="D499" s="161"/>
      <c r="E499" s="109"/>
      <c r="F499" s="109"/>
      <c r="G499" s="109"/>
      <c r="H499" s="42"/>
      <c r="I499" s="24"/>
      <c r="J499" s="24"/>
    </row>
    <row r="500" spans="1:10" s="1" customFormat="1" ht="15.9" customHeight="1">
      <c r="A500" s="27"/>
      <c r="B500" s="33"/>
      <c r="C500" s="33"/>
      <c r="D500" s="161"/>
      <c r="E500" s="109"/>
      <c r="F500" s="109"/>
      <c r="G500" s="109"/>
      <c r="H500" s="67"/>
      <c r="I500" s="67"/>
      <c r="J500" s="165"/>
    </row>
    <row r="501" spans="1:10" s="1" customFormat="1" ht="15.9" customHeight="1">
      <c r="A501" s="27"/>
      <c r="B501" s="33"/>
      <c r="C501" s="33"/>
      <c r="D501" s="161"/>
      <c r="E501" s="109"/>
      <c r="F501" s="109"/>
      <c r="G501" s="109"/>
      <c r="H501" s="38"/>
      <c r="I501" s="38"/>
      <c r="J501" s="109"/>
    </row>
    <row r="502" spans="1:10" s="1" customFormat="1" ht="15.9" customHeight="1">
      <c r="A502" s="27"/>
      <c r="B502" s="33"/>
      <c r="C502" s="33"/>
      <c r="D502" s="161"/>
      <c r="E502" s="109"/>
      <c r="F502" s="109"/>
      <c r="G502" s="109"/>
      <c r="H502" s="109"/>
      <c r="I502" s="24"/>
      <c r="J502" s="24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109"/>
      <c r="I503" s="24"/>
      <c r="J503" s="24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109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109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109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109"/>
      <c r="J512" s="24"/>
    </row>
    <row r="513" spans="1:21" s="1" customFormat="1" ht="15.9" customHeight="1">
      <c r="A513" s="27"/>
      <c r="B513" s="33"/>
      <c r="C513" s="33"/>
      <c r="D513" s="161"/>
      <c r="E513" s="109"/>
      <c r="F513" s="109"/>
      <c r="G513" s="109"/>
      <c r="H513" s="109"/>
      <c r="I513" s="109"/>
      <c r="J513" s="24"/>
    </row>
    <row r="514" spans="1:21" s="1" customFormat="1" ht="15.9" customHeight="1">
      <c r="A514" s="27"/>
      <c r="B514" s="33"/>
      <c r="C514" s="33"/>
      <c r="D514" s="161"/>
      <c r="E514" s="109"/>
      <c r="F514" s="109"/>
      <c r="G514" s="109"/>
      <c r="H514" s="109"/>
      <c r="I514" s="109"/>
      <c r="J514" s="24"/>
    </row>
    <row r="515" spans="1:21" s="1" customFormat="1" ht="15.9" customHeight="1">
      <c r="A515" s="27"/>
      <c r="B515" s="33"/>
      <c r="C515" s="33"/>
      <c r="D515" s="161"/>
      <c r="E515" s="109"/>
      <c r="F515" s="109"/>
      <c r="G515" s="109"/>
      <c r="H515" s="66"/>
      <c r="I515" s="43"/>
      <c r="J515" s="107"/>
    </row>
    <row r="516" spans="1:21" s="1" customFormat="1" ht="15.9" customHeight="1">
      <c r="A516" s="44"/>
      <c r="B516" s="44"/>
      <c r="C516" s="44"/>
      <c r="D516" s="84"/>
      <c r="E516" s="44"/>
      <c r="F516" s="44"/>
      <c r="G516" s="44"/>
      <c r="H516" s="44"/>
      <c r="I516" s="44"/>
      <c r="J516" s="119"/>
    </row>
    <row r="517" spans="1:21" s="1" customFormat="1" ht="15.9" customHeight="1">
      <c r="A517" s="44"/>
      <c r="B517" s="44"/>
      <c r="C517" s="44"/>
      <c r="D517" s="84"/>
      <c r="E517" s="44"/>
      <c r="F517" s="44"/>
      <c r="G517" s="44"/>
      <c r="H517" s="44"/>
      <c r="I517" s="44"/>
      <c r="J517" s="119"/>
    </row>
    <row r="518" spans="1:21" s="1" customFormat="1" ht="15.9" customHeight="1"/>
    <row r="519" spans="1:21" s="1" customFormat="1" ht="15.9" customHeight="1" thickBot="1"/>
    <row r="520" spans="1:21" s="1" customFormat="1" ht="24.9" customHeight="1" thickBot="1">
      <c r="A520" s="502" t="s">
        <v>401</v>
      </c>
      <c r="B520" s="503"/>
      <c r="C520" s="503"/>
      <c r="D520" s="503"/>
      <c r="E520" s="503"/>
      <c r="F520" s="503"/>
      <c r="G520" s="503"/>
      <c r="H520" s="503"/>
      <c r="I520" s="503"/>
      <c r="J520" s="504"/>
    </row>
    <row r="521" spans="1:21" s="1" customFormat="1" ht="35.1" customHeight="1" thickBot="1">
      <c r="A521" s="102" t="s">
        <v>2</v>
      </c>
      <c r="B521" s="103" t="s">
        <v>3</v>
      </c>
      <c r="C521" s="103" t="s">
        <v>3</v>
      </c>
      <c r="D521" s="104" t="s">
        <v>35</v>
      </c>
      <c r="E521" s="103" t="s">
        <v>5</v>
      </c>
      <c r="F521" s="431" t="s">
        <v>27</v>
      </c>
      <c r="G521" s="305"/>
      <c r="H521" s="104" t="s">
        <v>27</v>
      </c>
      <c r="I521" s="104" t="s">
        <v>26</v>
      </c>
      <c r="J521" s="115" t="s">
        <v>6</v>
      </c>
      <c r="N521" s="249" t="s">
        <v>3</v>
      </c>
      <c r="O521" s="249" t="s">
        <v>3</v>
      </c>
      <c r="Q521" s="300"/>
      <c r="R521" s="301"/>
      <c r="S521" s="300"/>
      <c r="T521" s="301"/>
      <c r="U521" s="301"/>
    </row>
    <row r="522" spans="1:21" s="1" customFormat="1" ht="15.9" customHeight="1">
      <c r="A522" s="123">
        <f>IF(C522="","",1)</f>
        <v>1</v>
      </c>
      <c r="B522" s="121" t="str">
        <f>IF($D$127=5,N522,IF($D$127=6,N523,IF($D$127=8,N524,IF($D$127=10,N525,IF($D$127=12,N526,IF($D$127=14,N527,IF($D$127=18,N528,IF($D$127=20,N529,IF($D$127=22,N530,)))))))))</f>
        <v>กระจก 6 mm (สูง) (กว้าง)</v>
      </c>
      <c r="C522" s="121" t="str">
        <f>IF($D$127=5,O522,IF($D$127=6,O523,IF($D$127=8,O524,IF($D$127=10,O525,IF($D$127=12,O526,IF($D$127=14,O527,IF($D$127=18,O528,IF($D$127=20,O529,IF($D$127=22,O530,)))))))))</f>
        <v>GLASS thk.6 mm (H) (W)</v>
      </c>
      <c r="D522" s="124">
        <f>$J$123-215</f>
        <v>2285</v>
      </c>
      <c r="E522" s="123" t="s">
        <v>11</v>
      </c>
      <c r="F522" s="527" t="s">
        <v>271</v>
      </c>
      <c r="G522" s="528"/>
      <c r="H522" s="123" t="s">
        <v>402</v>
      </c>
      <c r="I522" s="124">
        <f>(($J$126-182-(113.25*2))/3)-13</f>
        <v>1017.5</v>
      </c>
      <c r="J522" s="151">
        <f>$J$120*3</f>
        <v>3</v>
      </c>
      <c r="M522" s="1">
        <f>ROW()</f>
        <v>522</v>
      </c>
      <c r="N522" s="19" t="s">
        <v>194</v>
      </c>
      <c r="O522" s="19" t="s">
        <v>195</v>
      </c>
      <c r="Q522" s="17"/>
      <c r="R522" s="302"/>
      <c r="S522" s="289"/>
      <c r="T522" s="17"/>
      <c r="U522" s="303"/>
    </row>
    <row r="523" spans="1:21" s="1" customFormat="1" ht="15.9" customHeight="1">
      <c r="A523" s="238"/>
      <c r="B523" s="295"/>
      <c r="C523" s="295"/>
      <c r="D523" s="357"/>
      <c r="E523" s="238"/>
      <c r="F523" s="337"/>
      <c r="G523" s="338"/>
      <c r="H523" s="238"/>
      <c r="I523" s="298"/>
      <c r="J523" s="299"/>
      <c r="M523" s="1">
        <f>ROW()</f>
        <v>523</v>
      </c>
      <c r="N523" s="19" t="s">
        <v>53</v>
      </c>
      <c r="O523" s="19" t="s">
        <v>54</v>
      </c>
      <c r="Q523" s="17"/>
      <c r="R523" s="302"/>
      <c r="S523" s="289"/>
      <c r="T523" s="17"/>
      <c r="U523" s="303"/>
    </row>
    <row r="524" spans="1:21" s="1" customFormat="1" ht="15.9" customHeight="1">
      <c r="A524" s="152"/>
      <c r="B524" s="127"/>
      <c r="C524" s="295"/>
      <c r="D524" s="296" t="s">
        <v>0</v>
      </c>
      <c r="E524" s="238"/>
      <c r="F524" s="251"/>
      <c r="G524" s="297"/>
      <c r="H524" s="295"/>
      <c r="I524" s="298"/>
      <c r="J524" s="153"/>
      <c r="M524" s="1">
        <f>ROW()</f>
        <v>524</v>
      </c>
      <c r="N524" s="19" t="s">
        <v>257</v>
      </c>
      <c r="O524" s="19" t="s">
        <v>258</v>
      </c>
      <c r="Q524" s="17"/>
      <c r="R524" s="302"/>
      <c r="S524" s="289"/>
      <c r="T524" s="17"/>
      <c r="U524" s="303"/>
    </row>
    <row r="525" spans="1:21" s="1" customFormat="1" ht="15.9" customHeight="1">
      <c r="A525" s="152"/>
      <c r="B525" s="127"/>
      <c r="C525" s="127"/>
      <c r="D525" s="128"/>
      <c r="E525" s="129"/>
      <c r="F525" s="155"/>
      <c r="G525" s="156"/>
      <c r="H525" s="129"/>
      <c r="I525" s="130"/>
      <c r="J525" s="153"/>
      <c r="M525" s="1">
        <f>ROW()</f>
        <v>525</v>
      </c>
      <c r="N525" s="19" t="s">
        <v>259</v>
      </c>
      <c r="O525" s="19" t="s">
        <v>265</v>
      </c>
    </row>
    <row r="526" spans="1:21" s="1" customFormat="1" ht="15.9" customHeight="1">
      <c r="A526" s="135" t="str">
        <f>IF(B526="","",+A524+1)</f>
        <v/>
      </c>
      <c r="B526" s="133"/>
      <c r="C526" s="133"/>
      <c r="D526" s="134"/>
      <c r="E526" s="135"/>
      <c r="F526" s="158"/>
      <c r="G526" s="159"/>
      <c r="H526" s="135"/>
      <c r="I526" s="145"/>
      <c r="J526" s="136"/>
      <c r="M526" s="1">
        <f>ROW()</f>
        <v>526</v>
      </c>
      <c r="N526" s="19" t="s">
        <v>260</v>
      </c>
      <c r="O526" s="19" t="s">
        <v>266</v>
      </c>
    </row>
    <row r="527" spans="1:21">
      <c r="A527" s="344"/>
      <c r="B527" s="344"/>
      <c r="C527" s="344"/>
      <c r="D527" s="345"/>
      <c r="E527" s="344"/>
      <c r="F527" s="344"/>
      <c r="G527" s="344"/>
      <c r="H527" s="344"/>
      <c r="I527" s="344"/>
      <c r="J527" s="99" t="str">
        <f>LEFT($J$111,13)&amp;"-05"</f>
        <v>FG-240-3P2L1R-05</v>
      </c>
      <c r="M527" s="1">
        <f>ROW()</f>
        <v>527</v>
      </c>
      <c r="N527" s="19" t="s">
        <v>261</v>
      </c>
      <c r="O527" s="19" t="s">
        <v>267</v>
      </c>
    </row>
    <row r="528" spans="1:21">
      <c r="M528" s="1">
        <f>ROW()</f>
        <v>528</v>
      </c>
      <c r="N528" s="19" t="s">
        <v>262</v>
      </c>
      <c r="O528" s="19" t="s">
        <v>268</v>
      </c>
    </row>
    <row r="529" spans="13:15">
      <c r="M529" s="1">
        <f>ROW()</f>
        <v>529</v>
      </c>
      <c r="N529" s="19" t="s">
        <v>263</v>
      </c>
      <c r="O529" s="19" t="s">
        <v>269</v>
      </c>
    </row>
    <row r="530" spans="13:15">
      <c r="M530" s="1">
        <f>ROW()</f>
        <v>530</v>
      </c>
      <c r="N530" s="19" t="s">
        <v>264</v>
      </c>
      <c r="O530" s="19" t="s">
        <v>270</v>
      </c>
    </row>
  </sheetData>
  <dataConsolidate function="product">
    <dataRefs count="1">
      <dataRef ref="O154:O162" sheet="240_2Panel(L)" r:id="rId1"/>
    </dataRefs>
  </dataConsolidate>
  <mergeCells count="46">
    <mergeCell ref="A6:J6"/>
    <mergeCell ref="A117:J117"/>
    <mergeCell ref="D119:G119"/>
    <mergeCell ref="H120:I121"/>
    <mergeCell ref="J120:J121"/>
    <mergeCell ref="D121:G121"/>
    <mergeCell ref="I161:J16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8:J158"/>
    <mergeCell ref="I159:J159"/>
    <mergeCell ref="I160:J160"/>
    <mergeCell ref="I170:J171"/>
    <mergeCell ref="I172:J172"/>
    <mergeCell ref="I175:J175"/>
    <mergeCell ref="A176:J176"/>
    <mergeCell ref="I162:J162"/>
    <mergeCell ref="D163:D164"/>
    <mergeCell ref="H163:H164"/>
    <mergeCell ref="I163:J164"/>
    <mergeCell ref="D165:D166"/>
    <mergeCell ref="H165:H166"/>
    <mergeCell ref="I165:J165"/>
    <mergeCell ref="I166:J169"/>
    <mergeCell ref="D167:D171"/>
    <mergeCell ref="H167:H171"/>
    <mergeCell ref="F522:G522"/>
    <mergeCell ref="D172:D173"/>
    <mergeCell ref="D174:D175"/>
    <mergeCell ref="H172:H173"/>
    <mergeCell ref="H174:H175"/>
    <mergeCell ref="H221:J221"/>
    <mergeCell ref="A213:J213"/>
    <mergeCell ref="A320:J320"/>
    <mergeCell ref="F330:G330"/>
    <mergeCell ref="F333:G333"/>
    <mergeCell ref="A427:J427"/>
    <mergeCell ref="A520:J520"/>
  </mergeCells>
  <dataValidations count="3">
    <dataValidation type="list" allowBlank="1" showInputMessage="1" showErrorMessage="1" sqref="D123:G123">
      <formula1>$P$119:$P$128</formula1>
    </dataValidation>
    <dataValidation type="list" allowBlank="1" showInputMessage="1" showErrorMessage="1" sqref="D129:G129">
      <formula1>$O$120</formula1>
    </dataValidation>
    <dataValidation type="list" allowBlank="1" showInputMessage="1" showErrorMessage="1" sqref="D127:G127">
      <formula1>$N$120:$N$128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16383" man="1"/>
    <brk id="421" max="9" man="1"/>
  </rowBreaks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-0.249977111117893"/>
  </sheetPr>
  <dimension ref="A1:AJ530"/>
  <sheetViews>
    <sheetView showGridLines="0" view="pageBreakPreview" topLeftCell="A124" zoomScale="75" zoomScaleNormal="75" zoomScaleSheetLayoutView="75" workbookViewId="0">
      <selection activeCell="I135" sqref="I135"/>
    </sheetView>
  </sheetViews>
  <sheetFormatPr defaultRowHeight="14.4" outlineLevelRow="1" outlineLevelCol="1"/>
  <cols>
    <col min="1" max="1" width="7" customWidth="1"/>
    <col min="2" max="2" width="40.6640625" customWidth="1"/>
    <col min="3" max="3" width="59.664062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8.6640625" customWidth="1"/>
    <col min="9" max="9" width="11.109375" bestFit="1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1.3320312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79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79"/>
      <c r="E3" s="279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645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>
      <c r="G45" s="10"/>
    </row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/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646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79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79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43" t="s">
        <v>31</v>
      </c>
      <c r="B117" s="544"/>
      <c r="C117" s="544"/>
      <c r="D117" s="544"/>
      <c r="E117" s="544"/>
      <c r="F117" s="544"/>
      <c r="G117" s="544"/>
      <c r="H117" s="544"/>
      <c r="I117" s="544"/>
      <c r="J117" s="545"/>
      <c r="K117" s="11"/>
      <c r="L117" s="4"/>
      <c r="M117" s="4"/>
      <c r="N117" s="4"/>
    </row>
    <row r="118" spans="1:16" s="1" customFormat="1" ht="15.6">
      <c r="A118" s="12"/>
      <c r="C118" s="8"/>
      <c r="D118" s="15"/>
      <c r="E118" s="13"/>
      <c r="J118" s="428"/>
      <c r="K118" s="11"/>
      <c r="L118" s="56"/>
      <c r="M118" s="56"/>
      <c r="N118" s="56"/>
    </row>
    <row r="119" spans="1:16" s="1" customFormat="1" ht="15" customHeight="1">
      <c r="A119" s="12"/>
      <c r="C119" s="110" t="s">
        <v>635</v>
      </c>
      <c r="D119" s="524"/>
      <c r="E119" s="525"/>
      <c r="F119" s="525"/>
      <c r="G119" s="526"/>
      <c r="I119" s="16"/>
      <c r="J119" s="12"/>
      <c r="N119" s="247" t="s">
        <v>191</v>
      </c>
      <c r="O119" s="12" t="s">
        <v>227</v>
      </c>
      <c r="P119" s="247" t="s">
        <v>16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7">
        <v>5</v>
      </c>
      <c r="O120" s="12" t="s">
        <v>243</v>
      </c>
      <c r="P120" s="335" t="s">
        <v>389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8">
        <v>6</v>
      </c>
      <c r="O121" s="12" t="s">
        <v>244</v>
      </c>
      <c r="P121" s="336" t="s">
        <v>390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8">
        <v>8</v>
      </c>
      <c r="P122" s="336" t="s">
        <v>391</v>
      </c>
    </row>
    <row r="123" spans="1:16" s="1" customFormat="1" ht="15" customHeight="1">
      <c r="A123" s="12"/>
      <c r="C123" s="110" t="s">
        <v>629</v>
      </c>
      <c r="D123" s="524" t="s">
        <v>15</v>
      </c>
      <c r="E123" s="525"/>
      <c r="F123" s="525"/>
      <c r="G123" s="526"/>
      <c r="H123" s="519" t="s">
        <v>638</v>
      </c>
      <c r="I123" s="520"/>
      <c r="J123" s="517">
        <v>2200</v>
      </c>
      <c r="N123" s="248">
        <v>10</v>
      </c>
      <c r="P123" s="336" t="s">
        <v>392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8">
        <v>12</v>
      </c>
      <c r="P124" s="335" t="s">
        <v>393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425"/>
      <c r="L125" s="77"/>
      <c r="N125" s="248">
        <v>14</v>
      </c>
      <c r="P125" s="335" t="s">
        <v>394</v>
      </c>
    </row>
    <row r="126" spans="1:16" s="1" customFormat="1" ht="15" customHeight="1">
      <c r="A126" s="428"/>
      <c r="B126" s="428"/>
      <c r="C126" s="423" t="s">
        <v>631</v>
      </c>
      <c r="D126" s="15"/>
      <c r="H126" s="519" t="s">
        <v>639</v>
      </c>
      <c r="I126" s="520"/>
      <c r="J126" s="517">
        <v>2100</v>
      </c>
      <c r="K126" s="425"/>
      <c r="L126" s="77"/>
      <c r="N126" s="248">
        <v>18</v>
      </c>
      <c r="P126" s="335" t="s">
        <v>395</v>
      </c>
    </row>
    <row r="127" spans="1:16" s="1" customFormat="1" ht="15" customHeight="1">
      <c r="A127" s="428"/>
      <c r="B127" s="428"/>
      <c r="C127" s="110" t="s">
        <v>633</v>
      </c>
      <c r="D127" s="534">
        <v>5</v>
      </c>
      <c r="E127" s="535"/>
      <c r="F127" s="535"/>
      <c r="G127" s="536"/>
      <c r="H127" s="520"/>
      <c r="I127" s="520"/>
      <c r="J127" s="518"/>
      <c r="N127" s="248">
        <v>20</v>
      </c>
      <c r="P127" s="335" t="s">
        <v>396</v>
      </c>
    </row>
    <row r="128" spans="1:16" s="1" customFormat="1" ht="18.75" customHeight="1">
      <c r="C128" s="423" t="s">
        <v>632</v>
      </c>
      <c r="I128" s="12"/>
      <c r="J128" s="12"/>
      <c r="N128" s="248">
        <v>22</v>
      </c>
      <c r="P128" s="335" t="s">
        <v>397</v>
      </c>
    </row>
    <row r="129" spans="1:23" s="1" customFormat="1" ht="15" customHeight="1">
      <c r="A129" s="88" t="str">
        <f>A18</f>
        <v>240-3 Panel (1L2R)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23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314</v>
      </c>
      <c r="G133" s="186">
        <v>1</v>
      </c>
      <c r="H133" s="186" t="s">
        <v>52</v>
      </c>
      <c r="I133" s="124">
        <f>$J$126-60</f>
        <v>2040</v>
      </c>
      <c r="J133" s="125">
        <f t="shared" ref="J133:J157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6</v>
      </c>
      <c r="U133" s="283" t="s">
        <v>291</v>
      </c>
      <c r="V133" s="307">
        <f>($J$126-182-(113.25*2))/3</f>
        <v>563.83333333333337</v>
      </c>
      <c r="W133" s="286">
        <f>$J$119*T133</f>
        <v>0</v>
      </c>
    </row>
    <row r="134" spans="1:23" s="1" customFormat="1" ht="18" customHeight="1">
      <c r="A134" s="129">
        <f t="shared" ref="A134:A157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2014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6</v>
      </c>
      <c r="U134" s="129" t="s">
        <v>291</v>
      </c>
      <c r="V134" s="307">
        <f t="shared" ref="V134:V135" si="2">($J$126-182-(113.25*2))/3</f>
        <v>563.83333333333337</v>
      </c>
      <c r="W134" s="131">
        <f t="shared" ref="W134:W135" si="3">$J$119*T134</f>
        <v>0</v>
      </c>
    </row>
    <row r="135" spans="1:23" s="1" customFormat="1" ht="18" customHeight="1">
      <c r="A135" s="129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2040</v>
      </c>
      <c r="J135" s="131">
        <f t="shared" si="0"/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6</v>
      </c>
      <c r="U135" s="135" t="s">
        <v>291</v>
      </c>
      <c r="V135" s="307">
        <f t="shared" si="2"/>
        <v>563.83333333333337</v>
      </c>
      <c r="W135" s="293">
        <f t="shared" si="3"/>
        <v>0</v>
      </c>
    </row>
    <row r="136" spans="1:23" s="1" customFormat="1" ht="18" customHeight="1">
      <c r="A136" s="129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2040</v>
      </c>
      <c r="J136" s="131">
        <f t="shared" si="0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6</v>
      </c>
      <c r="U136" s="283" t="s">
        <v>64</v>
      </c>
      <c r="V136" s="288">
        <f>$J$123-242</f>
        <v>1958</v>
      </c>
      <c r="W136" s="286">
        <f>$J$119*T136</f>
        <v>0</v>
      </c>
    </row>
    <row r="137" spans="1:23" s="1" customFormat="1" ht="18" customHeight="1">
      <c r="A137" s="129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2200</v>
      </c>
      <c r="J137" s="131">
        <f t="shared" si="0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6</v>
      </c>
      <c r="U137" s="129" t="s">
        <v>64</v>
      </c>
      <c r="V137" s="130">
        <f>$J$123-242</f>
        <v>1958</v>
      </c>
      <c r="W137" s="131">
        <f t="shared" ref="W137:W138" si="4">$J$119*T137</f>
        <v>0</v>
      </c>
    </row>
    <row r="138" spans="1:23" s="1" customFormat="1" ht="18" customHeight="1">
      <c r="A138" s="129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505</v>
      </c>
      <c r="G138" s="143">
        <v>1</v>
      </c>
      <c r="H138" s="143" t="s">
        <v>61</v>
      </c>
      <c r="I138" s="130">
        <f>$J$123</f>
        <v>2200</v>
      </c>
      <c r="J138" s="131">
        <f t="shared" si="0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6</v>
      </c>
      <c r="U138" s="135" t="s">
        <v>64</v>
      </c>
      <c r="V138" s="136">
        <f>$J$123-242</f>
        <v>1958</v>
      </c>
      <c r="W138" s="293">
        <f t="shared" si="4"/>
        <v>0</v>
      </c>
    </row>
    <row r="139" spans="1:23" s="1" customFormat="1" ht="18" customHeight="1">
      <c r="A139" s="129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2104</v>
      </c>
      <c r="J139" s="131">
        <f t="shared" si="0"/>
        <v>1</v>
      </c>
      <c r="N139" s="98"/>
    </row>
    <row r="140" spans="1:23" s="1" customFormat="1" ht="18" customHeight="1">
      <c r="A140" s="129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2104</v>
      </c>
      <c r="J140" s="131">
        <f t="shared" si="0"/>
        <v>1</v>
      </c>
      <c r="N140" s="98"/>
    </row>
    <row r="141" spans="1:23" s="1" customFormat="1" ht="18" customHeight="1">
      <c r="A141" s="129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3</v>
      </c>
      <c r="H141" s="143" t="s">
        <v>291</v>
      </c>
      <c r="I141" s="178">
        <f>($J$126-182-(113.25*2))/3</f>
        <v>563.83333333333337</v>
      </c>
      <c r="J141" s="131">
        <f t="shared" si="0"/>
        <v>3</v>
      </c>
      <c r="N141" s="98"/>
    </row>
    <row r="142" spans="1:23" s="1" customFormat="1" ht="18" customHeight="1">
      <c r="A142" s="129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3</v>
      </c>
      <c r="H142" s="143" t="s">
        <v>291</v>
      </c>
      <c r="I142" s="178">
        <f>($J$126-182-(113.25*2))/3</f>
        <v>563.83333333333337</v>
      </c>
      <c r="J142" s="131">
        <f t="shared" si="0"/>
        <v>3</v>
      </c>
      <c r="N142" s="98"/>
    </row>
    <row r="143" spans="1:23" s="1" customFormat="1" ht="18" customHeight="1">
      <c r="A143" s="129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4</v>
      </c>
      <c r="H143" s="143" t="s">
        <v>63</v>
      </c>
      <c r="I143" s="130">
        <f>$J$123-92</f>
        <v>2108</v>
      </c>
      <c r="J143" s="131">
        <f t="shared" si="0"/>
        <v>4</v>
      </c>
      <c r="N143" s="98"/>
    </row>
    <row r="144" spans="1:23" s="1" customFormat="1" ht="18" customHeight="1">
      <c r="A144" s="129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1</v>
      </c>
      <c r="H144" s="143" t="s">
        <v>63</v>
      </c>
      <c r="I144" s="130">
        <f>$J$123-92</f>
        <v>2108</v>
      </c>
      <c r="J144" s="131">
        <f t="shared" si="0"/>
        <v>1</v>
      </c>
      <c r="N144" s="98"/>
    </row>
    <row r="145" spans="1:14" s="1" customFormat="1" ht="18" customHeight="1">
      <c r="A145" s="129">
        <f t="shared" si="1"/>
        <v>13</v>
      </c>
      <c r="B145" s="140" t="s">
        <v>116</v>
      </c>
      <c r="C145" s="140" t="s">
        <v>99</v>
      </c>
      <c r="D145" s="139" t="s">
        <v>50</v>
      </c>
      <c r="E145" s="143">
        <v>1.1060000000000001</v>
      </c>
      <c r="F145" s="139" t="s">
        <v>506</v>
      </c>
      <c r="G145" s="143">
        <v>1</v>
      </c>
      <c r="H145" s="143" t="s">
        <v>63</v>
      </c>
      <c r="I145" s="130">
        <f>$J$123-92</f>
        <v>2108</v>
      </c>
      <c r="J145" s="131">
        <f t="shared" si="0"/>
        <v>1</v>
      </c>
      <c r="N145" s="98"/>
    </row>
    <row r="146" spans="1:14" s="1" customFormat="1" ht="18" customHeight="1">
      <c r="A146" s="129">
        <f t="shared" si="1"/>
        <v>14</v>
      </c>
      <c r="B146" s="140" t="str">
        <f t="shared" ref="B146:I146" si="5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40" t="str">
        <f t="shared" si="5"/>
        <v>5-6mm GLAZING BEAD HORIZONTAL</v>
      </c>
      <c r="D146" s="140" t="str">
        <f t="shared" si="5"/>
        <v>B24008</v>
      </c>
      <c r="E146" s="140">
        <f t="shared" si="5"/>
        <v>0.23100000000000001</v>
      </c>
      <c r="F146" s="140" t="str">
        <f t="shared" si="5"/>
        <v>B24008-001</v>
      </c>
      <c r="G146" s="129">
        <f t="shared" si="5"/>
        <v>6</v>
      </c>
      <c r="H146" s="129" t="str">
        <f t="shared" si="5"/>
        <v>(W-182-(113.25 × 2))/3</v>
      </c>
      <c r="I146" s="178">
        <f t="shared" si="5"/>
        <v>563.83333333333337</v>
      </c>
      <c r="J146" s="131">
        <f t="shared" si="0"/>
        <v>6</v>
      </c>
      <c r="N146" s="98"/>
    </row>
    <row r="147" spans="1:14" s="1" customFormat="1" ht="18" customHeight="1">
      <c r="A147" s="129">
        <f t="shared" si="1"/>
        <v>15</v>
      </c>
      <c r="B147" s="127" t="str">
        <f t="shared" ref="B147:I147" si="6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27" t="str">
        <f t="shared" si="6"/>
        <v>5-6mm GLAZING BEAD VERTICAL</v>
      </c>
      <c r="D147" s="127" t="str">
        <f t="shared" si="6"/>
        <v>B24008</v>
      </c>
      <c r="E147" s="127">
        <f t="shared" si="6"/>
        <v>0.23100000000000001</v>
      </c>
      <c r="F147" s="127" t="str">
        <f t="shared" si="6"/>
        <v>B24008-002</v>
      </c>
      <c r="G147" s="129">
        <f t="shared" si="6"/>
        <v>6</v>
      </c>
      <c r="H147" s="129" t="str">
        <f t="shared" si="6"/>
        <v>H-242</v>
      </c>
      <c r="I147" s="144">
        <f t="shared" si="6"/>
        <v>1958</v>
      </c>
      <c r="J147" s="131">
        <f t="shared" si="0"/>
        <v>6</v>
      </c>
      <c r="N147" s="98"/>
    </row>
    <row r="148" spans="1:14" s="1" customFormat="1" ht="18" customHeight="1">
      <c r="A148" s="129">
        <f t="shared" si="1"/>
        <v>16</v>
      </c>
      <c r="B148" s="127" t="s">
        <v>125</v>
      </c>
      <c r="C148" s="127" t="s">
        <v>124</v>
      </c>
      <c r="D148" s="139" t="s">
        <v>123</v>
      </c>
      <c r="E148" s="129"/>
      <c r="F148" s="128" t="s">
        <v>362</v>
      </c>
      <c r="G148" s="129">
        <v>1</v>
      </c>
      <c r="H148" s="129" t="s">
        <v>63</v>
      </c>
      <c r="I148" s="130">
        <f>$J$123-92</f>
        <v>2108</v>
      </c>
      <c r="J148" s="131">
        <f t="shared" si="0"/>
        <v>1</v>
      </c>
      <c r="N148" s="98"/>
    </row>
    <row r="149" spans="1:14" s="1" customFormat="1" ht="18" customHeight="1">
      <c r="A149" s="129">
        <f t="shared" si="1"/>
        <v>17</v>
      </c>
      <c r="B149" s="127" t="s">
        <v>125</v>
      </c>
      <c r="C149" s="127" t="s">
        <v>152</v>
      </c>
      <c r="D149" s="139" t="s">
        <v>123</v>
      </c>
      <c r="E149" s="129"/>
      <c r="F149" s="128" t="s">
        <v>363</v>
      </c>
      <c r="G149" s="129">
        <v>1</v>
      </c>
      <c r="H149" s="129" t="s">
        <v>63</v>
      </c>
      <c r="I149" s="130">
        <f>$J$123-92</f>
        <v>2108</v>
      </c>
      <c r="J149" s="131">
        <f t="shared" si="0"/>
        <v>1</v>
      </c>
      <c r="N149" s="98"/>
    </row>
    <row r="150" spans="1:14" s="1" customFormat="1" ht="18" customHeight="1">
      <c r="A150" s="129" t="str">
        <f t="shared" si="1"/>
        <v/>
      </c>
      <c r="B150" s="127"/>
      <c r="C150" s="127"/>
      <c r="D150" s="139"/>
      <c r="E150" s="129"/>
      <c r="F150" s="128"/>
      <c r="G150" s="129"/>
      <c r="H150" s="129"/>
      <c r="I150" s="144"/>
      <c r="J150" s="131">
        <f t="shared" si="0"/>
        <v>0</v>
      </c>
      <c r="N150" s="98"/>
    </row>
    <row r="151" spans="1:14" s="1" customFormat="1" ht="18" customHeight="1">
      <c r="A151" s="129" t="str">
        <f t="shared" si="1"/>
        <v/>
      </c>
      <c r="B151" s="127"/>
      <c r="C151" s="127"/>
      <c r="D151" s="139"/>
      <c r="E151" s="129"/>
      <c r="F151" s="128"/>
      <c r="G151" s="129"/>
      <c r="H151" s="129"/>
      <c r="I151" s="144"/>
      <c r="J151" s="131"/>
      <c r="N151" s="98"/>
    </row>
    <row r="152" spans="1:14" s="1" customFormat="1" ht="18" customHeight="1">
      <c r="A152" s="129" t="str">
        <f t="shared" si="1"/>
        <v/>
      </c>
      <c r="B152" s="127"/>
      <c r="C152" s="127"/>
      <c r="D152" s="139"/>
      <c r="E152" s="129"/>
      <c r="F152" s="128"/>
      <c r="G152" s="129"/>
      <c r="H152" s="129"/>
      <c r="I152" s="144"/>
      <c r="J152" s="131">
        <f t="shared" si="0"/>
        <v>0</v>
      </c>
      <c r="N152" s="98"/>
    </row>
    <row r="153" spans="1:14" s="1" customFormat="1" ht="18" customHeight="1">
      <c r="A153" s="129" t="str">
        <f t="shared" si="1"/>
        <v/>
      </c>
      <c r="B153" s="127"/>
      <c r="C153" s="127"/>
      <c r="D153" s="139"/>
      <c r="E153" s="129"/>
      <c r="F153" s="128"/>
      <c r="G153" s="129"/>
      <c r="H153" s="129"/>
      <c r="I153" s="144"/>
      <c r="J153" s="131">
        <f t="shared" si="0"/>
        <v>0</v>
      </c>
      <c r="N153" s="98"/>
    </row>
    <row r="154" spans="1:14" s="1" customFormat="1" ht="18" customHeight="1">
      <c r="A154" s="129" t="str">
        <f t="shared" si="1"/>
        <v/>
      </c>
      <c r="B154" s="127"/>
      <c r="C154" s="127"/>
      <c r="D154" s="139"/>
      <c r="E154" s="129"/>
      <c r="F154" s="128"/>
      <c r="G154" s="129"/>
      <c r="H154" s="129"/>
      <c r="I154" s="144"/>
      <c r="J154" s="131">
        <f t="shared" si="0"/>
        <v>0</v>
      </c>
      <c r="N154" s="98"/>
    </row>
    <row r="155" spans="1:14" s="1" customFormat="1" ht="18" customHeight="1">
      <c r="A155" s="129" t="str">
        <f t="shared" si="1"/>
        <v/>
      </c>
      <c r="B155" s="127"/>
      <c r="C155" s="127"/>
      <c r="D155" s="139"/>
      <c r="E155" s="129"/>
      <c r="F155" s="128"/>
      <c r="G155" s="129"/>
      <c r="H155" s="129"/>
      <c r="I155" s="144"/>
      <c r="J155" s="131">
        <f t="shared" si="0"/>
        <v>0</v>
      </c>
      <c r="N155" s="98"/>
    </row>
    <row r="156" spans="1:14" s="1" customFormat="1" ht="18" customHeight="1">
      <c r="A156" s="129" t="str">
        <f t="shared" si="1"/>
        <v/>
      </c>
      <c r="B156" s="127"/>
      <c r="C156" s="127"/>
      <c r="D156" s="139"/>
      <c r="E156" s="129"/>
      <c r="F156" s="128"/>
      <c r="G156" s="129"/>
      <c r="H156" s="129"/>
      <c r="I156" s="144"/>
      <c r="J156" s="131">
        <f t="shared" si="0"/>
        <v>0</v>
      </c>
      <c r="N156" s="98"/>
    </row>
    <row r="157" spans="1:14" s="1" customFormat="1" ht="18" customHeight="1" thickBot="1">
      <c r="A157" s="129" t="str">
        <f t="shared" si="1"/>
        <v/>
      </c>
      <c r="B157" s="167"/>
      <c r="C157" s="167"/>
      <c r="D157" s="168"/>
      <c r="E157" s="166"/>
      <c r="F157" s="168"/>
      <c r="G157" s="166"/>
      <c r="H157" s="166"/>
      <c r="I157" s="171"/>
      <c r="J157" s="172">
        <f t="shared" si="0"/>
        <v>0</v>
      </c>
    </row>
    <row r="158" spans="1:14" s="1" customFormat="1" ht="27" outlineLevel="1" thickBot="1">
      <c r="A158" s="169" t="s">
        <v>2</v>
      </c>
      <c r="B158" s="169" t="s">
        <v>29</v>
      </c>
      <c r="C158" s="169" t="s">
        <v>3</v>
      </c>
      <c r="D158" s="169" t="s">
        <v>4</v>
      </c>
      <c r="E158" s="169" t="s">
        <v>5</v>
      </c>
      <c r="F158" s="177" t="s">
        <v>85</v>
      </c>
      <c r="G158" s="169" t="s">
        <v>22</v>
      </c>
      <c r="H158" s="170" t="s">
        <v>23</v>
      </c>
      <c r="I158" s="540"/>
      <c r="J158" s="541"/>
    </row>
    <row r="159" spans="1:14" s="1" customFormat="1" ht="15" customHeight="1" outlineLevel="1">
      <c r="A159" s="21">
        <f>IF(B159="","",1)</f>
        <v>1</v>
      </c>
      <c r="B159" s="173" t="str">
        <f t="shared" ref="B159:C165" si="7">B133</f>
        <v>เฟรมบน</v>
      </c>
      <c r="C159" s="173" t="str">
        <f t="shared" si="7"/>
        <v>HEAD</v>
      </c>
      <c r="D159" s="430" t="str">
        <f>VLOOKUP(C159,$C$133:$H$157,2,0)</f>
        <v>B24001</v>
      </c>
      <c r="E159" s="175">
        <f t="shared" ref="E159:E175" si="8">VLOOKUP(C159,$C$133:$H$157,3,0)</f>
        <v>1.603</v>
      </c>
      <c r="F159" s="175">
        <f>VLOOKUP(C159,$C$133:$J$157,7,0)</f>
        <v>2040</v>
      </c>
      <c r="G159" s="175">
        <f t="shared" ref="G159:G175" si="9">VLOOKUP(C159,$C$133:$J$157,8,0)</f>
        <v>1</v>
      </c>
      <c r="H159" s="176">
        <f>ROUNDUP((F159*G159)/6400,0)</f>
        <v>1</v>
      </c>
      <c r="I159" s="500"/>
      <c r="J159" s="501"/>
    </row>
    <row r="160" spans="1:14" s="1" customFormat="1" ht="15" customHeight="1" outlineLevel="1">
      <c r="A160" s="18">
        <f t="shared" ref="A160:A175" si="10">IF(B160="","",+A159+1)</f>
        <v>2</v>
      </c>
      <c r="B160" s="173" t="str">
        <f>B134</f>
        <v>บังใบบน</v>
      </c>
      <c r="C160" s="173" t="str">
        <f t="shared" si="7"/>
        <v>DOOR STOP HEAD</v>
      </c>
      <c r="D160" s="430" t="str">
        <f>VLOOKUP(C160,$C$133:$H$157,2,0)</f>
        <v>B24002</v>
      </c>
      <c r="E160" s="175">
        <f t="shared" si="8"/>
        <v>0.27800000000000002</v>
      </c>
      <c r="F160" s="175">
        <f t="shared" ref="F160:F175" si="11">VLOOKUP(C160,$C$133:$I$157,7,0)</f>
        <v>2014</v>
      </c>
      <c r="G160" s="175">
        <f t="shared" si="9"/>
        <v>1</v>
      </c>
      <c r="H160" s="176">
        <f>ROUNDUP((F160*G160)/6400,0)</f>
        <v>1</v>
      </c>
      <c r="I160" s="500"/>
      <c r="J160" s="501"/>
    </row>
    <row r="161" spans="1:36" s="1" customFormat="1" ht="15" customHeight="1" outlineLevel="1">
      <c r="A161" s="18">
        <f t="shared" si="10"/>
        <v>3</v>
      </c>
      <c r="B161" s="173" t="str">
        <f t="shared" ref="B161:C175" si="12">B135</f>
        <v xml:space="preserve">เฟรมล่าง </v>
      </c>
      <c r="C161" s="173" t="str">
        <f t="shared" si="7"/>
        <v>SILL</v>
      </c>
      <c r="D161" s="430" t="str">
        <f>VLOOKUP(C161,$C$133:$H$157,2,0)</f>
        <v>B24003</v>
      </c>
      <c r="E161" s="175">
        <f t="shared" si="8"/>
        <v>1.603</v>
      </c>
      <c r="F161" s="175">
        <f t="shared" si="11"/>
        <v>2040</v>
      </c>
      <c r="G161" s="175">
        <f t="shared" si="9"/>
        <v>1</v>
      </c>
      <c r="H161" s="176">
        <f t="shared" ref="H161:H162" si="13">ROUNDUP((F161*G161)/6400,0)</f>
        <v>1</v>
      </c>
      <c r="I161" s="500"/>
      <c r="J161" s="501"/>
    </row>
    <row r="162" spans="1:36" s="1" customFormat="1" ht="15" customHeight="1" outlineLevel="1">
      <c r="A162" s="18">
        <f t="shared" si="10"/>
        <v>4</v>
      </c>
      <c r="B162" s="173" t="str">
        <f t="shared" si="12"/>
        <v>ตัวตับธรณี</v>
      </c>
      <c r="C162" s="173" t="str">
        <f t="shared" si="7"/>
        <v>DOOR STOP SILL</v>
      </c>
      <c r="D162" s="430" t="str">
        <f>VLOOKUP(C162,$C$133:$H$157,2,0)</f>
        <v>B24004</v>
      </c>
      <c r="E162" s="175">
        <f t="shared" si="8"/>
        <v>0.51600000000000001</v>
      </c>
      <c r="F162" s="175">
        <f t="shared" si="11"/>
        <v>2040</v>
      </c>
      <c r="G162" s="175">
        <f t="shared" si="9"/>
        <v>1</v>
      </c>
      <c r="H162" s="176">
        <f t="shared" si="13"/>
        <v>1</v>
      </c>
      <c r="I162" s="500"/>
      <c r="J162" s="501"/>
    </row>
    <row r="163" spans="1:36" s="1" customFormat="1" ht="15" customHeight="1" outlineLevel="1">
      <c r="A163" s="18">
        <f t="shared" si="10"/>
        <v>5</v>
      </c>
      <c r="B163" s="173" t="str">
        <f t="shared" si="12"/>
        <v>เฟรมข้าง (ซ้าย)</v>
      </c>
      <c r="C163" s="173" t="str">
        <f t="shared" si="7"/>
        <v>JAMB (L)</v>
      </c>
      <c r="D163" s="508" t="str">
        <f>VLOOKUP(C163,$C$133:$H$157,2,0)</f>
        <v>B24005</v>
      </c>
      <c r="E163" s="175">
        <f t="shared" si="8"/>
        <v>0.89300000000000002</v>
      </c>
      <c r="F163" s="175">
        <f t="shared" si="11"/>
        <v>2200</v>
      </c>
      <c r="G163" s="175">
        <f t="shared" si="9"/>
        <v>1</v>
      </c>
      <c r="H163" s="516">
        <f>ROUNDUP(((F163*G163)+(F164*G164))/6400,0)</f>
        <v>1</v>
      </c>
      <c r="I163" s="506"/>
      <c r="J163" s="506"/>
    </row>
    <row r="164" spans="1:36" s="1" customFormat="1" ht="15" customHeight="1" outlineLevel="1">
      <c r="A164" s="18">
        <f t="shared" si="10"/>
        <v>6</v>
      </c>
      <c r="B164" s="173" t="str">
        <f t="shared" si="12"/>
        <v>เฟรมข้าง (ขวา)</v>
      </c>
      <c r="C164" s="173" t="str">
        <f t="shared" si="7"/>
        <v>JAMB (R)</v>
      </c>
      <c r="D164" s="509"/>
      <c r="E164" s="175">
        <f t="shared" si="8"/>
        <v>0.89300000000000002</v>
      </c>
      <c r="F164" s="175">
        <f t="shared" si="11"/>
        <v>2200</v>
      </c>
      <c r="G164" s="175">
        <f t="shared" si="9"/>
        <v>1</v>
      </c>
      <c r="H164" s="516"/>
      <c r="I164" s="506"/>
      <c r="J164" s="506"/>
    </row>
    <row r="165" spans="1:36" s="1" customFormat="1" ht="15" customHeight="1" outlineLevel="1">
      <c r="A165" s="18">
        <f t="shared" si="10"/>
        <v>7</v>
      </c>
      <c r="B165" s="173" t="str">
        <f t="shared" si="12"/>
        <v>บังใบข้าง (ซ้าย)</v>
      </c>
      <c r="C165" s="173" t="str">
        <f t="shared" si="7"/>
        <v>DOOR STOP JAMB (L)</v>
      </c>
      <c r="D165" s="508" t="str">
        <f>VLOOKUP(C165,$C$133:$H$157,2,0)</f>
        <v>B24006</v>
      </c>
      <c r="E165" s="175">
        <f t="shared" si="8"/>
        <v>0.23499999999999999</v>
      </c>
      <c r="F165" s="175">
        <f t="shared" si="11"/>
        <v>2104</v>
      </c>
      <c r="G165" s="175">
        <f t="shared" si="9"/>
        <v>1</v>
      </c>
      <c r="H165" s="516">
        <f>ROUNDUP(((F165*G165)+(F166*G166))/6400,0)</f>
        <v>1</v>
      </c>
      <c r="I165" s="500"/>
      <c r="J165" s="501"/>
    </row>
    <row r="166" spans="1:36" s="1" customFormat="1" ht="15" customHeight="1" outlineLevel="1">
      <c r="A166" s="18">
        <f t="shared" si="10"/>
        <v>8</v>
      </c>
      <c r="B166" s="173" t="str">
        <f t="shared" si="12"/>
        <v>บังใบข้าง (ขวา)</v>
      </c>
      <c r="C166" s="173" t="str">
        <f t="shared" si="12"/>
        <v>DOOR STOP JAMB (R)</v>
      </c>
      <c r="D166" s="509"/>
      <c r="E166" s="175">
        <f t="shared" si="8"/>
        <v>0.23499999999999999</v>
      </c>
      <c r="F166" s="175">
        <f t="shared" si="11"/>
        <v>2104</v>
      </c>
      <c r="G166" s="175">
        <f t="shared" si="9"/>
        <v>1</v>
      </c>
      <c r="H166" s="516"/>
      <c r="I166" s="533"/>
      <c r="J166" s="506"/>
    </row>
    <row r="167" spans="1:36" s="1" customFormat="1" ht="13.8" outlineLevel="1">
      <c r="A167" s="18">
        <f t="shared" si="10"/>
        <v>9</v>
      </c>
      <c r="B167" s="173" t="str">
        <f t="shared" si="12"/>
        <v>ขวางบน</v>
      </c>
      <c r="C167" s="173" t="str">
        <f t="shared" si="12"/>
        <v>SASH (Hor) (T)</v>
      </c>
      <c r="D167" s="508" t="str">
        <f t="shared" ref="D167:D172" si="14">VLOOKUP(C167,$C$133:$H$157,2,0)</f>
        <v>B24007</v>
      </c>
      <c r="E167" s="175">
        <f t="shared" si="8"/>
        <v>1.1060000000000001</v>
      </c>
      <c r="F167" s="175">
        <f t="shared" si="11"/>
        <v>563.83333333333337</v>
      </c>
      <c r="G167" s="175">
        <f t="shared" si="9"/>
        <v>3</v>
      </c>
      <c r="H167" s="512">
        <f>ROUNDUP(((F167*G167)+(F168*G168)+(F169*G169)+(F170*G170)+(F171*G171))/6400,0)</f>
        <v>3</v>
      </c>
      <c r="I167" s="533"/>
      <c r="J167" s="506"/>
    </row>
    <row r="168" spans="1:36" s="1" customFormat="1" ht="13.8" outlineLevel="1">
      <c r="A168" s="18">
        <f t="shared" si="10"/>
        <v>10</v>
      </c>
      <c r="B168" s="173" t="str">
        <f t="shared" si="12"/>
        <v>ขวางล่าง</v>
      </c>
      <c r="C168" s="173" t="str">
        <f t="shared" si="12"/>
        <v>SASH (Hor) (B)</v>
      </c>
      <c r="D168" s="510"/>
      <c r="E168" s="175">
        <f t="shared" si="8"/>
        <v>1.1060000000000001</v>
      </c>
      <c r="F168" s="175">
        <f t="shared" si="11"/>
        <v>563.83333333333337</v>
      </c>
      <c r="G168" s="175">
        <f t="shared" si="9"/>
        <v>3</v>
      </c>
      <c r="H168" s="514"/>
      <c r="I168" s="533"/>
      <c r="J168" s="506"/>
    </row>
    <row r="169" spans="1:36" s="1" customFormat="1" ht="13.8" outlineLevel="1">
      <c r="A169" s="18">
        <f t="shared" si="10"/>
        <v>11</v>
      </c>
      <c r="B169" s="173" t="str">
        <f t="shared" si="12"/>
        <v>เสา</v>
      </c>
      <c r="C169" s="173" t="str">
        <f t="shared" si="12"/>
        <v xml:space="preserve">SASH (Ver) </v>
      </c>
      <c r="D169" s="510"/>
      <c r="E169" s="175">
        <f t="shared" si="8"/>
        <v>1.1060000000000001</v>
      </c>
      <c r="F169" s="175">
        <f t="shared" si="11"/>
        <v>2108</v>
      </c>
      <c r="G169" s="175">
        <f t="shared" si="9"/>
        <v>4</v>
      </c>
      <c r="H169" s="514"/>
      <c r="I169" s="533"/>
      <c r="J169" s="506"/>
    </row>
    <row r="170" spans="1:36" s="1" customFormat="1" ht="13.8" outlineLevel="1">
      <c r="A170" s="18">
        <f t="shared" si="10"/>
        <v>12</v>
      </c>
      <c r="B170" s="173" t="str">
        <f t="shared" si="12"/>
        <v>เสากุญแจ</v>
      </c>
      <c r="C170" s="173" t="str">
        <f t="shared" si="12"/>
        <v xml:space="preserve">SASH (Ver) LOCK </v>
      </c>
      <c r="D170" s="510"/>
      <c r="E170" s="175">
        <f t="shared" si="8"/>
        <v>1.1060000000000001</v>
      </c>
      <c r="F170" s="175">
        <f t="shared" si="11"/>
        <v>2108</v>
      </c>
      <c r="G170" s="175">
        <f t="shared" si="9"/>
        <v>1</v>
      </c>
      <c r="H170" s="514"/>
      <c r="I170" s="533"/>
      <c r="J170" s="506"/>
    </row>
    <row r="171" spans="1:36" s="1" customFormat="1" ht="13.8" outlineLevel="1">
      <c r="A171" s="18">
        <f t="shared" si="10"/>
        <v>13</v>
      </c>
      <c r="B171" s="173" t="str">
        <f t="shared" si="12"/>
        <v>เสากุญแจมือจับ</v>
      </c>
      <c r="C171" s="173" t="str">
        <f t="shared" si="12"/>
        <v>SASH (Ver) LOCK HANDLE</v>
      </c>
      <c r="D171" s="509"/>
      <c r="E171" s="175">
        <f t="shared" si="8"/>
        <v>1.1060000000000001</v>
      </c>
      <c r="F171" s="175">
        <f t="shared" si="11"/>
        <v>2108</v>
      </c>
      <c r="G171" s="175">
        <f t="shared" si="9"/>
        <v>1</v>
      </c>
      <c r="H171" s="515"/>
      <c r="I171" s="533"/>
      <c r="J171" s="506"/>
    </row>
    <row r="172" spans="1:36" s="1" customFormat="1" ht="13.8" outlineLevel="1">
      <c r="A172" s="18">
        <f t="shared" si="10"/>
        <v>14</v>
      </c>
      <c r="B172" s="173" t="str">
        <f t="shared" si="12"/>
        <v>5-6mm คิ้วตบกระจกแนวนอน</v>
      </c>
      <c r="C172" s="173" t="str">
        <f t="shared" si="12"/>
        <v>5-6mm GLAZING BEAD HORIZONTAL</v>
      </c>
      <c r="D172" s="508" t="str">
        <f t="shared" si="14"/>
        <v>B24008</v>
      </c>
      <c r="E172" s="175">
        <f t="shared" si="8"/>
        <v>0.23100000000000001</v>
      </c>
      <c r="F172" s="175">
        <f t="shared" si="11"/>
        <v>563.83333333333337</v>
      </c>
      <c r="G172" s="175">
        <f t="shared" si="9"/>
        <v>6</v>
      </c>
      <c r="H172" s="516">
        <f>ROUNDUP(((F172*G172)+(F173*G173))/6400,0)</f>
        <v>3</v>
      </c>
      <c r="I172" s="500"/>
      <c r="J172" s="501"/>
    </row>
    <row r="173" spans="1:36" s="1" customFormat="1" ht="13.8" outlineLevel="1">
      <c r="A173" s="18">
        <f t="shared" si="10"/>
        <v>15</v>
      </c>
      <c r="B173" s="173" t="str">
        <f t="shared" si="12"/>
        <v>5-6mm คิ้วตบกระจกแนวตั้ง</v>
      </c>
      <c r="C173" s="173" t="str">
        <f t="shared" si="12"/>
        <v>5-6mm GLAZING BEAD VERTICAL</v>
      </c>
      <c r="D173" s="509"/>
      <c r="E173" s="175">
        <f t="shared" si="8"/>
        <v>0.23100000000000001</v>
      </c>
      <c r="F173" s="175">
        <f t="shared" si="11"/>
        <v>1958</v>
      </c>
      <c r="G173" s="175">
        <f t="shared" si="9"/>
        <v>6</v>
      </c>
      <c r="H173" s="516"/>
      <c r="I173" s="426"/>
      <c r="J173" s="427"/>
    </row>
    <row r="174" spans="1:36" s="1" customFormat="1" ht="13.8" outlineLevel="1">
      <c r="A174" s="18">
        <f t="shared" si="10"/>
        <v>16</v>
      </c>
      <c r="B174" s="173" t="str">
        <f t="shared" si="12"/>
        <v>บังใบ</v>
      </c>
      <c r="C174" s="173" t="str">
        <f t="shared" si="12"/>
        <v>SASH STOP</v>
      </c>
      <c r="D174" s="508" t="str">
        <f t="shared" ref="D174" si="15">VLOOKUP(C174,$C$133:$H$157,2,0)</f>
        <v>B24009</v>
      </c>
      <c r="E174" s="175">
        <f t="shared" si="8"/>
        <v>0</v>
      </c>
      <c r="F174" s="175">
        <f t="shared" si="11"/>
        <v>2108</v>
      </c>
      <c r="G174" s="175">
        <f t="shared" si="9"/>
        <v>1</v>
      </c>
      <c r="H174" s="516">
        <f>ROUNDUP(((F174*G174)+(F175*G175))/6400,0)</f>
        <v>1</v>
      </c>
      <c r="I174" s="426"/>
      <c r="J174" s="427"/>
    </row>
    <row r="175" spans="1:36" s="23" customFormat="1" ht="15" customHeight="1" outlineLevel="1" thickBot="1">
      <c r="A175" s="18">
        <f t="shared" si="10"/>
        <v>17</v>
      </c>
      <c r="B175" s="173" t="str">
        <f t="shared" si="12"/>
        <v>บังใบ</v>
      </c>
      <c r="C175" s="173" t="str">
        <f t="shared" si="12"/>
        <v xml:space="preserve">SASH STOP </v>
      </c>
      <c r="D175" s="511"/>
      <c r="E175" s="175">
        <f t="shared" si="8"/>
        <v>0</v>
      </c>
      <c r="F175" s="175">
        <f t="shared" si="11"/>
        <v>2108</v>
      </c>
      <c r="G175" s="175">
        <f t="shared" si="9"/>
        <v>1</v>
      </c>
      <c r="H175" s="516"/>
      <c r="I175" s="500"/>
      <c r="J175" s="50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s="1" customFormat="1" ht="24.9" customHeight="1" thickBot="1">
      <c r="A176" s="529" t="s">
        <v>9</v>
      </c>
      <c r="B176" s="530"/>
      <c r="C176" s="530"/>
      <c r="D176" s="530"/>
      <c r="E176" s="530"/>
      <c r="F176" s="530"/>
      <c r="G176" s="530"/>
      <c r="H176" s="530"/>
      <c r="I176" s="530"/>
      <c r="J176" s="531"/>
    </row>
    <row r="177" spans="1:23" s="1" customFormat="1" ht="35.1" customHeight="1" thickBot="1">
      <c r="A177" s="102" t="s">
        <v>2</v>
      </c>
      <c r="B177" s="103" t="s">
        <v>29</v>
      </c>
      <c r="C177" s="103" t="s">
        <v>3</v>
      </c>
      <c r="D177" s="103" t="s">
        <v>199</v>
      </c>
      <c r="E177" s="103" t="s">
        <v>5</v>
      </c>
      <c r="F177" s="104" t="s">
        <v>28</v>
      </c>
      <c r="G177" s="103" t="s">
        <v>19</v>
      </c>
      <c r="H177" s="104" t="s">
        <v>200</v>
      </c>
      <c r="I177" s="104" t="s">
        <v>20</v>
      </c>
      <c r="J177" s="115" t="s">
        <v>201</v>
      </c>
      <c r="N177" s="101" t="s">
        <v>191</v>
      </c>
      <c r="O177" s="246" t="s">
        <v>29</v>
      </c>
      <c r="P177" s="246" t="s">
        <v>3</v>
      </c>
      <c r="Q177" s="246" t="s">
        <v>199</v>
      </c>
      <c r="R177" s="246" t="s">
        <v>5</v>
      </c>
      <c r="S177" s="246" t="s">
        <v>28</v>
      </c>
      <c r="T177" s="246" t="s">
        <v>19</v>
      </c>
      <c r="U177" s="246" t="s">
        <v>200</v>
      </c>
      <c r="V177" s="246" t="s">
        <v>20</v>
      </c>
      <c r="W177" s="246" t="s">
        <v>201</v>
      </c>
    </row>
    <row r="178" spans="1:23" s="1" customFormat="1" ht="18" customHeight="1">
      <c r="A178" s="120">
        <f>IF(B178="","",1)</f>
        <v>1</v>
      </c>
      <c r="B178" s="140" t="s">
        <v>110</v>
      </c>
      <c r="C178" s="140" t="s">
        <v>66</v>
      </c>
      <c r="D178" s="139" t="s">
        <v>73</v>
      </c>
      <c r="E178" s="143"/>
      <c r="F178" s="143" t="s">
        <v>73</v>
      </c>
      <c r="G178" s="143" t="s">
        <v>202</v>
      </c>
      <c r="H178" s="143">
        <v>1</v>
      </c>
      <c r="I178" s="130"/>
      <c r="J178" s="131">
        <f t="shared" ref="J178:J191" si="16">$J$120*H178</f>
        <v>1</v>
      </c>
      <c r="N178" s="101" t="s">
        <v>226</v>
      </c>
      <c r="O178" s="280" t="s">
        <v>252</v>
      </c>
      <c r="P178" s="290" t="s">
        <v>248</v>
      </c>
      <c r="Q178" s="280" t="s">
        <v>69</v>
      </c>
      <c r="R178" s="213"/>
      <c r="S178" s="213" t="s">
        <v>69</v>
      </c>
      <c r="T178" s="213" t="s">
        <v>198</v>
      </c>
      <c r="U178" s="291">
        <f>((($I$141*$G$141)+($I$142*$G$142)+($I$143*$G$143)+($I$144*$G$144)+($I$145*$G$145))/1000)*$J$120</f>
        <v>16.030999999999999</v>
      </c>
      <c r="V178" s="291">
        <v>100</v>
      </c>
      <c r="W178" s="292">
        <f>ROUNDUP((U178)/100,0)</f>
        <v>1</v>
      </c>
    </row>
    <row r="179" spans="1:23" s="1" customFormat="1" ht="18" customHeight="1">
      <c r="A179" s="126">
        <f>IF(B179="","",+A178+1)</f>
        <v>2</v>
      </c>
      <c r="B179" s="140" t="s">
        <v>111</v>
      </c>
      <c r="C179" s="140" t="s">
        <v>67</v>
      </c>
      <c r="D179" s="139" t="s">
        <v>74</v>
      </c>
      <c r="E179" s="143"/>
      <c r="F179" s="143" t="s">
        <v>74</v>
      </c>
      <c r="G179" s="143" t="s">
        <v>202</v>
      </c>
      <c r="H179" s="143">
        <v>6</v>
      </c>
      <c r="I179" s="130"/>
      <c r="J179" s="131">
        <f t="shared" si="16"/>
        <v>6</v>
      </c>
      <c r="N179" s="101" t="s">
        <v>230</v>
      </c>
      <c r="O179" s="280" t="s">
        <v>253</v>
      </c>
      <c r="P179" s="290" t="s">
        <v>249</v>
      </c>
      <c r="Q179" s="280" t="s">
        <v>188</v>
      </c>
      <c r="R179" s="213"/>
      <c r="S179" s="213" t="s">
        <v>188</v>
      </c>
      <c r="T179" s="213" t="s">
        <v>198</v>
      </c>
      <c r="U179" s="291">
        <f>((($I$141*$G$141)+($I$142*$G$142)+($I$143*$G$143)+($I$144*$G$144)+($I$145*$G$145))/1000)*$J$120</f>
        <v>16.030999999999999</v>
      </c>
      <c r="V179" s="291">
        <v>100</v>
      </c>
      <c r="W179" s="292">
        <f t="shared" ref="W179:W182" si="17">ROUNDUP((U179)/100,0)</f>
        <v>1</v>
      </c>
    </row>
    <row r="180" spans="1:23" s="1" customFormat="1" ht="18" customHeight="1">
      <c r="A180" s="126">
        <f t="shared" ref="A180:A205" si="18">IF(B180="","",+A179+1)</f>
        <v>3</v>
      </c>
      <c r="B180" s="140" t="s">
        <v>106</v>
      </c>
      <c r="C180" s="140" t="s">
        <v>503</v>
      </c>
      <c r="D180" s="139" t="s">
        <v>75</v>
      </c>
      <c r="E180" s="143"/>
      <c r="F180" s="143" t="s">
        <v>75</v>
      </c>
      <c r="G180" s="143" t="s">
        <v>202</v>
      </c>
      <c r="H180" s="143">
        <v>2</v>
      </c>
      <c r="I180" s="130"/>
      <c r="J180" s="131">
        <f t="shared" si="16"/>
        <v>2</v>
      </c>
      <c r="N180" s="101" t="s">
        <v>229</v>
      </c>
      <c r="O180" s="290" t="s">
        <v>254</v>
      </c>
      <c r="P180" s="290" t="s">
        <v>250</v>
      </c>
      <c r="Q180" s="280" t="s">
        <v>70</v>
      </c>
      <c r="R180" s="213"/>
      <c r="S180" s="213" t="s">
        <v>70</v>
      </c>
      <c r="T180" s="213" t="s">
        <v>198</v>
      </c>
      <c r="U180" s="291">
        <f>((($I$141*$G$141)+($I$142*$G$142)+($I$143*$G$143)+($I$144*$G$144)+($I$145*$G$145))/1000)*$J$120</f>
        <v>16.030999999999999</v>
      </c>
      <c r="V180" s="291">
        <v>100</v>
      </c>
      <c r="W180" s="292">
        <f t="shared" si="17"/>
        <v>1</v>
      </c>
    </row>
    <row r="181" spans="1:23" s="1" customFormat="1" ht="18" customHeight="1">
      <c r="A181" s="126">
        <f t="shared" si="18"/>
        <v>4</v>
      </c>
      <c r="B181" s="140" t="s">
        <v>107</v>
      </c>
      <c r="C181" s="140" t="s">
        <v>504</v>
      </c>
      <c r="D181" s="139" t="s">
        <v>76</v>
      </c>
      <c r="E181" s="143"/>
      <c r="F181" s="143" t="s">
        <v>76</v>
      </c>
      <c r="G181" s="143" t="s">
        <v>202</v>
      </c>
      <c r="H181" s="143">
        <v>2</v>
      </c>
      <c r="I181" s="130"/>
      <c r="J181" s="131">
        <f t="shared" si="16"/>
        <v>2</v>
      </c>
      <c r="N181" s="101" t="s">
        <v>231</v>
      </c>
      <c r="O181" s="290" t="s">
        <v>255</v>
      </c>
      <c r="P181" s="290" t="s">
        <v>251</v>
      </c>
      <c r="Q181" s="280" t="s">
        <v>189</v>
      </c>
      <c r="R181" s="213"/>
      <c r="S181" s="213" t="s">
        <v>189</v>
      </c>
      <c r="T181" s="213" t="s">
        <v>198</v>
      </c>
      <c r="U181" s="291">
        <f>((($I$141*$G$141)+($I$142*$G$142)+($I$143*$G$143)+($I$144*$G$144)+($I$145*$G$145))/1000)*$J$120</f>
        <v>16.030999999999999</v>
      </c>
      <c r="V181" s="291">
        <v>100</v>
      </c>
      <c r="W181" s="292">
        <f t="shared" si="17"/>
        <v>1</v>
      </c>
    </row>
    <row r="182" spans="1:23" s="1" customFormat="1" ht="18" customHeight="1">
      <c r="A182" s="126">
        <f t="shared" si="18"/>
        <v>5</v>
      </c>
      <c r="B182" s="140" t="s">
        <v>108</v>
      </c>
      <c r="C182" s="140" t="s">
        <v>10</v>
      </c>
      <c r="D182" s="139">
        <v>9</v>
      </c>
      <c r="E182" s="143"/>
      <c r="F182" s="143">
        <v>9</v>
      </c>
      <c r="G182" s="143" t="s">
        <v>202</v>
      </c>
      <c r="H182" s="143">
        <v>24</v>
      </c>
      <c r="I182" s="130"/>
      <c r="J182" s="131">
        <f t="shared" si="16"/>
        <v>24</v>
      </c>
      <c r="N182" s="101" t="s">
        <v>232</v>
      </c>
      <c r="O182" s="290" t="s">
        <v>256</v>
      </c>
      <c r="P182" s="290" t="s">
        <v>247</v>
      </c>
      <c r="Q182" s="280" t="s">
        <v>233</v>
      </c>
      <c r="R182" s="213"/>
      <c r="S182" s="213" t="s">
        <v>233</v>
      </c>
      <c r="T182" s="213" t="s">
        <v>198</v>
      </c>
      <c r="U182" s="291">
        <f>((($I$141*$G$141)+($I$142*$G$142)+($I$143*$G$143)+($I$144*$G$144)+($I$145*$G$145))/1000)*$J$120</f>
        <v>16.030999999999999</v>
      </c>
      <c r="V182" s="291">
        <v>100</v>
      </c>
      <c r="W182" s="292">
        <f t="shared" si="17"/>
        <v>1</v>
      </c>
    </row>
    <row r="183" spans="1:23" s="1" customFormat="1" ht="18" customHeight="1">
      <c r="A183" s="126">
        <f t="shared" si="18"/>
        <v>6</v>
      </c>
      <c r="B183" s="140" t="s">
        <v>109</v>
      </c>
      <c r="C183" s="140" t="s">
        <v>68</v>
      </c>
      <c r="D183" s="139">
        <v>9</v>
      </c>
      <c r="E183" s="143"/>
      <c r="F183" s="143">
        <v>9</v>
      </c>
      <c r="G183" s="143" t="s">
        <v>202</v>
      </c>
      <c r="H183" s="143">
        <v>48</v>
      </c>
      <c r="I183" s="130"/>
      <c r="J183" s="131">
        <f t="shared" si="16"/>
        <v>48</v>
      </c>
    </row>
    <row r="184" spans="1:23" s="1" customFormat="1" ht="18" customHeight="1">
      <c r="A184" s="126">
        <f t="shared" si="18"/>
        <v>7</v>
      </c>
      <c r="B184" s="140" t="s">
        <v>118</v>
      </c>
      <c r="C184" s="140" t="s">
        <v>77</v>
      </c>
      <c r="D184" s="139" t="s">
        <v>80</v>
      </c>
      <c r="E184" s="143"/>
      <c r="F184" s="143" t="s">
        <v>80</v>
      </c>
      <c r="G184" s="143" t="s">
        <v>185</v>
      </c>
      <c r="H184" s="143">
        <v>1</v>
      </c>
      <c r="I184" s="130"/>
      <c r="J184" s="131">
        <f t="shared" si="16"/>
        <v>1</v>
      </c>
    </row>
    <row r="185" spans="1:23" s="1" customFormat="1" ht="18" customHeight="1">
      <c r="A185" s="126">
        <f t="shared" si="18"/>
        <v>8</v>
      </c>
      <c r="B185" s="140" t="s">
        <v>120</v>
      </c>
      <c r="C185" s="140" t="s">
        <v>94</v>
      </c>
      <c r="D185" s="139" t="s">
        <v>96</v>
      </c>
      <c r="E185" s="143"/>
      <c r="F185" s="143" t="s">
        <v>96</v>
      </c>
      <c r="G185" s="143" t="s">
        <v>185</v>
      </c>
      <c r="H185" s="143">
        <v>1</v>
      </c>
      <c r="I185" s="130"/>
      <c r="J185" s="131">
        <f t="shared" si="16"/>
        <v>1</v>
      </c>
    </row>
    <row r="186" spans="1:23" s="1" customFormat="1" ht="18" customHeight="1">
      <c r="A186" s="126">
        <f t="shared" si="18"/>
        <v>9</v>
      </c>
      <c r="B186" s="140" t="s">
        <v>119</v>
      </c>
      <c r="C186" s="140" t="s">
        <v>95</v>
      </c>
      <c r="D186" s="139" t="s">
        <v>97</v>
      </c>
      <c r="E186" s="143"/>
      <c r="F186" s="143" t="s">
        <v>97</v>
      </c>
      <c r="G186" s="143" t="s">
        <v>185</v>
      </c>
      <c r="H186" s="143">
        <v>1</v>
      </c>
      <c r="I186" s="130"/>
      <c r="J186" s="131">
        <f t="shared" si="16"/>
        <v>1</v>
      </c>
    </row>
    <row r="187" spans="1:23" s="1" customFormat="1" ht="18" customHeight="1">
      <c r="A187" s="126">
        <f t="shared" si="18"/>
        <v>10</v>
      </c>
      <c r="B187" s="140" t="s">
        <v>117</v>
      </c>
      <c r="C187" s="140" t="s">
        <v>79</v>
      </c>
      <c r="D187" s="139" t="s">
        <v>82</v>
      </c>
      <c r="E187" s="143"/>
      <c r="F187" s="143" t="s">
        <v>82</v>
      </c>
      <c r="G187" s="143" t="s">
        <v>185</v>
      </c>
      <c r="H187" s="143">
        <v>1</v>
      </c>
      <c r="I187" s="130"/>
      <c r="J187" s="131">
        <f t="shared" si="16"/>
        <v>1</v>
      </c>
      <c r="N187" s="56"/>
      <c r="O187" s="56"/>
      <c r="P187" s="56"/>
      <c r="Q187" s="289"/>
      <c r="R187" s="289"/>
      <c r="S187" s="289"/>
      <c r="T187" s="17"/>
      <c r="U187" s="17"/>
      <c r="V187" s="17"/>
      <c r="W187" s="56"/>
    </row>
    <row r="188" spans="1:23" s="1" customFormat="1" ht="18" customHeight="1">
      <c r="A188" s="126">
        <f t="shared" si="18"/>
        <v>11</v>
      </c>
      <c r="B188" s="140" t="s">
        <v>113</v>
      </c>
      <c r="C188" s="140" t="s">
        <v>502</v>
      </c>
      <c r="D188" s="139" t="s">
        <v>83</v>
      </c>
      <c r="E188" s="143"/>
      <c r="F188" s="143" t="s">
        <v>83</v>
      </c>
      <c r="G188" s="143" t="s">
        <v>185</v>
      </c>
      <c r="H188" s="143">
        <v>1</v>
      </c>
      <c r="I188" s="130"/>
      <c r="J188" s="131">
        <f t="shared" si="16"/>
        <v>1</v>
      </c>
      <c r="N188" s="101" t="s">
        <v>227</v>
      </c>
      <c r="O188" s="246" t="s">
        <v>29</v>
      </c>
      <c r="P188" s="246" t="s">
        <v>3</v>
      </c>
      <c r="Q188" s="246" t="s">
        <v>199</v>
      </c>
      <c r="R188" s="246" t="s">
        <v>5</v>
      </c>
      <c r="S188" s="246" t="s">
        <v>28</v>
      </c>
      <c r="T188" s="246" t="s">
        <v>19</v>
      </c>
      <c r="U188" s="246" t="s">
        <v>200</v>
      </c>
      <c r="V188" s="246" t="s">
        <v>20</v>
      </c>
      <c r="W188" s="246" t="s">
        <v>201</v>
      </c>
    </row>
    <row r="189" spans="1:23" s="1" customFormat="1" ht="18" customHeight="1">
      <c r="A189" s="126">
        <f t="shared" si="18"/>
        <v>12</v>
      </c>
      <c r="B189" s="140" t="s">
        <v>122</v>
      </c>
      <c r="C189" s="140" t="s">
        <v>101</v>
      </c>
      <c r="D189" s="139" t="s">
        <v>104</v>
      </c>
      <c r="E189" s="143"/>
      <c r="F189" s="143" t="s">
        <v>104</v>
      </c>
      <c r="G189" s="143" t="s">
        <v>185</v>
      </c>
      <c r="H189" s="143">
        <v>1</v>
      </c>
      <c r="I189" s="144"/>
      <c r="J189" s="131">
        <f t="shared" si="16"/>
        <v>1</v>
      </c>
      <c r="N189" s="101" t="s">
        <v>240</v>
      </c>
      <c r="O189" s="290" t="s">
        <v>234</v>
      </c>
      <c r="P189" s="290" t="s">
        <v>236</v>
      </c>
      <c r="Q189" s="280" t="s">
        <v>190</v>
      </c>
      <c r="R189" s="213"/>
      <c r="S189" s="213" t="s">
        <v>190</v>
      </c>
      <c r="T189" s="213" t="s">
        <v>198</v>
      </c>
      <c r="U189" s="291">
        <f>((($I$134*$G$134)+($I$136*$G$136)+($I$139*$G$139))/1000)*$J$120</f>
        <v>6.1580000000000004</v>
      </c>
      <c r="V189" s="291">
        <v>300</v>
      </c>
      <c r="W189" s="292">
        <f>ROUNDUP((U189)/V189,0)</f>
        <v>1</v>
      </c>
    </row>
    <row r="190" spans="1:23" s="1" customFormat="1" ht="18" customHeight="1">
      <c r="A190" s="126">
        <f t="shared" si="18"/>
        <v>13</v>
      </c>
      <c r="B190" s="140" t="s">
        <v>112</v>
      </c>
      <c r="C190" s="140" t="s">
        <v>114</v>
      </c>
      <c r="D190" s="139" t="s">
        <v>520</v>
      </c>
      <c r="E190" s="143"/>
      <c r="F190" s="143" t="s">
        <v>520</v>
      </c>
      <c r="G190" s="143" t="s">
        <v>202</v>
      </c>
      <c r="H190" s="143">
        <v>2</v>
      </c>
      <c r="I190" s="144"/>
      <c r="J190" s="131">
        <f t="shared" si="16"/>
        <v>2</v>
      </c>
      <c r="N190" s="101" t="s">
        <v>241</v>
      </c>
      <c r="O190" s="290" t="s">
        <v>235</v>
      </c>
      <c r="P190" s="290" t="s">
        <v>238</v>
      </c>
      <c r="Q190" s="280" t="s">
        <v>71</v>
      </c>
      <c r="R190" s="213"/>
      <c r="S190" s="213" t="s">
        <v>71</v>
      </c>
      <c r="T190" s="213" t="s">
        <v>198</v>
      </c>
      <c r="U190" s="291">
        <f>((($I$134*$G$134)+($I$136*$G$136)+($I$139*$G$139))/1000)*$J$120</f>
        <v>6.1580000000000004</v>
      </c>
      <c r="V190" s="291">
        <v>100</v>
      </c>
      <c r="W190" s="292">
        <f t="shared" ref="W190:W192" si="19">ROUNDUP((U190)/V190,0)</f>
        <v>1</v>
      </c>
    </row>
    <row r="191" spans="1:23" s="1" customFormat="1" ht="18" customHeight="1">
      <c r="A191" s="126">
        <f t="shared" si="18"/>
        <v>14</v>
      </c>
      <c r="B191" s="140" t="s">
        <v>115</v>
      </c>
      <c r="C191" s="140" t="s">
        <v>45</v>
      </c>
      <c r="D191" s="139" t="s">
        <v>84</v>
      </c>
      <c r="E191" s="143"/>
      <c r="F191" s="143" t="s">
        <v>84</v>
      </c>
      <c r="G191" s="143" t="s">
        <v>202</v>
      </c>
      <c r="H191" s="143">
        <v>1</v>
      </c>
      <c r="I191" s="144"/>
      <c r="J191" s="131">
        <f t="shared" si="16"/>
        <v>1</v>
      </c>
      <c r="N191" s="101" t="s">
        <v>240</v>
      </c>
      <c r="O191" s="290" t="s">
        <v>245</v>
      </c>
      <c r="P191" s="290" t="s">
        <v>237</v>
      </c>
      <c r="Q191" s="280" t="s">
        <v>72</v>
      </c>
      <c r="R191" s="213"/>
      <c r="S191" s="213" t="s">
        <v>72</v>
      </c>
      <c r="T191" s="213" t="s">
        <v>198</v>
      </c>
      <c r="U191" s="291">
        <f>((($I$143*$G$143*2)+($I$144*$G$144*2)+($I$141*$G$141*2))/1000)*$J$120</f>
        <v>24.463000000000001</v>
      </c>
      <c r="V191" s="291">
        <v>350</v>
      </c>
      <c r="W191" s="292">
        <f t="shared" si="19"/>
        <v>1</v>
      </c>
    </row>
    <row r="192" spans="1:23" s="1" customFormat="1" ht="18" customHeight="1">
      <c r="A192" s="126">
        <f t="shared" si="18"/>
        <v>15</v>
      </c>
      <c r="B192" s="139" t="str">
        <f>IF($D$129="Standard",$O$189,IF($D$129="Soumdproof",$O$190,))</f>
        <v>ยางเฟรมกันน้ำ (ธรรมดา)</v>
      </c>
      <c r="C192" s="139" t="str">
        <f>IF($D$129="Standard",$P$189,IF($D$129="Soumdproof",$P$190,))</f>
        <v>FRAME SEAL (Standard)</v>
      </c>
      <c r="D192" s="139" t="str">
        <f>IF($D$129="Standard",$Q$189,IF($D$129="Soumdproof",$Q$190,))</f>
        <v>02-026</v>
      </c>
      <c r="E192" s="143">
        <f t="shared" ref="E192" si="20">IF($D$129="Standard",R190,IF($D$129="Soumdproof",R191,))</f>
        <v>0</v>
      </c>
      <c r="F192" s="143" t="str">
        <f>IF($D$129="Standard",$S$189,IF($D$129="Soumdproof",$S$190,))</f>
        <v>02-026</v>
      </c>
      <c r="G192" s="143" t="str">
        <f>IF($D$129="Standard",$T$189,IF($D$129="Soumdproof",$T$190,))</f>
        <v>M</v>
      </c>
      <c r="H192" s="261">
        <f>IF($D$129="Standard",$U$189,IF($D$129="Soumdproof",$U$190,))</f>
        <v>6.1580000000000004</v>
      </c>
      <c r="I192" s="258">
        <f>IF($D$129="Standard",$V$189,IF($D$129="Soumdproof",$V$190,))</f>
        <v>300</v>
      </c>
      <c r="J192" s="260">
        <f>ROUNDUP((H192)/100,0)</f>
        <v>1</v>
      </c>
      <c r="N192" s="101" t="s">
        <v>241</v>
      </c>
      <c r="O192" s="290" t="s">
        <v>246</v>
      </c>
      <c r="P192" s="290" t="s">
        <v>239</v>
      </c>
      <c r="Q192" s="280" t="s">
        <v>193</v>
      </c>
      <c r="R192" s="213"/>
      <c r="S192" s="213" t="s">
        <v>193</v>
      </c>
      <c r="T192" s="213" t="s">
        <v>198</v>
      </c>
      <c r="U192" s="291">
        <f>((($I$143*$G$143*2)+($I$144*$G$144*2)+($I$141*$G$141*2))/1000)*$J$120</f>
        <v>24.463000000000001</v>
      </c>
      <c r="V192" s="291">
        <v>100</v>
      </c>
      <c r="W192" s="292">
        <f t="shared" si="19"/>
        <v>1</v>
      </c>
    </row>
    <row r="193" spans="1:36" s="1" customFormat="1" ht="18" customHeight="1">
      <c r="A193" s="126">
        <f t="shared" si="18"/>
        <v>16</v>
      </c>
      <c r="B193" s="139" t="str">
        <f>IF($D$129="Standard",$O$191,IF($D$129="Soumdproof",$O$192,))</f>
        <v>ยางแซชกันน้ำ (ธรรมดา)</v>
      </c>
      <c r="C193" s="139" t="str">
        <f>IF($D$129="Standard",$P$191,IF($D$129="Soumdproof",$P$192,))</f>
        <v>SASH SEAL FOAM (Standard)</v>
      </c>
      <c r="D193" s="139" t="str">
        <f>IF($D$129="Standard",$Q$191,IF($D$129="Soumdproof",$Q$192,))</f>
        <v>02-031</v>
      </c>
      <c r="E193" s="143">
        <f t="shared" ref="E193" si="21">IF($D$129="Standard",R192,IF($D$129="Soumdproof",R193,))</f>
        <v>0</v>
      </c>
      <c r="F193" s="143" t="str">
        <f>IF($D$129="Standard",$S$191,IF($D$129="Soumdproof",$S$192,))</f>
        <v>02-031</v>
      </c>
      <c r="G193" s="143" t="str">
        <f>IF($D$129="Standard",$T$191,IF($D$129="Soumdproof",$T$192,))</f>
        <v>M</v>
      </c>
      <c r="H193" s="261">
        <f>IF($D$129="Standard",$U$191,IF($D$129="Soumdproof",$U$192,))</f>
        <v>24.463000000000001</v>
      </c>
      <c r="I193" s="258">
        <f>IF($D$129="Standard",$V$191,IF($D$129="Soumdproof",$V$192,))</f>
        <v>350</v>
      </c>
      <c r="J193" s="260">
        <f>ROUNDUP((H193)/100,0)</f>
        <v>1</v>
      </c>
    </row>
    <row r="194" spans="1:36" s="1" customFormat="1" ht="18" customHeight="1">
      <c r="A194" s="126">
        <f t="shared" si="18"/>
        <v>17</v>
      </c>
      <c r="B194" s="241" t="str">
        <f>IF($D$127=5,$O$180,IF($D$127=6,$O$181,IF($D$127=8,$O$182,IF($D$127=10,$O$180,IF($D$127=12,$O$180,IF($D$127=14,$O$182,IF($D$127=18,$O$180,IF($D$127=20,$O$181,IF($D$127=22,"")))))))))</f>
        <v>5,8,10,12,18 mmยางอัดกระจก</v>
      </c>
      <c r="C194" s="241" t="str">
        <f>IF($D$127=5,$P$180,IF($D$127=6,$P$181,IF($D$127=8,$P$182,IF($D$127=10,$P$180,IF($D$127=12,$P$180,IF($D$127=14,$P$182,IF($D$127=18,$P$180,IF($D$127=20,$P$181,IF($D$127=22,"")))))))))</f>
        <v>5,8,10,12,18 mm ROLL IN WEDGE</v>
      </c>
      <c r="D194" s="241" t="str">
        <f>IF($D$127=5,$Q$180,IF($D$127=6,$Q$181,IF($D$127=8,$Q$182,IF($D$127=10,$Q$180,IF($D$127=12,$Q$180,IF($D$127=14,$Q$182,IF($D$127=18,$Q$180,IF($D$127=20,$Q$181,IF($D$127=22,"")))))))))</f>
        <v>02-033</v>
      </c>
      <c r="E194" s="241">
        <f t="shared" ref="E194" si="22">IF($D$127=5,R181,IF($D$127=6,R182,IF($D$127=8,R183,IF($D$127=10,R181,IF($D$127=12,R181,IF($D$127=14,R183,IF($D$127=18,R181,IF($D$127=20,R182,IF($D$127=22,"",)))))))))</f>
        <v>0</v>
      </c>
      <c r="F194" s="242" t="str">
        <f>IF($D$127=5,$S$180,IF($D$127=6,$S$181,IF($D$127=8,$S$182,IF($D$127=10,$S$180,IF($D$127=12,$S$180,IF($D$127=14,$S$182,IF($D$127=18,$S$180,IF($D$127=20,$S$181,IF($D$127=22,"")))))))))</f>
        <v>02-033</v>
      </c>
      <c r="G194" s="242" t="str">
        <f>IF($D$127=5,$T$180,IF($D$127=6,$T$181,IF($D$127=8,$T$182,IF($D$127=10,$T$180,IF($D$127=12,$T$180,IF($D$127=14,$T$182,IF($D$127=18,$T$180,IF($D$127=20,$T$181,IF($D$127=22,"")))))))))</f>
        <v>M</v>
      </c>
      <c r="H194" s="261">
        <f>IF($D$127=5,$U$180,IF($D$127=6,$U$181,IF($D$127=8,$U$182,IF($D$127=10,$U$180*2,IF($D$127=12,$U$180,IF($D$127=14,$U$182*2,IF($D$127=18,$U$180,IF($D$127=20,$U$181,IF($D$127=22,"")))))))))</f>
        <v>16.030999999999999</v>
      </c>
      <c r="I194" s="258">
        <f>IF($D$127=5,$V$180,IF($D$127=6,$V$181,IF($D$127=8,$V$182,IF($D$127=10,$V$180,IF($D$127=12,$V$180,IF($D$127=14,$V$182,IF($D$127=18,$V$180,IF($D$127=20,$V$181,IF($D$127=22,"")))))))))</f>
        <v>100</v>
      </c>
      <c r="J194" s="260">
        <f>ROUNDUP((H194)/100,0)</f>
        <v>1</v>
      </c>
    </row>
    <row r="195" spans="1:36" s="1" customFormat="1" ht="18" customHeight="1">
      <c r="A195" s="126">
        <f t="shared" si="18"/>
        <v>18</v>
      </c>
      <c r="B195" s="241" t="str">
        <f>IF($D$127=5,$O$178,IF($D$127=6,$O$178,IF($D$127=8,$O$180,IF($D$127=10,"",IF($D$127=12,$O$179,IF($D$127=14,"",IF($D$127=18,$O$178,IF($D$127=20,$O$179,IF($D$127=22,"",)))))))))</f>
        <v>5,6,18 mm ยางรองกระจก</v>
      </c>
      <c r="C195" s="241" t="str">
        <f>IF($D$127=5,$P$178,IF($D$127=6,$P$178,IF($D$127=8,$P$180,IF($D$127=10,"",IF($D$127=12,$P$179,IF($D$127=14,"",IF($D$127=18,$P$178,IF($D$127=20,$P$179,IF($D$127=22,"",)))))))))</f>
        <v>5,6,18 mm CAPTIVE WEDGE</v>
      </c>
      <c r="D195" s="241" t="str">
        <f>IF($D$127=5,$Q$178,IF($D$127=6,$Q$178,IF($D$127=8,$Q$180,IF($D$127=10,"",IF($D$127=12,$Q$179,IF($D$127=14,"",IF($D$127=18,$Q$178,IF($D$127=20,$Q$179,IF($D$127=22,"",)))))))))</f>
        <v>02-022</v>
      </c>
      <c r="E195" s="241">
        <f t="shared" ref="E195" si="23">IF($D$127=5,R179,IF($D$127=6,R179,IF($D$127=8,R181,IF($D$127=10,"",IF($D$127=12,R180,IF($D$127=14,"",IF($D$127=18,R179,IF($D$127=20,R180,IF($D$127=22,"",)))))))))</f>
        <v>0</v>
      </c>
      <c r="F195" s="242" t="str">
        <f>IF($D$127=5,$S$178,IF($D$127=6,$S$178,IF($D$127=8,$S$180,IF($D$127=10,"",IF($D$127=12,$S$179,IF($D$127=14,"",IF($D$127=18,$S$178,IF($D$127=20,$S$179,IF($D$127=22,"",)))))))))</f>
        <v>02-022</v>
      </c>
      <c r="G195" s="242" t="str">
        <f>IF($D$127=5,$T$178,IF($D$127=6,$T$178,IF($D$127=8,$T$180,IF($D$127=10,"",IF($D$127=12,$T$179,IF($D$127=14,"",IF($D$127=18,$T$178,IF($D$127=20,$T$179,IF($D$127=22,"",)))))))))</f>
        <v>M</v>
      </c>
      <c r="H195" s="261">
        <f>IF($D$127=5,$U$178,IF($D$127=6,$U$178,IF($D$127=8,$U$180,IF($D$127=10,"",IF($D$127=12,$U$179,IF($D$127=14,"",IF($D$127=18,$U$178,IF($D$127=20,$U$179,IF($D$127=22,"")))))))))</f>
        <v>16.030999999999999</v>
      </c>
      <c r="I195" s="258">
        <f>IF($D$127=5,$V$178,IF($D$127=6,$V$178,IF($D$127=8,$V$180,IF($D$127=10,"",IF($D$127=12,$V$179,IF($D$127=14,"",IF($D$127=18,$V$178,IF($D$127=20,$V$179,IF($D$127=22,"",)))))))))</f>
        <v>100</v>
      </c>
      <c r="J195" s="267">
        <f>ROUNDUP((H195)/100,0)</f>
        <v>1</v>
      </c>
    </row>
    <row r="196" spans="1:36" s="1" customFormat="1" ht="18" customHeight="1">
      <c r="A196" s="126" t="str">
        <f t="shared" si="18"/>
        <v/>
      </c>
      <c r="B196" s="140"/>
      <c r="C196" s="140"/>
      <c r="D196" s="139"/>
      <c r="E196" s="143"/>
      <c r="F196" s="143"/>
      <c r="G196" s="143"/>
      <c r="H196" s="143"/>
      <c r="I196" s="144"/>
      <c r="J196" s="131">
        <f>$J$120*H196</f>
        <v>0</v>
      </c>
    </row>
    <row r="197" spans="1:36" s="1" customFormat="1" ht="18" customHeight="1">
      <c r="A197" s="126" t="str">
        <f t="shared" si="18"/>
        <v/>
      </c>
      <c r="B197" s="140"/>
      <c r="C197" s="140"/>
      <c r="D197" s="139"/>
      <c r="E197" s="143"/>
      <c r="F197" s="143"/>
      <c r="G197" s="143"/>
      <c r="H197" s="143"/>
      <c r="I197" s="130"/>
      <c r="J197" s="131">
        <f>$J$120*H197</f>
        <v>0</v>
      </c>
    </row>
    <row r="198" spans="1:36" ht="18" customHeight="1">
      <c r="A198" s="126" t="str">
        <f t="shared" si="18"/>
        <v/>
      </c>
      <c r="B198" s="140"/>
      <c r="C198" s="140"/>
      <c r="D198" s="139"/>
      <c r="E198" s="143"/>
      <c r="F198" s="143"/>
      <c r="G198" s="143"/>
      <c r="H198" s="143"/>
      <c r="I198" s="130"/>
      <c r="J198" s="131">
        <f>$J$120*H198</f>
        <v>0</v>
      </c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s="1" customFormat="1" ht="18" customHeight="1">
      <c r="A199" s="126" t="str">
        <f t="shared" si="18"/>
        <v/>
      </c>
      <c r="B199" s="127"/>
      <c r="C199" s="127"/>
      <c r="D199" s="128"/>
      <c r="E199" s="129"/>
      <c r="F199" s="129"/>
      <c r="G199" s="129"/>
      <c r="H199" s="129"/>
      <c r="I199" s="130"/>
      <c r="J199" s="131">
        <f>$J$120*H199</f>
        <v>0</v>
      </c>
    </row>
    <row r="200" spans="1:36" s="1" customFormat="1" ht="18" customHeight="1">
      <c r="A200" s="126" t="str">
        <f t="shared" si="18"/>
        <v/>
      </c>
      <c r="B200" s="127"/>
      <c r="C200" s="127"/>
      <c r="D200" s="128"/>
      <c r="E200" s="129"/>
      <c r="F200" s="129"/>
      <c r="G200" s="129"/>
      <c r="H200" s="129"/>
      <c r="I200" s="130"/>
      <c r="J200" s="131"/>
    </row>
    <row r="201" spans="1:36" s="1" customFormat="1" ht="18" customHeight="1">
      <c r="A201" s="126" t="str">
        <f t="shared" si="18"/>
        <v/>
      </c>
      <c r="B201" s="127"/>
      <c r="C201" s="127"/>
      <c r="D201" s="128"/>
      <c r="E201" s="129"/>
      <c r="F201" s="129"/>
      <c r="G201" s="129"/>
      <c r="H201" s="129"/>
      <c r="I201" s="130"/>
      <c r="J201" s="131">
        <f>$J$120*H201</f>
        <v>0</v>
      </c>
    </row>
    <row r="202" spans="1:36" s="1" customFormat="1" ht="18" customHeight="1">
      <c r="A202" s="126" t="str">
        <f t="shared" si="18"/>
        <v/>
      </c>
      <c r="B202" s="127"/>
      <c r="C202" s="127"/>
      <c r="D202" s="128"/>
      <c r="E202" s="129"/>
      <c r="F202" s="129"/>
      <c r="G202" s="129"/>
      <c r="H202" s="129"/>
      <c r="I202" s="130"/>
      <c r="J202" s="131">
        <f>$J$120*H202</f>
        <v>0</v>
      </c>
      <c r="P202" s="334"/>
    </row>
    <row r="203" spans="1:36" s="1" customFormat="1" ht="18" customHeight="1">
      <c r="A203" s="126" t="str">
        <f>IF(B203="","",+#REF!+1)</f>
        <v/>
      </c>
      <c r="B203" s="127"/>
      <c r="C203" s="127"/>
      <c r="D203" s="128"/>
      <c r="E203" s="129"/>
      <c r="F203" s="129"/>
      <c r="G203" s="129"/>
      <c r="H203" s="129"/>
      <c r="I203" s="130"/>
      <c r="J203" s="131">
        <f>$J$120*H203</f>
        <v>0</v>
      </c>
    </row>
    <row r="204" spans="1:36" s="1" customFormat="1" ht="18" customHeight="1">
      <c r="A204" s="126" t="str">
        <f t="shared" si="18"/>
        <v/>
      </c>
      <c r="B204" s="127"/>
      <c r="C204" s="127"/>
      <c r="D204" s="128"/>
      <c r="E204" s="129"/>
      <c r="F204" s="129"/>
      <c r="G204" s="129"/>
      <c r="H204" s="129"/>
      <c r="I204" s="130"/>
      <c r="J204" s="131"/>
    </row>
    <row r="205" spans="1:36" s="1" customFormat="1" ht="18" customHeight="1">
      <c r="A205" s="126" t="str">
        <f t="shared" si="18"/>
        <v/>
      </c>
      <c r="B205" s="127"/>
      <c r="C205" s="127"/>
      <c r="D205" s="128"/>
      <c r="E205" s="129"/>
      <c r="F205" s="129"/>
      <c r="G205" s="129"/>
      <c r="H205" s="129"/>
      <c r="I205" s="130"/>
      <c r="J205" s="131">
        <f>$J$120*H205</f>
        <v>0</v>
      </c>
    </row>
    <row r="206" spans="1:36" s="1" customFormat="1" ht="18" customHeight="1">
      <c r="A206" s="306"/>
      <c r="B206" s="133"/>
      <c r="C206" s="133"/>
      <c r="D206" s="134"/>
      <c r="E206" s="135"/>
      <c r="F206" s="135"/>
      <c r="G206" s="135"/>
      <c r="H206" s="135"/>
      <c r="I206" s="136"/>
      <c r="J206" s="293"/>
    </row>
    <row r="207" spans="1:36" ht="18" customHeight="1">
      <c r="A207" s="17"/>
      <c r="B207" s="56"/>
      <c r="C207" s="56"/>
      <c r="D207" s="30"/>
      <c r="E207" s="17"/>
      <c r="F207" s="17"/>
      <c r="G207" s="17"/>
      <c r="H207" s="17"/>
      <c r="J207" s="99" t="str">
        <f>LEFT($J$111,13)&amp;"-02"</f>
        <v>FG-240-3P1L2R-02</v>
      </c>
    </row>
    <row r="208" spans="1:36" ht="12.75" customHeight="1">
      <c r="K208" s="7"/>
      <c r="L208" s="7"/>
      <c r="M208" s="2"/>
      <c r="N208" s="2"/>
    </row>
    <row r="209" spans="1:14" ht="30" customHeight="1">
      <c r="B209" s="279"/>
      <c r="C209" s="5"/>
      <c r="D209" s="95"/>
      <c r="E209" s="95"/>
      <c r="F209" s="95"/>
      <c r="G209" s="95"/>
      <c r="H209" s="95"/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279"/>
      <c r="C210" s="28"/>
      <c r="D210" s="28"/>
      <c r="E210" s="28"/>
      <c r="F210" s="28"/>
      <c r="G210" s="28"/>
      <c r="H210" s="28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8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78"/>
      <c r="C212" s="78"/>
      <c r="D212" s="82"/>
      <c r="E212" s="78"/>
      <c r="F212" s="78"/>
      <c r="G212" s="78"/>
      <c r="H212" s="7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 s="93"/>
      <c r="C215" s="56"/>
      <c r="D215" s="30"/>
      <c r="E215" s="29"/>
      <c r="F215" s="160"/>
      <c r="G215" s="160"/>
      <c r="H215" s="160"/>
      <c r="I215" s="160"/>
      <c r="J215" s="116"/>
    </row>
    <row r="216" spans="1:14" s="1" customFormat="1" ht="15" customHeight="1">
      <c r="A216" s="17"/>
      <c r="B216" s="56"/>
      <c r="C216" s="89"/>
      <c r="D216" s="30"/>
      <c r="E216" s="29"/>
      <c r="F216" s="3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ht="15.6">
      <c r="A218" s="109"/>
      <c r="B218" s="33"/>
      <c r="C218" s="429"/>
      <c r="D218" s="161"/>
      <c r="E218" s="109"/>
      <c r="F218" s="161"/>
      <c r="G218" s="1"/>
      <c r="H218" s="328"/>
    </row>
    <row r="219" spans="1:14" s="1" customFormat="1" ht="15" customHeight="1">
      <c r="A219" s="93"/>
      <c r="B219" s="93"/>
      <c r="C219" s="56"/>
      <c r="D219" s="30"/>
      <c r="E219" s="29"/>
      <c r="F219" s="160"/>
      <c r="H219" s="89" t="s">
        <v>641</v>
      </c>
      <c r="I219" s="161"/>
      <c r="J219" s="109"/>
    </row>
    <row r="220" spans="1:14" s="1" customFormat="1" ht="15" customHeight="1">
      <c r="A220" s="17"/>
      <c r="B220" s="56"/>
      <c r="C220" s="89" t="s">
        <v>272</v>
      </c>
      <c r="D220" s="30"/>
      <c r="E220" s="29"/>
      <c r="F220" s="30"/>
      <c r="H220" s="328" t="s">
        <v>642</v>
      </c>
      <c r="I220" s="328"/>
      <c r="J220" s="328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542" t="s">
        <v>643</v>
      </c>
      <c r="I221" s="542"/>
      <c r="J221" s="542"/>
    </row>
    <row r="222" spans="1:14" s="1" customFormat="1" ht="15.6">
      <c r="A222" s="109"/>
      <c r="B222" s="33"/>
      <c r="C222" s="429" t="s">
        <v>273</v>
      </c>
      <c r="D222" s="161"/>
      <c r="E222" s="109"/>
      <c r="F222" s="161"/>
      <c r="H222" s="432">
        <f>$I$148</f>
        <v>2108</v>
      </c>
      <c r="I222" s="363">
        <f>$J$148+$J$149</f>
        <v>2</v>
      </c>
    </row>
    <row r="223" spans="1:14" s="1" customFormat="1" ht="15" customHeight="1">
      <c r="A223" s="109"/>
      <c r="B223" s="33"/>
      <c r="C223" s="374">
        <f>$I$133</f>
        <v>2040</v>
      </c>
      <c r="D223" s="161"/>
      <c r="E223" s="35"/>
      <c r="F223" s="161"/>
      <c r="G223" s="68"/>
      <c r="I223" s="328"/>
      <c r="J223" s="328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425"/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425"/>
      <c r="J225" s="12"/>
    </row>
    <row r="226" spans="1:10" s="1" customFormat="1" ht="15" customHeight="1">
      <c r="A226" s="92"/>
      <c r="B226" s="92"/>
      <c r="C226" s="13"/>
      <c r="D226" s="161"/>
      <c r="E226" s="109"/>
      <c r="F226" s="161"/>
      <c r="G226" s="68"/>
      <c r="J226" s="12"/>
    </row>
    <row r="227" spans="1:10" s="1" customFormat="1" ht="15" customHeight="1">
      <c r="A227" s="92"/>
      <c r="B227" s="92"/>
      <c r="C227" s="13"/>
      <c r="D227" s="161"/>
      <c r="E227" s="109"/>
      <c r="F227" s="161"/>
      <c r="H227" s="109"/>
      <c r="J227" s="12"/>
    </row>
    <row r="228" spans="1:10" s="1" customFormat="1" ht="15" customHeight="1">
      <c r="A228" s="92"/>
      <c r="B228" s="92"/>
      <c r="C228" s="13"/>
      <c r="D228" s="161"/>
      <c r="E228" s="109"/>
      <c r="F228" s="161"/>
      <c r="H228" s="109"/>
      <c r="I228" s="109"/>
      <c r="J228" s="109"/>
    </row>
    <row r="229" spans="1:10" s="1" customFormat="1" ht="15" customHeight="1">
      <c r="A229" s="92"/>
      <c r="B229" s="92"/>
      <c r="C229" s="429"/>
      <c r="D229" s="161"/>
      <c r="E229" s="109"/>
      <c r="F229" s="161"/>
      <c r="H229" s="109"/>
      <c r="I229" s="109"/>
      <c r="J229" s="109"/>
    </row>
    <row r="230" spans="1:10" s="1" customFormat="1" ht="15" customHeight="1">
      <c r="A230" s="92"/>
      <c r="B230" s="92"/>
      <c r="C230" s="429"/>
      <c r="D230" s="161"/>
      <c r="E230" s="109"/>
      <c r="F230" s="161"/>
      <c r="H230" s="109"/>
      <c r="I230" s="109"/>
      <c r="J230" s="109"/>
    </row>
    <row r="231" spans="1:10" s="1" customFormat="1" ht="15.9" customHeight="1">
      <c r="A231" s="45"/>
      <c r="B231" s="45"/>
      <c r="D231" s="161"/>
      <c r="E231" s="109"/>
      <c r="F231" s="161"/>
      <c r="I231" s="109"/>
      <c r="J231" s="109"/>
    </row>
    <row r="232" spans="1:10" s="1" customFormat="1" ht="15.9" customHeight="1">
      <c r="A232" s="109"/>
      <c r="B232" s="109"/>
      <c r="D232" s="161"/>
      <c r="E232" s="109"/>
      <c r="F232" s="161"/>
      <c r="I232" s="109"/>
      <c r="J232" s="109"/>
    </row>
    <row r="233" spans="1:10" s="1" customFormat="1" ht="15.9" customHeight="1">
      <c r="A233" s="39"/>
      <c r="B233" s="38"/>
      <c r="D233" s="161"/>
      <c r="E233" s="109"/>
      <c r="F233" s="109"/>
      <c r="I233" s="32"/>
      <c r="J233" s="40"/>
    </row>
    <row r="234" spans="1:10" s="1" customFormat="1" ht="15.9" customHeight="1">
      <c r="A234" s="44"/>
      <c r="B234" s="44"/>
      <c r="C234" s="89" t="s">
        <v>274</v>
      </c>
      <c r="D234" s="84"/>
      <c r="E234" s="44"/>
      <c r="F234" s="44"/>
      <c r="G234" s="109"/>
      <c r="H234" s="109"/>
      <c r="I234" s="328"/>
      <c r="J234" s="117"/>
    </row>
    <row r="235" spans="1:10" s="1" customFormat="1" ht="15.9" customHeight="1">
      <c r="A235" s="40"/>
      <c r="B235" s="40"/>
      <c r="C235" s="328" t="s">
        <v>652</v>
      </c>
      <c r="D235" s="85"/>
      <c r="E235" s="40"/>
      <c r="F235" s="32"/>
      <c r="G235" s="109"/>
      <c r="H235" s="109"/>
      <c r="I235" s="328"/>
      <c r="J235" s="117"/>
    </row>
    <row r="236" spans="1:10" s="1" customFormat="1" ht="15.9" customHeight="1">
      <c r="A236" s="109"/>
      <c r="B236" s="33"/>
      <c r="C236" s="433" t="s">
        <v>654</v>
      </c>
      <c r="D236" s="161"/>
      <c r="E236" s="109"/>
      <c r="F236" s="161"/>
      <c r="G236" s="109"/>
      <c r="H236" s="109"/>
      <c r="I236" s="328"/>
      <c r="J236" s="117"/>
    </row>
    <row r="237" spans="1:10" s="1" customFormat="1" ht="15.9" customHeight="1">
      <c r="A237" s="109"/>
      <c r="B237" s="33"/>
      <c r="C237" s="374">
        <f>$I$134</f>
        <v>2014</v>
      </c>
      <c r="D237" s="161"/>
      <c r="E237" s="109"/>
      <c r="F237" s="161"/>
      <c r="G237" s="109"/>
      <c r="H237" s="109"/>
      <c r="I237" s="328"/>
      <c r="J237" s="117"/>
    </row>
    <row r="238" spans="1:10" s="1" customFormat="1" ht="15.9" customHeight="1">
      <c r="A238" s="109"/>
      <c r="B238" s="33"/>
      <c r="C238" s="363">
        <f>$J$134</f>
        <v>1</v>
      </c>
      <c r="D238" s="161"/>
      <c r="E238" s="109"/>
      <c r="F238" s="161"/>
      <c r="G238" s="109"/>
      <c r="H238" s="107"/>
      <c r="I238" s="328"/>
      <c r="J238" s="117"/>
    </row>
    <row r="239" spans="1:10" s="1" customFormat="1" ht="15.9" customHeight="1">
      <c r="A239" s="109"/>
      <c r="B239" s="33"/>
      <c r="C239" s="44"/>
      <c r="D239" s="161"/>
      <c r="E239" s="109"/>
      <c r="F239" s="161"/>
      <c r="G239" s="109"/>
      <c r="H239" s="107"/>
      <c r="J239" s="12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109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109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24"/>
      <c r="J242" s="24"/>
    </row>
    <row r="243" spans="1:10" s="1" customFormat="1" ht="15.9" customHeight="1">
      <c r="A243" s="109"/>
      <c r="B243" s="33"/>
      <c r="D243" s="161"/>
      <c r="E243" s="109"/>
      <c r="F243" s="161"/>
      <c r="G243" s="109"/>
      <c r="H243" s="36"/>
      <c r="I243" s="89"/>
      <c r="J243" s="118"/>
    </row>
    <row r="244" spans="1:10" s="1" customFormat="1" ht="15.9" customHeight="1">
      <c r="A244" s="109"/>
      <c r="B244" s="33"/>
      <c r="D244" s="161"/>
      <c r="E244" s="109"/>
      <c r="F244" s="161"/>
      <c r="G244" s="109"/>
      <c r="H244" s="109"/>
      <c r="I244" s="328"/>
      <c r="J244" s="117"/>
    </row>
    <row r="245" spans="1:10" s="1" customFormat="1" ht="15.9" customHeight="1">
      <c r="A245" s="109"/>
      <c r="B245" s="33"/>
      <c r="C245" s="89" t="s">
        <v>276</v>
      </c>
      <c r="D245" s="161"/>
      <c r="E245" s="109"/>
      <c r="F245" s="161"/>
      <c r="G245" s="109"/>
      <c r="H245" s="109"/>
      <c r="I245" s="328"/>
      <c r="J245" s="117"/>
    </row>
    <row r="246" spans="1:10" s="1" customFormat="1" ht="15.9" customHeight="1">
      <c r="A246" s="109"/>
      <c r="B246" s="33"/>
      <c r="C246" s="328" t="s">
        <v>275</v>
      </c>
      <c r="D246" s="161"/>
      <c r="E246" s="109"/>
      <c r="F246" s="161"/>
      <c r="G246" s="109"/>
      <c r="H246" s="109"/>
      <c r="I246" s="24"/>
      <c r="J246" s="24"/>
    </row>
    <row r="247" spans="1:10" s="1" customFormat="1" ht="15.9" customHeight="1">
      <c r="A247" s="109"/>
      <c r="B247" s="33"/>
      <c r="C247" s="429" t="s">
        <v>273</v>
      </c>
      <c r="D247" s="161"/>
      <c r="E247" s="109"/>
      <c r="F247" s="161"/>
      <c r="G247" s="109"/>
      <c r="H247" s="109"/>
      <c r="I247" s="24"/>
      <c r="J247" s="24"/>
    </row>
    <row r="248" spans="1:10" s="1" customFormat="1" ht="15.9" customHeight="1">
      <c r="A248" s="109"/>
      <c r="B248" s="33"/>
      <c r="C248" s="374">
        <f>$I$135</f>
        <v>2040</v>
      </c>
      <c r="D248" s="161"/>
      <c r="E248" s="109"/>
      <c r="F248" s="161"/>
      <c r="G248" s="109"/>
      <c r="H248" s="109"/>
      <c r="I248" s="109"/>
      <c r="J248" s="24"/>
    </row>
    <row r="249" spans="1:10" s="1" customFormat="1" ht="15.9" customHeight="1">
      <c r="A249" s="109"/>
      <c r="B249" s="33"/>
      <c r="C249" s="363">
        <f>$J$135</f>
        <v>1</v>
      </c>
      <c r="D249" s="161"/>
      <c r="E249" s="109"/>
      <c r="F249" s="161"/>
      <c r="G249" s="109"/>
      <c r="H249" s="109"/>
      <c r="I249" s="24"/>
      <c r="J249" s="24"/>
    </row>
    <row r="250" spans="1:10" s="1" customFormat="1" ht="15.9" customHeight="1">
      <c r="A250" s="109"/>
      <c r="B250" s="33"/>
      <c r="C250" s="161"/>
      <c r="D250" s="161"/>
      <c r="E250" s="109"/>
      <c r="F250" s="161"/>
      <c r="G250" s="109"/>
      <c r="H250" s="109"/>
      <c r="I250" s="24"/>
      <c r="J250" s="24"/>
    </row>
    <row r="251" spans="1:10" s="1" customFormat="1" ht="15" customHeight="1">
      <c r="A251" s="109"/>
      <c r="B251" s="33"/>
      <c r="C251" s="33"/>
      <c r="D251" s="161"/>
      <c r="E251" s="109"/>
      <c r="F251" s="109"/>
      <c r="G251" s="44"/>
      <c r="H251" s="109"/>
      <c r="I251" s="24"/>
      <c r="J251" s="24"/>
    </row>
    <row r="252" spans="1:10" s="1" customFormat="1" ht="15.9" customHeight="1">
      <c r="A252" s="109"/>
      <c r="B252" s="33"/>
      <c r="C252" s="33"/>
      <c r="D252" s="161"/>
      <c r="E252" s="109"/>
      <c r="F252" s="109"/>
      <c r="G252" s="44"/>
      <c r="H252" s="109"/>
      <c r="I252" s="44"/>
      <c r="J252" s="119"/>
    </row>
    <row r="253" spans="1:10" s="1" customFormat="1" ht="15.9" customHeight="1">
      <c r="A253" s="109"/>
      <c r="B253" s="33"/>
      <c r="C253" s="33"/>
      <c r="D253" s="161"/>
      <c r="E253" s="109"/>
      <c r="F253" s="109"/>
      <c r="G253" s="44"/>
      <c r="H253" s="109"/>
      <c r="I253" s="44"/>
      <c r="J253" s="119"/>
    </row>
    <row r="254" spans="1:10" s="1" customFormat="1" ht="15.9" customHeight="1">
      <c r="A254" s="109"/>
      <c r="B254" s="33"/>
      <c r="C254" s="33"/>
      <c r="D254" s="161"/>
      <c r="E254" s="109"/>
      <c r="F254" s="109"/>
      <c r="G254" s="40"/>
      <c r="H254" s="109"/>
      <c r="I254" s="32"/>
      <c r="J254" s="40"/>
    </row>
    <row r="255" spans="1:10" s="1" customFormat="1" ht="15.9" customHeight="1">
      <c r="A255" s="109"/>
      <c r="B255" s="33"/>
      <c r="D255" s="161"/>
      <c r="E255" s="109"/>
      <c r="F255" s="109"/>
      <c r="G255" s="109"/>
      <c r="H255" s="109"/>
      <c r="J255" s="12"/>
    </row>
    <row r="256" spans="1:10" s="1" customFormat="1" ht="15.9" customHeight="1">
      <c r="A256" s="44"/>
      <c r="B256" s="44"/>
      <c r="D256" s="84"/>
      <c r="E256" s="44"/>
      <c r="F256" s="44"/>
      <c r="G256" s="109"/>
      <c r="H256" s="109"/>
      <c r="J256" s="12"/>
    </row>
    <row r="257" spans="1:32" s="1" customFormat="1" ht="15.9" customHeight="1">
      <c r="A257" s="40"/>
      <c r="B257" s="40"/>
      <c r="C257" s="89" t="s">
        <v>277</v>
      </c>
      <c r="D257" s="85"/>
      <c r="E257" s="40"/>
      <c r="F257" s="32"/>
      <c r="G257" s="109"/>
      <c r="J257" s="12"/>
    </row>
    <row r="258" spans="1:32" s="1" customFormat="1" ht="15.9" customHeight="1">
      <c r="A258" s="27"/>
      <c r="B258" s="33"/>
      <c r="C258" s="328" t="s">
        <v>275</v>
      </c>
      <c r="D258" s="161"/>
      <c r="E258" s="109"/>
      <c r="F258" s="109"/>
      <c r="G258" s="109"/>
      <c r="I258" s="24"/>
      <c r="J258" s="24"/>
    </row>
    <row r="259" spans="1:32" s="1" customFormat="1" ht="15.9" customHeight="1">
      <c r="A259" s="27"/>
      <c r="B259" s="33"/>
      <c r="C259" s="429" t="s">
        <v>273</v>
      </c>
      <c r="D259" s="161"/>
      <c r="E259" s="109"/>
      <c r="F259" s="109"/>
      <c r="G259" s="109"/>
      <c r="I259" s="24"/>
      <c r="J259" s="24"/>
    </row>
    <row r="260" spans="1:32" s="1" customFormat="1" ht="15.9" customHeight="1">
      <c r="A260" s="27"/>
      <c r="B260" s="33"/>
      <c r="C260" s="374">
        <f>$I$136</f>
        <v>2040</v>
      </c>
      <c r="D260" s="161"/>
      <c r="E260" s="109"/>
      <c r="F260" s="109"/>
      <c r="G260" s="109"/>
      <c r="I260" s="24"/>
      <c r="J260" s="24"/>
    </row>
    <row r="261" spans="1:32" s="1" customFormat="1" ht="15.9" customHeight="1">
      <c r="A261" s="27"/>
      <c r="B261" s="33"/>
      <c r="C261" s="363">
        <f>$J$136</f>
        <v>1</v>
      </c>
      <c r="D261" s="161"/>
      <c r="E261" s="109"/>
      <c r="F261" s="109"/>
      <c r="G261" s="109"/>
      <c r="I261" s="24"/>
      <c r="J261" s="24"/>
    </row>
    <row r="262" spans="1:32" s="1" customFormat="1" ht="15.9" customHeight="1">
      <c r="A262" s="27"/>
      <c r="B262" s="33"/>
      <c r="C262" s="33"/>
      <c r="D262" s="161"/>
      <c r="E262" s="109"/>
      <c r="F262" s="109"/>
      <c r="G262" s="109"/>
      <c r="I262" s="24"/>
      <c r="J262" s="24"/>
    </row>
    <row r="263" spans="1:32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32" s="1" customFormat="1" ht="15.9" customHeight="1">
      <c r="A264" s="27"/>
      <c r="B264" s="33"/>
      <c r="C264" s="33"/>
      <c r="D264" s="161"/>
      <c r="E264" s="109"/>
      <c r="F264" s="109"/>
      <c r="G264" s="109"/>
      <c r="I264" s="24"/>
      <c r="J264" s="24"/>
    </row>
    <row r="265" spans="1:32" s="1" customFormat="1" ht="15.9" customHeight="1">
      <c r="A265" s="27"/>
      <c r="B265" s="33"/>
      <c r="C265" s="46"/>
      <c r="D265" s="161"/>
      <c r="E265" s="109"/>
      <c r="F265" s="109"/>
      <c r="G265" s="109"/>
      <c r="I265" s="24"/>
      <c r="J265" s="24"/>
    </row>
    <row r="266" spans="1:32" s="1" customFormat="1" ht="15.9" customHeight="1">
      <c r="A266" s="27"/>
      <c r="B266" s="33"/>
      <c r="C266" s="161"/>
      <c r="D266" s="161"/>
      <c r="E266" s="109"/>
      <c r="F266" s="109"/>
      <c r="G266" s="109"/>
      <c r="I266" s="24"/>
      <c r="J266" s="24"/>
    </row>
    <row r="267" spans="1:32" s="1" customFormat="1" ht="15.9" customHeight="1">
      <c r="A267" s="27"/>
      <c r="B267" s="33"/>
      <c r="C267" s="33"/>
      <c r="D267" s="161"/>
      <c r="E267" s="109"/>
      <c r="F267" s="109"/>
      <c r="G267" s="109"/>
      <c r="I267" s="24"/>
      <c r="J267" s="24"/>
    </row>
    <row r="268" spans="1:32" s="1" customFormat="1" ht="15.9" customHeight="1">
      <c r="A268" s="27"/>
      <c r="B268" s="33"/>
      <c r="C268" s="89" t="s">
        <v>278</v>
      </c>
      <c r="D268" s="161"/>
      <c r="E268" s="109"/>
      <c r="F268" s="109"/>
      <c r="G268" s="109"/>
      <c r="H268" s="109"/>
      <c r="I268" s="24"/>
      <c r="J268" s="24"/>
    </row>
    <row r="269" spans="1:32" s="1" customFormat="1" ht="15.9" customHeight="1">
      <c r="A269" s="27"/>
      <c r="B269" s="33"/>
      <c r="C269" s="328" t="s">
        <v>287</v>
      </c>
      <c r="D269" s="328"/>
      <c r="E269" s="328"/>
      <c r="F269" s="109"/>
      <c r="G269" s="109"/>
      <c r="H269" s="109"/>
      <c r="I269" s="24"/>
      <c r="J269" s="24"/>
      <c r="AF269" s="1">
        <v>6</v>
      </c>
    </row>
    <row r="270" spans="1:32" s="1" customFormat="1" ht="15.9" customHeight="1">
      <c r="A270" s="27"/>
      <c r="B270" s="33"/>
      <c r="C270" s="429" t="s">
        <v>279</v>
      </c>
      <c r="D270" s="429"/>
      <c r="E270" s="429"/>
      <c r="F270" s="109"/>
      <c r="G270" s="109"/>
      <c r="H270" s="109"/>
      <c r="I270" s="24"/>
      <c r="J270" s="24"/>
    </row>
    <row r="271" spans="1:32" s="1" customFormat="1" ht="15.9" customHeight="1">
      <c r="A271" s="27"/>
      <c r="B271" s="33"/>
      <c r="C271" s="374">
        <f>$I$137</f>
        <v>2200</v>
      </c>
      <c r="D271" s="161"/>
      <c r="E271" s="109"/>
      <c r="F271" s="109"/>
      <c r="G271" s="33"/>
      <c r="H271" s="33"/>
      <c r="I271" s="24"/>
      <c r="J271" s="24"/>
    </row>
    <row r="272" spans="1:32" s="1" customFormat="1" ht="15.9" customHeight="1">
      <c r="A272" s="27"/>
      <c r="B272" s="33"/>
      <c r="C272" s="363">
        <f>$J$137+$J$138</f>
        <v>2</v>
      </c>
      <c r="D272" s="161"/>
      <c r="E272" s="109"/>
      <c r="F272" s="109"/>
      <c r="G272" s="109"/>
      <c r="H272" s="109"/>
      <c r="I272" s="24"/>
      <c r="J272" s="24"/>
    </row>
    <row r="273" spans="1:10" s="1" customFormat="1" ht="15.9" customHeight="1">
      <c r="A273" s="27"/>
      <c r="B273" s="33"/>
      <c r="D273" s="89"/>
      <c r="E273" s="89"/>
      <c r="F273" s="109"/>
      <c r="G273" s="109"/>
      <c r="H273" s="109"/>
      <c r="I273" s="24"/>
      <c r="J273" s="24"/>
    </row>
    <row r="274" spans="1:10" s="1" customFormat="1" ht="15.9" customHeight="1">
      <c r="A274" s="27"/>
      <c r="B274" s="33"/>
      <c r="D274" s="89"/>
      <c r="E274" s="89"/>
      <c r="F274" s="109"/>
      <c r="G274" s="109"/>
      <c r="H274" s="109"/>
      <c r="J274" s="12"/>
    </row>
    <row r="275" spans="1:10" s="1" customFormat="1" ht="15.9" customHeight="1">
      <c r="A275" s="27"/>
      <c r="B275" s="33"/>
      <c r="D275" s="89"/>
      <c r="E275" s="89"/>
      <c r="F275" s="109"/>
      <c r="G275" s="109"/>
      <c r="H275" s="109"/>
      <c r="J275" s="12"/>
    </row>
    <row r="276" spans="1:10" s="1" customFormat="1" ht="15.9" customHeight="1">
      <c r="A276" s="27"/>
      <c r="B276" s="33"/>
      <c r="D276" s="89"/>
      <c r="E276" s="89"/>
      <c r="F276" s="109"/>
      <c r="G276" s="109"/>
      <c r="H276" s="109"/>
      <c r="J276" s="12"/>
    </row>
    <row r="277" spans="1:10" s="1" customFormat="1" ht="15.9" customHeight="1">
      <c r="A277" s="27"/>
      <c r="D277" s="328"/>
      <c r="E277" s="328"/>
      <c r="F277" s="109"/>
      <c r="G277" s="109"/>
      <c r="H277" s="109"/>
      <c r="J277" s="12"/>
    </row>
    <row r="278" spans="1:10" s="1" customFormat="1" ht="15.9" customHeight="1">
      <c r="A278" s="27"/>
      <c r="B278" s="33"/>
      <c r="D278" s="328"/>
      <c r="E278" s="328"/>
      <c r="F278" s="109"/>
      <c r="G278" s="109"/>
      <c r="J278" s="12"/>
    </row>
    <row r="279" spans="1:10" s="1" customFormat="1" ht="15.9" customHeight="1">
      <c r="A279" s="27"/>
      <c r="B279" s="33"/>
      <c r="C279" s="33"/>
      <c r="D279" s="161"/>
      <c r="E279" s="109"/>
      <c r="F279" s="109"/>
      <c r="G279" s="109"/>
      <c r="J279" s="12"/>
    </row>
    <row r="280" spans="1:10" s="1" customFormat="1" ht="15.9" customHeight="1">
      <c r="A280" s="27"/>
      <c r="B280" s="33"/>
      <c r="C280" s="89" t="s">
        <v>280</v>
      </c>
      <c r="D280" s="162"/>
      <c r="E280" s="24"/>
      <c r="F280" s="109"/>
      <c r="G280" s="109"/>
      <c r="J280" s="12"/>
    </row>
    <row r="281" spans="1:10" s="1" customFormat="1" ht="15.9" customHeight="1">
      <c r="A281" s="27"/>
      <c r="B281" s="33"/>
      <c r="C281" s="328" t="s">
        <v>649</v>
      </c>
      <c r="D281" s="328"/>
      <c r="E281" s="328"/>
      <c r="F281" s="109"/>
      <c r="G281" s="109"/>
      <c r="J281" s="12"/>
    </row>
    <row r="282" spans="1:10" s="1" customFormat="1" ht="15.9" customHeight="1">
      <c r="A282" s="27"/>
      <c r="B282" s="33"/>
      <c r="C282" s="433" t="s">
        <v>650</v>
      </c>
      <c r="D282" s="429"/>
      <c r="E282" s="429"/>
      <c r="F282" s="109"/>
      <c r="G282" s="109"/>
      <c r="I282" s="24"/>
      <c r="J282" s="24"/>
    </row>
    <row r="283" spans="1:10" s="1" customFormat="1" ht="15.9" customHeight="1">
      <c r="A283" s="27"/>
      <c r="B283" s="33"/>
      <c r="C283" s="374">
        <f>$I$139</f>
        <v>2104</v>
      </c>
      <c r="F283" s="109"/>
      <c r="G283" s="109"/>
      <c r="I283" s="24"/>
      <c r="J283" s="24"/>
    </row>
    <row r="284" spans="1:10" s="1" customFormat="1" ht="15.9" customHeight="1">
      <c r="A284" s="27"/>
      <c r="B284" s="33"/>
      <c r="C284" s="363">
        <f>$J$139+$J$140</f>
        <v>2</v>
      </c>
      <c r="F284" s="109"/>
      <c r="G284" s="109"/>
      <c r="I284" s="24"/>
      <c r="J284" s="24"/>
    </row>
    <row r="285" spans="1:10" s="1" customFormat="1" ht="15.9" customHeight="1">
      <c r="A285" s="27"/>
      <c r="B285" s="33"/>
      <c r="F285" s="109"/>
      <c r="G285" s="109"/>
      <c r="H285" s="109"/>
      <c r="I285" s="109"/>
      <c r="J285" s="24"/>
    </row>
    <row r="286" spans="1:10" s="1" customFormat="1" ht="15.9" customHeight="1">
      <c r="A286" s="27"/>
      <c r="B286" s="33"/>
      <c r="F286" s="109"/>
      <c r="G286" s="109"/>
      <c r="H286" s="109"/>
      <c r="I286" s="109"/>
      <c r="J286" s="24"/>
    </row>
    <row r="287" spans="1:10" s="1" customFormat="1" ht="15.9" customHeight="1">
      <c r="A287" s="27"/>
      <c r="B287" s="33"/>
      <c r="C287" s="33"/>
      <c r="D287" s="161"/>
      <c r="E287" s="109"/>
      <c r="F287" s="109"/>
      <c r="G287" s="109"/>
      <c r="H287" s="109"/>
      <c r="I287" s="109"/>
      <c r="J287" s="24"/>
    </row>
    <row r="288" spans="1:10" s="1" customFormat="1" ht="15.9" customHeight="1">
      <c r="A288" s="27"/>
      <c r="B288" s="33"/>
      <c r="F288" s="109"/>
      <c r="G288" s="109"/>
      <c r="H288" s="109"/>
      <c r="I288" s="109"/>
      <c r="J288" s="24"/>
    </row>
    <row r="289" spans="1:10" s="1" customFormat="1" ht="15.9" customHeight="1">
      <c r="A289" s="27"/>
      <c r="B289" s="33"/>
      <c r="F289" s="109"/>
      <c r="G289" s="109"/>
      <c r="H289" s="109"/>
      <c r="I289" s="109"/>
      <c r="J289" s="24"/>
    </row>
    <row r="290" spans="1:10" s="1" customFormat="1" ht="15.9" customHeight="1">
      <c r="A290" s="27"/>
      <c r="B290" s="33"/>
      <c r="C290" s="89" t="s">
        <v>283</v>
      </c>
      <c r="F290" s="109"/>
      <c r="G290" s="109"/>
      <c r="H290" s="109"/>
      <c r="J290" s="12"/>
    </row>
    <row r="291" spans="1:10" s="1" customFormat="1" ht="15.9" customHeight="1">
      <c r="A291" s="27"/>
      <c r="B291" s="33"/>
      <c r="C291" s="94" t="s">
        <v>459</v>
      </c>
      <c r="D291" s="161"/>
      <c r="E291" s="109"/>
      <c r="F291" s="109"/>
      <c r="G291" s="109"/>
      <c r="H291" s="109"/>
      <c r="J291" s="12"/>
    </row>
    <row r="292" spans="1:10" s="1" customFormat="1" ht="15.9" customHeight="1">
      <c r="A292" s="27"/>
      <c r="B292" s="33"/>
      <c r="C292" s="429" t="s">
        <v>460</v>
      </c>
      <c r="D292" s="161"/>
      <c r="E292" s="109"/>
      <c r="F292" s="109"/>
      <c r="G292" s="109"/>
      <c r="H292" s="109"/>
      <c r="J292" s="12"/>
    </row>
    <row r="293" spans="1:10" s="1" customFormat="1" ht="15.9" customHeight="1">
      <c r="A293" s="27"/>
      <c r="B293" s="33"/>
      <c r="C293" s="328" t="s">
        <v>281</v>
      </c>
      <c r="D293" s="328"/>
      <c r="E293" s="328"/>
      <c r="F293" s="109"/>
      <c r="G293" s="109"/>
      <c r="I293" s="162"/>
      <c r="J293" s="24"/>
    </row>
    <row r="294" spans="1:10" s="1" customFormat="1" ht="15.9" customHeight="1">
      <c r="A294" s="27"/>
      <c r="B294" s="33"/>
      <c r="C294" s="429" t="s">
        <v>282</v>
      </c>
      <c r="D294" s="429"/>
      <c r="E294" s="429"/>
      <c r="F294" s="109"/>
      <c r="G294" s="109"/>
      <c r="I294" s="109"/>
      <c r="J294" s="24"/>
    </row>
    <row r="295" spans="1:10" s="1" customFormat="1" ht="15.9" customHeight="1">
      <c r="A295" s="27"/>
      <c r="B295" s="33"/>
      <c r="C295" s="374">
        <f>$I$141</f>
        <v>563.83333333333337</v>
      </c>
      <c r="F295" s="109"/>
      <c r="G295" s="109"/>
      <c r="I295" s="24"/>
      <c r="J295" s="24"/>
    </row>
    <row r="296" spans="1:10" s="1" customFormat="1" ht="15.9" customHeight="1">
      <c r="A296" s="27"/>
      <c r="B296" s="33"/>
      <c r="C296" s="363">
        <f>$J$141+$J$142</f>
        <v>6</v>
      </c>
      <c r="D296" s="161"/>
      <c r="E296" s="109"/>
      <c r="F296" s="109"/>
      <c r="G296" s="109"/>
      <c r="H296" s="161"/>
      <c r="I296" s="24"/>
      <c r="J296" s="24"/>
    </row>
    <row r="297" spans="1:10" s="1" customFormat="1" ht="15.9" customHeight="1">
      <c r="A297" s="27"/>
      <c r="B297" s="33"/>
      <c r="C297" s="374">
        <f>$I$143</f>
        <v>2108</v>
      </c>
      <c r="D297" s="161"/>
      <c r="E297" s="109"/>
      <c r="F297" s="109"/>
      <c r="G297" s="109"/>
      <c r="H297" s="109"/>
      <c r="I297" s="24"/>
      <c r="J297" s="24"/>
    </row>
    <row r="298" spans="1:10" s="23" customFormat="1" ht="15.9" customHeight="1">
      <c r="A298" s="27"/>
      <c r="B298" s="33"/>
      <c r="C298" s="363">
        <f>$J$143+$J$144+$J$145</f>
        <v>6</v>
      </c>
      <c r="D298" s="161"/>
      <c r="E298" s="109"/>
      <c r="F298" s="109"/>
      <c r="G298" s="109"/>
      <c r="H298" s="109"/>
      <c r="I298" s="109"/>
      <c r="J298" s="109"/>
    </row>
    <row r="299" spans="1:10" s="23" customFormat="1" ht="15.9" customHeight="1">
      <c r="A299" s="27"/>
      <c r="B299" s="33"/>
      <c r="C299" s="1"/>
      <c r="D299" s="161"/>
      <c r="E299" s="109"/>
      <c r="F299" s="109"/>
      <c r="G299" s="109"/>
      <c r="H299" s="109"/>
      <c r="I299" s="109"/>
      <c r="J299" s="109"/>
    </row>
    <row r="300" spans="1:10" s="23" customFormat="1" ht="15.9" customHeight="1">
      <c r="A300" s="27"/>
      <c r="B300" s="33"/>
      <c r="C300" s="1"/>
      <c r="D300" s="161"/>
      <c r="E300" s="109"/>
      <c r="F300" s="109"/>
      <c r="G300" s="109"/>
      <c r="H300" s="109"/>
      <c r="I300" s="109"/>
      <c r="J300" s="109"/>
    </row>
    <row r="301" spans="1:10" s="1" customFormat="1" ht="15.9" customHeight="1">
      <c r="A301" s="27"/>
      <c r="B301" s="33"/>
      <c r="C301" s="33"/>
      <c r="D301" s="161"/>
      <c r="E301" s="109"/>
      <c r="F301" s="109"/>
      <c r="G301" s="109"/>
      <c r="H301" s="109"/>
      <c r="I301" s="44"/>
      <c r="J301" s="119"/>
    </row>
    <row r="302" spans="1:10" s="1" customFormat="1" ht="15.9" customHeight="1">
      <c r="A302" s="27"/>
      <c r="B302" s="33"/>
      <c r="C302" s="23"/>
      <c r="D302" s="161"/>
      <c r="E302" s="109"/>
      <c r="F302" s="109"/>
      <c r="G302" s="109"/>
      <c r="H302" s="109"/>
      <c r="I302" s="32"/>
      <c r="J302" s="40"/>
    </row>
    <row r="303" spans="1:10" s="1" customFormat="1" ht="15.9" customHeight="1">
      <c r="A303" s="27"/>
      <c r="B303" s="33"/>
      <c r="C303" s="89" t="s">
        <v>284</v>
      </c>
      <c r="D303" s="161"/>
      <c r="E303" s="109"/>
      <c r="F303" s="109"/>
      <c r="G303" s="109"/>
      <c r="H303" s="109"/>
      <c r="I303" s="24"/>
      <c r="J303" s="24"/>
    </row>
    <row r="304" spans="1:10" s="1" customFormat="1" ht="15.9" customHeight="1">
      <c r="A304" s="27"/>
      <c r="B304" s="33"/>
      <c r="C304" s="94" t="s">
        <v>459</v>
      </c>
      <c r="D304" s="161"/>
      <c r="E304" s="109"/>
      <c r="F304" s="109"/>
      <c r="G304" s="44"/>
      <c r="H304" s="44"/>
      <c r="I304" s="24"/>
      <c r="J304" s="24"/>
    </row>
    <row r="305" spans="1:14" s="1" customFormat="1" ht="15.9" customHeight="1">
      <c r="A305" s="27"/>
      <c r="B305" s="33"/>
      <c r="C305" s="429" t="s">
        <v>460</v>
      </c>
      <c r="D305" s="328"/>
      <c r="E305" s="328"/>
      <c r="F305" s="109"/>
      <c r="G305" s="40"/>
      <c r="H305" s="32"/>
      <c r="I305" s="109"/>
      <c r="J305" s="24"/>
    </row>
    <row r="306" spans="1:14" s="1" customFormat="1" ht="15.9" customHeight="1">
      <c r="A306" s="41"/>
      <c r="B306" s="33"/>
      <c r="C306" s="328" t="s">
        <v>286</v>
      </c>
      <c r="D306" s="429"/>
      <c r="E306" s="429"/>
      <c r="F306" s="109"/>
      <c r="G306" s="109"/>
      <c r="H306" s="109"/>
      <c r="I306" s="109"/>
      <c r="J306" s="24"/>
    </row>
    <row r="307" spans="1:14" s="1" customFormat="1" ht="15.9" customHeight="1">
      <c r="A307" s="44"/>
      <c r="B307" s="44"/>
      <c r="C307" s="429" t="s">
        <v>285</v>
      </c>
      <c r="D307" s="86"/>
      <c r="E307" s="79"/>
      <c r="F307" s="44"/>
      <c r="G307" s="109"/>
      <c r="H307" s="109"/>
      <c r="I307" s="109"/>
      <c r="J307" s="24"/>
    </row>
    <row r="308" spans="1:14" s="1" customFormat="1" ht="15.9" customHeight="1">
      <c r="A308" s="40"/>
      <c r="B308" s="40"/>
      <c r="C308" s="374">
        <f>$I$146</f>
        <v>563.83333333333337</v>
      </c>
      <c r="D308" s="87"/>
      <c r="E308" s="80"/>
      <c r="F308" s="32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63">
        <f>$J$146</f>
        <v>6</v>
      </c>
      <c r="D309" s="15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74">
        <f>$I$147</f>
        <v>1958</v>
      </c>
      <c r="D310" s="15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C311" s="363">
        <f>$J$147</f>
        <v>6</v>
      </c>
      <c r="D311" s="15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C312" s="89"/>
      <c r="D312" s="161"/>
      <c r="E312" s="109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C313" s="328"/>
      <c r="D313" s="328"/>
      <c r="E313" s="328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26"/>
      <c r="C314" s="26"/>
      <c r="D314" s="83"/>
      <c r="E314" s="25"/>
      <c r="F314" s="25"/>
      <c r="G314" s="25"/>
      <c r="H314" s="25"/>
      <c r="I314" s="27"/>
      <c r="J314" s="99" t="str">
        <f>LEFT($J$111,13)&amp;"-03"</f>
        <v>FG-240-3P1L2R-03</v>
      </c>
    </row>
    <row r="315" spans="1:14" ht="12.75" customHeight="1">
      <c r="A315" s="17"/>
      <c r="B315" s="56"/>
      <c r="C315" s="56"/>
      <c r="D315" s="30"/>
      <c r="E315" s="17"/>
      <c r="F315" s="17"/>
      <c r="G315" s="17"/>
      <c r="H315" s="17"/>
      <c r="I315" s="179"/>
      <c r="J315" s="179"/>
    </row>
    <row r="316" spans="1:14" ht="30" customHeight="1">
      <c r="B316" s="279"/>
      <c r="C316" s="5"/>
      <c r="D316" s="95"/>
      <c r="E316" s="95"/>
      <c r="F316" s="95"/>
      <c r="G316" s="95"/>
      <c r="H316" s="95"/>
      <c r="I316" s="95"/>
      <c r="J316" s="90" t="str">
        <f>$J$2</f>
        <v>HOMELIFE</v>
      </c>
      <c r="K316" s="11"/>
      <c r="L316" s="11"/>
      <c r="M316" s="2"/>
      <c r="N316" s="2"/>
    </row>
    <row r="317" spans="1:14" ht="24.9" customHeight="1">
      <c r="B317" s="279"/>
      <c r="C317" s="28"/>
      <c r="D317" s="28"/>
      <c r="E317" s="28"/>
      <c r="F317" s="28"/>
      <c r="G317" s="28"/>
      <c r="H317" s="28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8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ht="15" customHeight="1" thickBot="1"/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</row>
    <row r="321" spans="1:10" s="1" customFormat="1" ht="15" customHeight="1">
      <c r="A321" s="63"/>
      <c r="B321" s="72"/>
      <c r="C321" s="56"/>
      <c r="D321" s="30"/>
      <c r="E321" s="29"/>
      <c r="F321" s="160"/>
      <c r="G321" s="160"/>
      <c r="H321" s="160"/>
      <c r="I321" s="160"/>
      <c r="J321" s="116"/>
    </row>
    <row r="322" spans="1:10" s="1" customFormat="1" ht="15" customHeight="1">
      <c r="A322" s="63"/>
      <c r="B322" s="72"/>
      <c r="C322" s="56"/>
      <c r="D322" s="30"/>
      <c r="E322" s="29"/>
      <c r="F322" s="160"/>
      <c r="G322" s="160"/>
      <c r="H322" s="160"/>
      <c r="I322" s="160"/>
      <c r="J322" s="116"/>
    </row>
    <row r="323" spans="1:10" s="1" customFormat="1" ht="15" customHeight="1">
      <c r="A323" s="17"/>
      <c r="B323" s="56"/>
      <c r="C323" s="56"/>
      <c r="D323" s="30"/>
      <c r="E323" s="29"/>
      <c r="F323" s="30"/>
      <c r="G323" s="31"/>
      <c r="H323" s="31"/>
      <c r="I323" s="31"/>
      <c r="J323" s="17"/>
    </row>
    <row r="324" spans="1:10" s="1" customFormat="1" ht="15" customHeight="1">
      <c r="A324" s="17"/>
      <c r="B324" s="56"/>
      <c r="C324" s="30"/>
      <c r="D324" s="30"/>
      <c r="E324" s="29"/>
      <c r="F324" s="30"/>
      <c r="G324" s="17"/>
      <c r="H324" s="31"/>
      <c r="I324" s="17"/>
      <c r="J324" s="17"/>
    </row>
    <row r="325" spans="1:10" s="1" customFormat="1" ht="15" customHeight="1">
      <c r="A325" s="17"/>
      <c r="B325" s="56"/>
      <c r="C325" s="30"/>
      <c r="D325" s="30"/>
      <c r="E325" s="29"/>
      <c r="F325" s="30"/>
      <c r="G325" s="17"/>
      <c r="H325" s="31"/>
      <c r="I325" s="17"/>
      <c r="J325" s="17"/>
    </row>
    <row r="326" spans="1:10" s="1" customFormat="1" ht="15" customHeight="1">
      <c r="A326" s="17"/>
      <c r="B326" s="56"/>
      <c r="C326" s="30"/>
      <c r="D326" s="30"/>
      <c r="E326" s="29"/>
      <c r="F326" s="30"/>
      <c r="G326" s="17"/>
      <c r="H326" s="31"/>
      <c r="I326" s="17"/>
      <c r="J326" s="17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109"/>
      <c r="J329" s="109"/>
    </row>
    <row r="330" spans="1:10" s="1" customFormat="1" ht="15" customHeight="1">
      <c r="A330" s="109"/>
      <c r="B330" s="33"/>
      <c r="C330" s="42"/>
      <c r="D330" s="161"/>
      <c r="E330" s="109"/>
      <c r="F330" s="505"/>
      <c r="G330" s="505"/>
      <c r="H330" s="425"/>
      <c r="I330" s="42"/>
      <c r="J330" s="109"/>
    </row>
    <row r="331" spans="1:10" s="1" customFormat="1" ht="15" customHeight="1">
      <c r="A331" s="92"/>
      <c r="B331" s="92"/>
      <c r="C331" s="161"/>
      <c r="D331" s="161"/>
      <c r="E331" s="109"/>
      <c r="F331" s="425"/>
      <c r="G331" s="425"/>
      <c r="H331" s="425"/>
      <c r="I331" s="161"/>
      <c r="J331" s="109"/>
    </row>
    <row r="332" spans="1:10" s="1" customFormat="1" ht="15" customHeight="1">
      <c r="A332" s="64" t="str">
        <f>A18</f>
        <v>240-3 Panel (1L2R)</v>
      </c>
      <c r="B332" s="92"/>
      <c r="C332" s="161"/>
      <c r="D332" s="161"/>
      <c r="E332" s="109"/>
      <c r="F332" s="425"/>
      <c r="G332" s="425"/>
      <c r="H332" s="425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45"/>
      <c r="C333" s="42"/>
      <c r="D333" s="161"/>
      <c r="E333" s="109"/>
      <c r="F333" s="507"/>
      <c r="G333" s="507"/>
      <c r="H333" s="425"/>
      <c r="I333" s="109"/>
      <c r="J333" s="109"/>
    </row>
    <row r="334" spans="1:10" s="1" customFormat="1" ht="15.9" customHeight="1">
      <c r="A334" s="109"/>
      <c r="B334" s="109"/>
      <c r="C334" s="161"/>
      <c r="D334" s="161"/>
      <c r="E334" s="109"/>
      <c r="F334" s="37"/>
      <c r="G334" s="38"/>
      <c r="H334" s="109"/>
      <c r="I334" s="109"/>
      <c r="J334" s="109"/>
    </row>
    <row r="335" spans="1:10" s="1" customFormat="1" ht="15.9" customHeight="1">
      <c r="A335" s="39"/>
      <c r="C335" s="43"/>
      <c r="D335" s="161"/>
      <c r="E335" s="109"/>
      <c r="F335" s="109"/>
      <c r="G335" s="109"/>
      <c r="H335" s="109"/>
      <c r="I335" s="109"/>
      <c r="J335" s="109"/>
    </row>
    <row r="336" spans="1:10" s="1" customFormat="1" ht="15.9" customHeight="1">
      <c r="A336" s="44"/>
      <c r="C336" s="44"/>
      <c r="D336" s="84"/>
      <c r="E336" s="44"/>
      <c r="F336" s="44"/>
      <c r="G336" s="44"/>
      <c r="H336" s="44"/>
      <c r="I336" s="44"/>
      <c r="J336" s="119"/>
    </row>
    <row r="337" spans="1:10" s="1" customFormat="1" ht="15.9" customHeight="1">
      <c r="A337" s="40"/>
      <c r="C337" s="161"/>
      <c r="D337" s="85"/>
      <c r="E337" s="40"/>
      <c r="F337" s="32"/>
      <c r="G337" s="40"/>
      <c r="H337" s="32"/>
      <c r="I337" s="32"/>
      <c r="J337" s="40"/>
    </row>
    <row r="338" spans="1:10" s="1" customFormat="1" ht="15.9" customHeight="1">
      <c r="A338" s="109"/>
      <c r="C338" s="163"/>
      <c r="D338" s="161"/>
      <c r="E338" s="109"/>
      <c r="F338" s="161"/>
      <c r="G338" s="109"/>
      <c r="H338" s="109"/>
      <c r="I338" s="24"/>
      <c r="J338" s="24"/>
    </row>
    <row r="339" spans="1:10" s="1" customFormat="1" ht="15.9" customHeight="1">
      <c r="A339" s="109"/>
      <c r="B339" s="33"/>
      <c r="C339" s="161"/>
      <c r="D339" s="161"/>
      <c r="E339" s="109"/>
      <c r="F339" s="161"/>
      <c r="G339" s="109"/>
      <c r="H339" s="109"/>
      <c r="I339" s="24"/>
      <c r="J339" s="24"/>
    </row>
    <row r="340" spans="1:10" s="1" customFormat="1" ht="15.9" customHeight="1">
      <c r="A340" s="109"/>
      <c r="B340" s="33"/>
      <c r="C340" s="44"/>
      <c r="D340" s="161"/>
      <c r="E340" s="109"/>
      <c r="F340" s="161"/>
      <c r="G340" s="109"/>
      <c r="H340" s="162"/>
      <c r="I340" s="162"/>
      <c r="J340" s="162"/>
    </row>
    <row r="341" spans="1:10" s="1" customFormat="1" ht="15.9" customHeight="1">
      <c r="A341" s="109"/>
      <c r="B341" s="33"/>
      <c r="C341" s="42"/>
      <c r="D341" s="161"/>
      <c r="E341" s="109"/>
      <c r="F341" s="161"/>
      <c r="G341" s="109"/>
      <c r="H341" s="161"/>
      <c r="I341" s="161"/>
      <c r="J341" s="161"/>
    </row>
    <row r="342" spans="1:10" s="1" customFormat="1" ht="15.9" customHeight="1">
      <c r="A342" s="109"/>
      <c r="B342" s="33"/>
      <c r="C342" s="163"/>
      <c r="D342" s="161"/>
      <c r="E342" s="109"/>
      <c r="F342" s="161"/>
      <c r="G342" s="109"/>
      <c r="H342" s="161"/>
      <c r="I342" s="161"/>
      <c r="J342" s="161"/>
    </row>
    <row r="343" spans="1:10" s="1" customFormat="1" ht="15.9" customHeight="1">
      <c r="A343" s="109"/>
      <c r="B343" s="33"/>
      <c r="C343" s="161"/>
      <c r="D343" s="161"/>
      <c r="E343" s="109"/>
      <c r="F343" s="161"/>
      <c r="G343" s="109"/>
      <c r="H343" s="109"/>
      <c r="I343" s="109"/>
      <c r="J343" s="24"/>
    </row>
    <row r="344" spans="1:10" s="1" customFormat="1" ht="15.9" customHeight="1">
      <c r="A344" s="109"/>
      <c r="B344" s="33"/>
      <c r="C344" s="33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44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161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3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1"/>
      <c r="D350" s="161"/>
      <c r="E350" s="109"/>
      <c r="F350" s="161"/>
      <c r="G350" s="109"/>
      <c r="H350" s="109"/>
      <c r="I350" s="109"/>
      <c r="J350" s="24"/>
    </row>
    <row r="351" spans="1:10" s="1" customFormat="1" ht="15.9" customHeight="1">
      <c r="A351" s="109"/>
      <c r="B351" s="33"/>
      <c r="C351" s="33"/>
      <c r="D351" s="161"/>
      <c r="E351" s="109"/>
      <c r="F351" s="109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33"/>
      <c r="D352" s="161"/>
      <c r="E352" s="109"/>
      <c r="F352" s="109"/>
      <c r="G352" s="109"/>
      <c r="H352" s="107"/>
      <c r="I352" s="24"/>
      <c r="J352" s="24"/>
    </row>
    <row r="353" spans="1:10" s="1" customFormat="1" ht="15" customHeight="1">
      <c r="A353" s="109"/>
      <c r="B353" s="33"/>
      <c r="C353" s="33"/>
      <c r="D353" s="161"/>
      <c r="E353" s="109"/>
      <c r="F353" s="109"/>
      <c r="G353" s="109"/>
      <c r="H353" s="109"/>
      <c r="I353" s="24"/>
      <c r="J353" s="24"/>
    </row>
    <row r="354" spans="1:10" s="23" customFormat="1" ht="15.9" customHeight="1">
      <c r="A354" s="109"/>
      <c r="B354" s="33"/>
      <c r="C354" s="33"/>
      <c r="D354" s="161"/>
      <c r="E354" s="109"/>
      <c r="F354" s="109"/>
      <c r="G354" s="109"/>
      <c r="H354" s="109"/>
      <c r="I354" s="109"/>
      <c r="J354" s="109"/>
    </row>
    <row r="355" spans="1:10" s="1" customFormat="1" ht="15.9" customHeight="1">
      <c r="A355" s="44"/>
      <c r="B355" s="44"/>
      <c r="C355" s="44"/>
      <c r="D355" s="84"/>
      <c r="E355" s="44"/>
      <c r="F355" s="44"/>
      <c r="G355" s="44"/>
      <c r="H355" s="44"/>
      <c r="I355" s="44"/>
      <c r="J355" s="119"/>
    </row>
    <row r="356" spans="1:10" s="1" customFormat="1" ht="15.9" customHeight="1">
      <c r="A356" s="40"/>
      <c r="B356" s="40"/>
      <c r="C356" s="44"/>
      <c r="D356" s="85"/>
      <c r="E356" s="40"/>
      <c r="F356" s="32"/>
      <c r="G356" s="40"/>
      <c r="H356" s="32"/>
      <c r="I356" s="32"/>
      <c r="J356" s="40"/>
    </row>
    <row r="357" spans="1:10" s="1" customFormat="1" ht="15.9" customHeight="1">
      <c r="A357" s="27"/>
      <c r="B357" s="33"/>
      <c r="C357" s="42"/>
      <c r="D357" s="161"/>
      <c r="E357" s="109"/>
      <c r="F357" s="109"/>
      <c r="G357" s="109"/>
      <c r="H357" s="42"/>
      <c r="I357" s="24"/>
      <c r="J357" s="24"/>
    </row>
    <row r="358" spans="1:10" s="1" customFormat="1" ht="15.9" customHeight="1">
      <c r="A358" s="27"/>
      <c r="B358" s="33"/>
      <c r="C358" s="163"/>
      <c r="D358" s="161"/>
      <c r="E358" s="109"/>
      <c r="F358" s="109"/>
      <c r="G358" s="109"/>
      <c r="H358" s="163"/>
      <c r="I358" s="163"/>
      <c r="J358" s="163"/>
    </row>
    <row r="359" spans="1:10" s="1" customFormat="1" ht="15.9" customHeight="1">
      <c r="A359" s="27"/>
      <c r="B359" s="33"/>
      <c r="C359" s="161"/>
      <c r="D359" s="161"/>
      <c r="E359" s="109"/>
      <c r="F359" s="109"/>
      <c r="G359" s="109"/>
      <c r="H359" s="161"/>
      <c r="I359" s="161"/>
      <c r="J359" s="161"/>
    </row>
    <row r="360" spans="1:10" s="1" customFormat="1" ht="15.9" customHeight="1">
      <c r="A360" s="27"/>
      <c r="B360" s="33"/>
      <c r="C360" s="33"/>
      <c r="D360" s="161"/>
      <c r="E360" s="109"/>
      <c r="F360" s="109"/>
      <c r="G360" s="109"/>
      <c r="H360" s="109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46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161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33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B369" s="33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D371" s="161"/>
      <c r="E371" s="109"/>
      <c r="F371" s="109"/>
      <c r="G371" s="33"/>
      <c r="H371" s="33"/>
      <c r="I371" s="24"/>
      <c r="J371" s="24"/>
    </row>
    <row r="372" spans="1:10" s="1" customFormat="1" ht="15.9" customHeight="1">
      <c r="A372" s="27"/>
      <c r="B372" s="33"/>
      <c r="C372" s="33"/>
      <c r="D372" s="161"/>
      <c r="E372" s="109"/>
      <c r="F372" s="109"/>
      <c r="G372" s="109"/>
      <c r="H372" s="109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42"/>
      <c r="I375" s="24"/>
      <c r="J375" s="24"/>
    </row>
    <row r="376" spans="1:10" s="1" customFormat="1" ht="15.9" customHeight="1">
      <c r="A376" s="27"/>
      <c r="B376" s="33"/>
      <c r="C376" s="47"/>
      <c r="D376" s="161"/>
      <c r="E376" s="109"/>
      <c r="F376" s="109"/>
      <c r="G376" s="109"/>
      <c r="H376" s="163"/>
      <c r="I376" s="163"/>
      <c r="J376" s="163"/>
    </row>
    <row r="377" spans="1:10" s="1" customFormat="1" ht="15.9" customHeight="1">
      <c r="A377" s="27"/>
      <c r="B377" s="33"/>
      <c r="C377" s="46"/>
      <c r="D377" s="161"/>
      <c r="E377" s="109"/>
      <c r="F377" s="109"/>
      <c r="G377" s="109"/>
      <c r="H377" s="161"/>
      <c r="I377" s="161"/>
      <c r="J377" s="161"/>
    </row>
    <row r="378" spans="1:10" s="1" customFormat="1" ht="15.9" customHeight="1">
      <c r="A378" s="27"/>
      <c r="B378" s="33"/>
      <c r="C378" s="161"/>
      <c r="D378" s="161"/>
      <c r="E378" s="109"/>
      <c r="F378" s="109"/>
      <c r="G378" s="109"/>
      <c r="H378" s="42"/>
      <c r="I378" s="24"/>
      <c r="J378" s="24"/>
    </row>
    <row r="379" spans="1:10" s="1" customFormat="1" ht="15.9" customHeight="1">
      <c r="A379" s="27"/>
      <c r="B379" s="33"/>
      <c r="C379" s="33"/>
      <c r="D379" s="161"/>
      <c r="E379" s="109"/>
      <c r="F379" s="109"/>
      <c r="G379" s="109"/>
      <c r="H379" s="163"/>
      <c r="I379" s="163"/>
      <c r="J379" s="163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1"/>
      <c r="I380" s="161"/>
      <c r="J380" s="161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09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64"/>
      <c r="I388" s="164"/>
      <c r="J388" s="16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5"/>
      <c r="I389" s="165"/>
      <c r="J389" s="165"/>
    </row>
    <row r="390" spans="1:10" s="1" customFormat="1" ht="15.9" customHeight="1">
      <c r="A390" s="27"/>
      <c r="B390" s="33"/>
      <c r="C390" s="47"/>
      <c r="D390" s="161"/>
      <c r="E390" s="109"/>
      <c r="F390" s="109"/>
      <c r="G390" s="109"/>
      <c r="H390" s="161"/>
      <c r="I390" s="161"/>
      <c r="J390" s="161"/>
    </row>
    <row r="391" spans="1:10" s="1" customFormat="1" ht="15.9" customHeight="1">
      <c r="A391" s="27"/>
      <c r="B391" s="33"/>
      <c r="C391" s="46"/>
      <c r="D391" s="161"/>
      <c r="E391" s="109"/>
      <c r="F391" s="109"/>
      <c r="G391" s="109"/>
      <c r="H391" s="109"/>
      <c r="I391" s="24"/>
      <c r="J391" s="24"/>
    </row>
    <row r="392" spans="1:10" s="1" customFormat="1" ht="15.9" customHeight="1">
      <c r="A392" s="27"/>
      <c r="B392" s="33"/>
      <c r="C392" s="161"/>
      <c r="D392" s="161"/>
      <c r="E392" s="109"/>
      <c r="F392" s="109"/>
      <c r="G392" s="109"/>
      <c r="H392" s="109"/>
      <c r="I392" s="109"/>
      <c r="J392" s="24"/>
    </row>
    <row r="393" spans="1:10" s="1" customFormat="1" ht="15.9" customHeight="1">
      <c r="A393" s="27"/>
      <c r="B393" s="33"/>
      <c r="C393" s="33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23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23" customFormat="1" ht="15.9" customHeight="1">
      <c r="A405" s="41"/>
      <c r="B405" s="33"/>
      <c r="C405" s="33"/>
      <c r="D405" s="161"/>
      <c r="E405" s="109"/>
      <c r="F405" s="109"/>
      <c r="G405" s="109"/>
      <c r="H405" s="109"/>
      <c r="I405" s="109"/>
      <c r="J405" s="10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109"/>
      <c r="B419" s="33"/>
      <c r="C419" s="33"/>
      <c r="D419" s="161"/>
      <c r="E419" s="109"/>
      <c r="F419" s="109"/>
      <c r="G419" s="109"/>
      <c r="H419" s="109"/>
      <c r="I419" s="24"/>
      <c r="J419" s="24"/>
      <c r="K419" s="71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LEFT($J$111,13)&amp;"-04"</f>
        <v>FG-240-3P1L2R-04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B423" s="279"/>
      <c r="C423" s="5"/>
      <c r="D423" s="95"/>
      <c r="E423" s="95"/>
      <c r="F423" s="95"/>
      <c r="G423" s="95"/>
      <c r="H423" s="95"/>
      <c r="I423" s="95"/>
      <c r="J423" s="90" t="str">
        <f>J2</f>
        <v>HOMELIFE</v>
      </c>
      <c r="K423" s="11"/>
      <c r="L423" s="11"/>
      <c r="M423" s="2"/>
      <c r="N423" s="2"/>
    </row>
    <row r="424" spans="1:14" ht="24.9" customHeight="1">
      <c r="B424" s="279"/>
      <c r="C424" s="28"/>
      <c r="D424" s="28"/>
      <c r="E424" s="28"/>
      <c r="F424" s="28"/>
      <c r="G424" s="28"/>
      <c r="H424" s="28"/>
      <c r="I424" s="28"/>
      <c r="J424" s="91" t="str">
        <f>J3</f>
        <v>Fabricators Guide</v>
      </c>
      <c r="K424" s="11"/>
      <c r="L424" s="11"/>
      <c r="M424" s="2"/>
      <c r="N424" s="2"/>
    </row>
    <row r="425" spans="1:14" ht="24.9" customHeight="1">
      <c r="B425" s="8"/>
      <c r="C425" s="28"/>
      <c r="D425" s="28"/>
      <c r="E425" s="28"/>
      <c r="F425" s="28"/>
      <c r="G425" s="28"/>
      <c r="H425" s="28"/>
      <c r="I425" s="28"/>
      <c r="J425" s="91" t="str">
        <f>J4</f>
        <v xml:space="preserve">240 Series Bi Fold Door </v>
      </c>
      <c r="K425" s="48"/>
      <c r="L425" s="48"/>
      <c r="M425" s="4"/>
      <c r="N425" s="4"/>
    </row>
    <row r="426" spans="1:14" s="1" customFormat="1" ht="15" customHeight="1" thickBot="1">
      <c r="A426" s="78"/>
      <c r="B426" s="78"/>
      <c r="C426" s="78"/>
      <c r="D426" s="82"/>
      <c r="E426" s="78"/>
      <c r="F426" s="78"/>
      <c r="G426" s="78"/>
      <c r="H426" s="7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</row>
    <row r="428" spans="1:14" s="1" customFormat="1" ht="15" customHeight="1">
      <c r="A428" s="63"/>
      <c r="B428" s="72"/>
      <c r="C428" s="56"/>
      <c r="D428" s="30"/>
      <c r="E428" s="29"/>
      <c r="F428" s="72"/>
      <c r="H428" s="44"/>
      <c r="I428" s="44"/>
      <c r="J428" s="119"/>
    </row>
    <row r="429" spans="1:14" s="1" customFormat="1" ht="15" customHeight="1">
      <c r="A429" s="17"/>
      <c r="B429" s="56"/>
      <c r="C429" s="56"/>
      <c r="D429" s="30"/>
      <c r="E429" s="29"/>
      <c r="F429" s="30"/>
      <c r="H429" s="44"/>
      <c r="I429" s="44"/>
      <c r="J429" s="119"/>
    </row>
    <row r="430" spans="1:14" s="1" customFormat="1" ht="15" customHeight="1">
      <c r="A430" s="17"/>
      <c r="B430" s="56"/>
      <c r="C430" s="56"/>
      <c r="D430" s="30"/>
      <c r="E430" s="29"/>
      <c r="F430" s="30"/>
      <c r="H430" s="44"/>
      <c r="I430" s="44"/>
      <c r="J430" s="119"/>
    </row>
    <row r="431" spans="1:14" s="1" customFormat="1" ht="15" customHeight="1">
      <c r="A431" s="109"/>
      <c r="B431" s="33"/>
      <c r="C431" s="161"/>
      <c r="D431" s="161"/>
      <c r="E431" s="109"/>
      <c r="F431" s="161"/>
      <c r="H431" s="44"/>
      <c r="I431" s="44"/>
      <c r="J431" s="119"/>
    </row>
    <row r="432" spans="1:14" s="1" customFormat="1" ht="15" customHeight="1">
      <c r="A432" s="109"/>
      <c r="B432" s="33"/>
      <c r="C432" s="161"/>
      <c r="D432" s="161"/>
      <c r="E432" s="35"/>
      <c r="F432" s="163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35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42"/>
      <c r="D434" s="161"/>
      <c r="E434" s="109"/>
      <c r="F434" s="69"/>
      <c r="H434" s="44"/>
      <c r="I434" s="44"/>
      <c r="J434" s="119"/>
    </row>
    <row r="435" spans="1:10" s="1" customFormat="1" ht="15" customHeight="1">
      <c r="A435" s="39"/>
      <c r="B435" s="39"/>
      <c r="C435" s="163"/>
      <c r="D435" s="161"/>
      <c r="E435" s="109"/>
      <c r="F435" s="68"/>
      <c r="H435" s="44"/>
      <c r="I435" s="44"/>
      <c r="J435" s="119"/>
    </row>
    <row r="436" spans="1:10" s="1" customFormat="1" ht="15" customHeight="1">
      <c r="A436" s="92"/>
      <c r="B436" s="92"/>
      <c r="C436" s="161"/>
      <c r="D436" s="161"/>
      <c r="E436" s="109"/>
      <c r="F436" s="425"/>
      <c r="H436" s="44"/>
      <c r="I436" s="44"/>
      <c r="J436" s="119"/>
    </row>
    <row r="437" spans="1:10" s="1" customFormat="1" ht="15" customHeight="1">
      <c r="B437" s="92"/>
      <c r="C437" s="161"/>
      <c r="D437" s="161"/>
      <c r="E437" s="109"/>
      <c r="F437" s="425"/>
      <c r="H437" s="44"/>
      <c r="I437" s="44"/>
      <c r="J437" s="119"/>
    </row>
    <row r="438" spans="1:10" s="1" customFormat="1" ht="15" customHeight="1">
      <c r="A438" s="64" t="str">
        <f>A18</f>
        <v>240-3 Panel (1L2R)</v>
      </c>
      <c r="C438" s="42"/>
      <c r="D438" s="161"/>
      <c r="E438" s="109"/>
      <c r="F438" s="68"/>
      <c r="H438" s="44"/>
      <c r="I438" s="44"/>
      <c r="J438" s="119"/>
    </row>
    <row r="439" spans="1:10" s="1" customFormat="1" ht="15.9" customHeight="1">
      <c r="A439" s="76" t="str">
        <f>A19</f>
        <v xml:space="preserve">Outside Bi Fold Door </v>
      </c>
      <c r="C439" s="161"/>
      <c r="D439" s="161"/>
      <c r="E439" s="109"/>
      <c r="F439" s="37"/>
      <c r="H439" s="44"/>
      <c r="I439" s="44"/>
      <c r="J439" s="119"/>
    </row>
    <row r="440" spans="1:10" s="1" customFormat="1" ht="15.9" customHeight="1">
      <c r="A440" s="39"/>
      <c r="B440" s="38"/>
      <c r="C440" s="43"/>
      <c r="D440" s="161"/>
      <c r="E440" s="109"/>
      <c r="F440" s="109"/>
      <c r="H440" s="44"/>
      <c r="I440" s="44"/>
      <c r="J440" s="119"/>
    </row>
    <row r="441" spans="1:10" s="1" customFormat="1" ht="15.9" customHeight="1">
      <c r="A441" s="44"/>
      <c r="C441" s="44"/>
      <c r="D441" s="84"/>
      <c r="E441" s="44"/>
      <c r="F441" s="44"/>
      <c r="H441" s="44"/>
      <c r="I441" s="44"/>
      <c r="J441" s="119"/>
    </row>
    <row r="442" spans="1:10" s="1" customFormat="1" ht="15.9" customHeight="1">
      <c r="A442" s="40"/>
      <c r="C442" s="161"/>
      <c r="D442" s="85"/>
      <c r="E442" s="40"/>
      <c r="F442" s="32"/>
      <c r="H442" s="44"/>
      <c r="I442" s="44"/>
      <c r="J442" s="119"/>
    </row>
    <row r="448" spans="1:10" s="1" customFormat="1" ht="15.9" customHeight="1">
      <c r="A448" s="109"/>
      <c r="B448" s="33"/>
      <c r="C448" s="33"/>
      <c r="D448" s="161"/>
      <c r="E448" s="109"/>
      <c r="F448" s="161"/>
      <c r="G448" s="109"/>
      <c r="H448" s="109"/>
      <c r="I448" s="24"/>
      <c r="J448" s="24"/>
    </row>
    <row r="449" spans="1:10" s="1" customFormat="1" ht="15.9" customHeight="1">
      <c r="A449" s="109"/>
      <c r="B449" s="33"/>
      <c r="C449" s="33"/>
      <c r="D449" s="161"/>
      <c r="E449" s="109"/>
      <c r="F449" s="161"/>
      <c r="G449" s="109"/>
      <c r="H449" s="109"/>
      <c r="I449" s="24"/>
      <c r="J449" s="24"/>
    </row>
    <row r="450" spans="1:10" s="1" customFormat="1" ht="15.9" customHeight="1">
      <c r="A450" s="109"/>
      <c r="B450" s="33"/>
      <c r="C450" s="33"/>
      <c r="D450" s="161"/>
      <c r="E450" s="109"/>
      <c r="F450" s="161"/>
      <c r="G450" s="109"/>
      <c r="H450" s="109"/>
      <c r="I450" s="24"/>
      <c r="J450" s="24"/>
    </row>
    <row r="451" spans="1:10" s="1" customFormat="1" ht="15.9" customHeight="1">
      <c r="A451" s="109"/>
      <c r="B451" s="33"/>
      <c r="C451" s="44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161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16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161"/>
      <c r="D454" s="161"/>
      <c r="E454" s="109"/>
      <c r="F454" s="161"/>
      <c r="G454" s="109"/>
      <c r="H454" s="109"/>
      <c r="I454" s="109"/>
      <c r="J454" s="24"/>
    </row>
    <row r="455" spans="1:10" s="1" customFormat="1" ht="15.9" customHeight="1">
      <c r="A455" s="109"/>
      <c r="B455" s="33"/>
      <c r="C455" s="33"/>
      <c r="D455" s="161"/>
      <c r="E455" s="109"/>
      <c r="F455" s="109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33"/>
      <c r="D456" s="161"/>
      <c r="E456" s="109"/>
      <c r="F456" s="109"/>
      <c r="G456" s="109"/>
      <c r="H456" s="107"/>
      <c r="I456" s="24"/>
      <c r="J456" s="24"/>
    </row>
    <row r="457" spans="1:10" s="1" customFormat="1" ht="15" customHeight="1">
      <c r="A457" s="109"/>
      <c r="B457" s="33"/>
      <c r="C457" s="33"/>
      <c r="D457" s="161"/>
      <c r="E457" s="109"/>
      <c r="F457" s="109"/>
      <c r="G457" s="109"/>
      <c r="H457" s="109"/>
      <c r="I457" s="24"/>
      <c r="J457" s="24"/>
    </row>
    <row r="458" spans="1:10" s="1" customFormat="1" ht="15" customHeight="1">
      <c r="A458" s="109"/>
      <c r="B458" s="33"/>
      <c r="C458" s="33"/>
      <c r="D458" s="161"/>
      <c r="E458" s="109"/>
      <c r="F458" s="109"/>
      <c r="G458" s="109"/>
      <c r="H458" s="109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9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23" customFormat="1" ht="15.9" customHeight="1">
      <c r="A475" s="109"/>
      <c r="B475" s="33"/>
      <c r="C475" s="33"/>
      <c r="D475" s="161"/>
      <c r="E475" s="109"/>
      <c r="F475" s="109"/>
      <c r="G475" s="109"/>
      <c r="H475" s="109"/>
      <c r="I475" s="109"/>
      <c r="J475" s="109"/>
    </row>
    <row r="476" spans="1:10" s="1" customFormat="1" ht="15.9" customHeight="1">
      <c r="A476" s="44"/>
      <c r="B476" s="44"/>
      <c r="C476" s="44"/>
      <c r="D476" s="84"/>
      <c r="E476" s="44"/>
      <c r="F476" s="44"/>
      <c r="G476" s="44"/>
      <c r="H476" s="44"/>
      <c r="I476" s="44"/>
      <c r="J476" s="119"/>
    </row>
    <row r="477" spans="1:10" s="1" customFormat="1" ht="15.9" customHeight="1">
      <c r="A477" s="40"/>
      <c r="B477" s="40"/>
      <c r="C477" s="44"/>
      <c r="D477" s="85"/>
      <c r="E477" s="40"/>
      <c r="F477" s="32"/>
      <c r="G477" s="40"/>
      <c r="H477" s="32"/>
      <c r="I477" s="32"/>
      <c r="J477" s="40"/>
    </row>
    <row r="478" spans="1:10" s="1" customFormat="1" ht="15.9" customHeight="1">
      <c r="A478" s="27"/>
      <c r="B478" s="33"/>
      <c r="C478" s="42"/>
      <c r="D478" s="161"/>
      <c r="E478" s="109"/>
      <c r="F478" s="109"/>
      <c r="G478" s="109"/>
      <c r="H478" s="42"/>
      <c r="I478" s="24"/>
      <c r="J478" s="24"/>
    </row>
    <row r="479" spans="1:10" s="1" customFormat="1" ht="15.9" customHeight="1">
      <c r="A479" s="27"/>
      <c r="B479" s="33"/>
      <c r="C479" s="163"/>
      <c r="D479" s="161"/>
      <c r="E479" s="109"/>
      <c r="F479" s="109"/>
      <c r="G479" s="109"/>
      <c r="H479" s="67"/>
      <c r="I479" s="67"/>
      <c r="J479" s="165"/>
    </row>
    <row r="480" spans="1:10" s="1" customFormat="1" ht="15.9" customHeight="1">
      <c r="A480" s="27"/>
      <c r="B480" s="33"/>
      <c r="C480" s="161"/>
      <c r="D480" s="161"/>
      <c r="E480" s="109"/>
      <c r="F480" s="109"/>
      <c r="G480" s="109"/>
      <c r="H480" s="38"/>
      <c r="I480" s="38"/>
      <c r="J480" s="109"/>
    </row>
    <row r="481" spans="1:10" s="1" customFormat="1" ht="15.9" customHeight="1">
      <c r="A481" s="27"/>
      <c r="B481" s="33"/>
      <c r="C481" s="33"/>
      <c r="D481" s="161"/>
      <c r="E481" s="109"/>
      <c r="F481" s="109"/>
      <c r="G481" s="109"/>
      <c r="H481" s="109"/>
      <c r="I481" s="24"/>
      <c r="J481" s="24"/>
    </row>
    <row r="482" spans="1:10" s="1" customFormat="1" ht="15.9" customHeight="1">
      <c r="A482" s="27"/>
      <c r="B482" s="33"/>
      <c r="C482" s="33"/>
      <c r="D482" s="161"/>
      <c r="E482" s="109"/>
      <c r="F482" s="109"/>
      <c r="G482" s="109"/>
      <c r="H482" s="109"/>
      <c r="I482" s="24"/>
      <c r="J482" s="24"/>
    </row>
    <row r="483" spans="1:10" s="1" customFormat="1" ht="15.9" customHeight="1">
      <c r="A483" s="27"/>
      <c r="B483" s="33"/>
      <c r="C483" s="46"/>
      <c r="D483" s="161"/>
      <c r="E483" s="109"/>
      <c r="F483" s="109"/>
      <c r="G483" s="109"/>
      <c r="H483" s="109"/>
      <c r="I483" s="24"/>
      <c r="J483" s="24"/>
    </row>
    <row r="484" spans="1:10" s="1" customFormat="1" ht="15.9" customHeight="1">
      <c r="A484" s="27"/>
      <c r="B484" s="33"/>
      <c r="C484" s="161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33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33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D492" s="161"/>
      <c r="E492" s="109"/>
      <c r="F492" s="109"/>
      <c r="G492" s="33"/>
      <c r="H492" s="33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B495" s="33"/>
      <c r="C495" s="33"/>
      <c r="D495" s="161"/>
      <c r="E495" s="109"/>
      <c r="F495" s="109"/>
      <c r="G495" s="109"/>
      <c r="H495" s="109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42"/>
      <c r="I496" s="24"/>
      <c r="J496" s="24"/>
    </row>
    <row r="497" spans="1:10" s="1" customFormat="1" ht="15.9" customHeight="1">
      <c r="A497" s="27"/>
      <c r="B497" s="33"/>
      <c r="C497" s="47"/>
      <c r="D497" s="161"/>
      <c r="E497" s="109"/>
      <c r="F497" s="109"/>
      <c r="G497" s="109"/>
      <c r="H497" s="67"/>
      <c r="I497" s="67"/>
      <c r="J497" s="165"/>
    </row>
    <row r="498" spans="1:10" s="1" customFormat="1" ht="15.9" customHeight="1">
      <c r="A498" s="27"/>
      <c r="B498" s="33"/>
      <c r="C498" s="46"/>
      <c r="D498" s="161"/>
      <c r="E498" s="109"/>
      <c r="F498" s="109"/>
      <c r="G498" s="109"/>
      <c r="H498" s="38"/>
      <c r="I498" s="38"/>
      <c r="J498" s="109"/>
    </row>
    <row r="499" spans="1:10" s="1" customFormat="1" ht="15.9" customHeight="1">
      <c r="A499" s="27"/>
      <c r="B499" s="33"/>
      <c r="C499" s="161"/>
      <c r="D499" s="161"/>
      <c r="E499" s="109"/>
      <c r="F499" s="109"/>
      <c r="G499" s="109"/>
      <c r="H499" s="42"/>
      <c r="I499" s="24"/>
      <c r="J499" s="24"/>
    </row>
    <row r="500" spans="1:10" s="1" customFormat="1" ht="15.9" customHeight="1">
      <c r="A500" s="27"/>
      <c r="B500" s="33"/>
      <c r="C500" s="33"/>
      <c r="D500" s="161"/>
      <c r="E500" s="109"/>
      <c r="F500" s="109"/>
      <c r="G500" s="109"/>
      <c r="H500" s="67"/>
      <c r="I500" s="67"/>
      <c r="J500" s="165"/>
    </row>
    <row r="501" spans="1:10" s="1" customFormat="1" ht="15.9" customHeight="1">
      <c r="A501" s="27"/>
      <c r="B501" s="33"/>
      <c r="C501" s="33"/>
      <c r="D501" s="161"/>
      <c r="E501" s="109"/>
      <c r="F501" s="109"/>
      <c r="G501" s="109"/>
      <c r="H501" s="38"/>
      <c r="I501" s="38"/>
      <c r="J501" s="109"/>
    </row>
    <row r="502" spans="1:10" s="1" customFormat="1" ht="15.9" customHeight="1">
      <c r="A502" s="27"/>
      <c r="B502" s="33"/>
      <c r="C502" s="33"/>
      <c r="D502" s="161"/>
      <c r="E502" s="109"/>
      <c r="F502" s="109"/>
      <c r="G502" s="109"/>
      <c r="H502" s="109"/>
      <c r="I502" s="24"/>
      <c r="J502" s="24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109"/>
      <c r="I503" s="24"/>
      <c r="J503" s="24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109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109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109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109"/>
      <c r="J512" s="24"/>
    </row>
    <row r="513" spans="1:21" s="1" customFormat="1" ht="15.9" customHeight="1">
      <c r="A513" s="27"/>
      <c r="B513" s="33"/>
      <c r="C513" s="33"/>
      <c r="D513" s="161"/>
      <c r="E513" s="109"/>
      <c r="F513" s="109"/>
      <c r="G513" s="109"/>
      <c r="H513" s="109"/>
      <c r="I513" s="109"/>
      <c r="J513" s="24"/>
    </row>
    <row r="514" spans="1:21" s="1" customFormat="1" ht="15.9" customHeight="1">
      <c r="A514" s="27"/>
      <c r="B514" s="33"/>
      <c r="C514" s="33"/>
      <c r="D514" s="161"/>
      <c r="E514" s="109"/>
      <c r="F514" s="109"/>
      <c r="G514" s="109"/>
      <c r="H514" s="109"/>
      <c r="I514" s="109"/>
      <c r="J514" s="24"/>
    </row>
    <row r="515" spans="1:21" s="1" customFormat="1" ht="15.9" customHeight="1">
      <c r="A515" s="27"/>
      <c r="B515" s="33"/>
      <c r="C515" s="33"/>
      <c r="D515" s="161"/>
      <c r="E515" s="109"/>
      <c r="F515" s="109"/>
      <c r="G515" s="109"/>
      <c r="H515" s="66"/>
      <c r="I515" s="43"/>
      <c r="J515" s="107"/>
    </row>
    <row r="516" spans="1:21" s="1" customFormat="1" ht="15.9" customHeight="1">
      <c r="A516" s="44"/>
      <c r="B516" s="44"/>
      <c r="C516" s="44"/>
      <c r="D516" s="84"/>
      <c r="E516" s="44"/>
      <c r="F516" s="44"/>
      <c r="G516" s="44"/>
      <c r="H516" s="44"/>
      <c r="I516" s="44"/>
      <c r="J516" s="119"/>
    </row>
    <row r="517" spans="1:21" s="1" customFormat="1" ht="15.9" customHeight="1">
      <c r="A517" s="44"/>
      <c r="B517" s="44"/>
      <c r="C517" s="44"/>
      <c r="D517" s="84"/>
      <c r="E517" s="44"/>
      <c r="F517" s="44"/>
      <c r="G517" s="44"/>
      <c r="H517" s="44"/>
      <c r="I517" s="44"/>
      <c r="J517" s="119"/>
    </row>
    <row r="518" spans="1:21" s="1" customFormat="1" ht="15.9" customHeight="1"/>
    <row r="519" spans="1:21" s="1" customFormat="1" ht="15.9" customHeight="1" thickBot="1"/>
    <row r="520" spans="1:21" s="1" customFormat="1" ht="24.9" customHeight="1" thickBot="1">
      <c r="A520" s="502" t="s">
        <v>401</v>
      </c>
      <c r="B520" s="503"/>
      <c r="C520" s="503"/>
      <c r="D520" s="503"/>
      <c r="E520" s="503"/>
      <c r="F520" s="503"/>
      <c r="G520" s="503"/>
      <c r="H520" s="503"/>
      <c r="I520" s="503"/>
      <c r="J520" s="504"/>
    </row>
    <row r="521" spans="1:21" s="1" customFormat="1" ht="35.1" customHeight="1" thickBot="1">
      <c r="A521" s="102" t="s">
        <v>2</v>
      </c>
      <c r="B521" s="103" t="s">
        <v>3</v>
      </c>
      <c r="C521" s="103" t="s">
        <v>3</v>
      </c>
      <c r="D521" s="104" t="s">
        <v>35</v>
      </c>
      <c r="E521" s="103" t="s">
        <v>5</v>
      </c>
      <c r="F521" s="431" t="s">
        <v>27</v>
      </c>
      <c r="G521" s="305"/>
      <c r="H521" s="104" t="s">
        <v>27</v>
      </c>
      <c r="I521" s="104" t="s">
        <v>26</v>
      </c>
      <c r="J521" s="115" t="s">
        <v>6</v>
      </c>
      <c r="N521" s="249" t="s">
        <v>3</v>
      </c>
      <c r="O521" s="249" t="s">
        <v>3</v>
      </c>
      <c r="Q521" s="300"/>
      <c r="R521" s="301"/>
      <c r="S521" s="300"/>
      <c r="T521" s="301"/>
      <c r="U521" s="301"/>
    </row>
    <row r="522" spans="1:21" s="1" customFormat="1" ht="15.9" customHeight="1">
      <c r="A522" s="123">
        <f>IF(C522="","",1)</f>
        <v>1</v>
      </c>
      <c r="B522" s="121" t="str">
        <f>IF($D$127=5,N522,IF($D$127=6,N523,IF($D$127=8,N524,IF($D$127=10,N525,IF($D$127=12,N526,IF($D$127=14,N527,IF($D$127=18,N528,IF($D$127=20,N529,IF($D$127=22,N530,)))))))))</f>
        <v>กระจก 5 mm (สูง) (กว้าง)</v>
      </c>
      <c r="C522" s="121" t="str">
        <f>IF($D$127=5,O522,IF($D$127=6,O523,IF($D$127=8,O524,IF($D$127=10,O525,IF($D$127=12,O526,IF($D$127=14,O527,IF($D$127=18,O528,IF($D$127=20,O529,IF($D$127=22,O530,)))))))))</f>
        <v>GLASS thk.5 mm (H) (W)</v>
      </c>
      <c r="D522" s="124">
        <f>$J$123-215</f>
        <v>1985</v>
      </c>
      <c r="E522" s="123" t="s">
        <v>11</v>
      </c>
      <c r="F522" s="527" t="s">
        <v>271</v>
      </c>
      <c r="G522" s="528"/>
      <c r="H522" s="123" t="s">
        <v>402</v>
      </c>
      <c r="I522" s="124">
        <f>(($J$126-182-(113.25*2))/3)-13</f>
        <v>550.83333333333337</v>
      </c>
      <c r="J522" s="151">
        <f>$J$120*3</f>
        <v>3</v>
      </c>
      <c r="M522" s="1">
        <f>ROW()</f>
        <v>522</v>
      </c>
      <c r="N522" s="19" t="s">
        <v>194</v>
      </c>
      <c r="O522" s="19" t="s">
        <v>195</v>
      </c>
      <c r="Q522" s="17"/>
      <c r="R522" s="302"/>
      <c r="S522" s="289"/>
      <c r="T522" s="17"/>
      <c r="U522" s="303"/>
    </row>
    <row r="523" spans="1:21" s="1" customFormat="1" ht="15.9" customHeight="1">
      <c r="A523" s="238"/>
      <c r="B523" s="295"/>
      <c r="C523" s="295"/>
      <c r="D523" s="357"/>
      <c r="E523" s="238"/>
      <c r="F523" s="337"/>
      <c r="G523" s="338"/>
      <c r="H523" s="238"/>
      <c r="I523" s="298"/>
      <c r="J523" s="299"/>
      <c r="M523" s="1">
        <f>ROW()</f>
        <v>523</v>
      </c>
      <c r="N523" s="19" t="s">
        <v>53</v>
      </c>
      <c r="O523" s="19" t="s">
        <v>54</v>
      </c>
      <c r="Q523" s="17"/>
      <c r="R523" s="302"/>
      <c r="S523" s="289"/>
      <c r="T523" s="17"/>
      <c r="U523" s="303"/>
    </row>
    <row r="524" spans="1:21" s="1" customFormat="1" ht="15.9" customHeight="1">
      <c r="A524" s="152"/>
      <c r="B524" s="127"/>
      <c r="C524" s="295"/>
      <c r="D524" s="296" t="s">
        <v>0</v>
      </c>
      <c r="E524" s="238"/>
      <c r="F524" s="251"/>
      <c r="G524" s="297"/>
      <c r="H524" s="295"/>
      <c r="I524" s="298"/>
      <c r="J524" s="153"/>
      <c r="M524" s="1">
        <f>ROW()</f>
        <v>524</v>
      </c>
      <c r="N524" s="19" t="s">
        <v>257</v>
      </c>
      <c r="O524" s="19" t="s">
        <v>258</v>
      </c>
      <c r="Q524" s="17"/>
      <c r="R524" s="302"/>
      <c r="S524" s="289"/>
      <c r="T524" s="17"/>
      <c r="U524" s="303"/>
    </row>
    <row r="525" spans="1:21" s="1" customFormat="1" ht="15.9" customHeight="1">
      <c r="A525" s="152"/>
      <c r="B525" s="127"/>
      <c r="C525" s="127"/>
      <c r="D525" s="128"/>
      <c r="E525" s="129"/>
      <c r="F525" s="155"/>
      <c r="G525" s="156"/>
      <c r="H525" s="129"/>
      <c r="I525" s="130"/>
      <c r="J525" s="153"/>
      <c r="M525" s="1">
        <f>ROW()</f>
        <v>525</v>
      </c>
      <c r="N525" s="19" t="s">
        <v>259</v>
      </c>
      <c r="O525" s="19" t="s">
        <v>265</v>
      </c>
    </row>
    <row r="526" spans="1:21" s="1" customFormat="1" ht="15.9" customHeight="1">
      <c r="A526" s="135" t="str">
        <f>IF(B526="","",+A524+1)</f>
        <v/>
      </c>
      <c r="B526" s="133"/>
      <c r="C526" s="133"/>
      <c r="D526" s="134"/>
      <c r="E526" s="135"/>
      <c r="F526" s="158"/>
      <c r="G526" s="159"/>
      <c r="H526" s="135"/>
      <c r="I526" s="145"/>
      <c r="J526" s="136"/>
      <c r="M526" s="1">
        <f>ROW()</f>
        <v>526</v>
      </c>
      <c r="N526" s="19" t="s">
        <v>260</v>
      </c>
      <c r="O526" s="19" t="s">
        <v>266</v>
      </c>
    </row>
    <row r="527" spans="1:21">
      <c r="A527" s="344"/>
      <c r="B527" s="344"/>
      <c r="C527" s="344"/>
      <c r="D527" s="345"/>
      <c r="E527" s="344"/>
      <c r="F527" s="344"/>
      <c r="G527" s="344"/>
      <c r="H527" s="344"/>
      <c r="I527" s="344"/>
      <c r="J527" s="99" t="str">
        <f>LEFT($J$111,13)&amp;"-05"</f>
        <v>FG-240-3P1L2R-05</v>
      </c>
      <c r="M527" s="1">
        <f>ROW()</f>
        <v>527</v>
      </c>
      <c r="N527" s="19" t="s">
        <v>261</v>
      </c>
      <c r="O527" s="19" t="s">
        <v>267</v>
      </c>
    </row>
    <row r="528" spans="1:21">
      <c r="M528" s="1">
        <f>ROW()</f>
        <v>528</v>
      </c>
      <c r="N528" s="19" t="s">
        <v>262</v>
      </c>
      <c r="O528" s="19" t="s">
        <v>268</v>
      </c>
    </row>
    <row r="529" spans="13:15">
      <c r="M529" s="1">
        <f>ROW()</f>
        <v>529</v>
      </c>
      <c r="N529" s="19" t="s">
        <v>263</v>
      </c>
      <c r="O529" s="19" t="s">
        <v>269</v>
      </c>
    </row>
    <row r="530" spans="13:15">
      <c r="M530" s="1">
        <f>ROW()</f>
        <v>530</v>
      </c>
      <c r="N530" s="19" t="s">
        <v>264</v>
      </c>
      <c r="O530" s="19" t="s">
        <v>270</v>
      </c>
    </row>
  </sheetData>
  <dataConsolidate function="product">
    <dataRefs count="1">
      <dataRef ref="O154:O162" sheet="240_2Panel(L)" r:id="rId1"/>
    </dataRefs>
  </dataConsolidate>
  <mergeCells count="46">
    <mergeCell ref="A6:J6"/>
    <mergeCell ref="A117:J117"/>
    <mergeCell ref="D119:G119"/>
    <mergeCell ref="H120:I121"/>
    <mergeCell ref="J120:J121"/>
    <mergeCell ref="D121:G121"/>
    <mergeCell ref="I161:J161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8:J158"/>
    <mergeCell ref="I159:J159"/>
    <mergeCell ref="I160:J160"/>
    <mergeCell ref="I162:J162"/>
    <mergeCell ref="D163:D164"/>
    <mergeCell ref="H163:H164"/>
    <mergeCell ref="I163:J164"/>
    <mergeCell ref="D165:D166"/>
    <mergeCell ref="H165:H166"/>
    <mergeCell ref="I165:J165"/>
    <mergeCell ref="I166:J169"/>
    <mergeCell ref="D167:D171"/>
    <mergeCell ref="H167:H171"/>
    <mergeCell ref="I170:J171"/>
    <mergeCell ref="D172:D173"/>
    <mergeCell ref="H172:H173"/>
    <mergeCell ref="I172:J172"/>
    <mergeCell ref="D174:D175"/>
    <mergeCell ref="H174:H175"/>
    <mergeCell ref="I175:J175"/>
    <mergeCell ref="A427:J427"/>
    <mergeCell ref="A520:J520"/>
    <mergeCell ref="F522:G522"/>
    <mergeCell ref="A176:J176"/>
    <mergeCell ref="A213:J213"/>
    <mergeCell ref="H221:J221"/>
    <mergeCell ref="A320:J320"/>
    <mergeCell ref="F330:G330"/>
    <mergeCell ref="F333:G333"/>
  </mergeCells>
  <dataValidations count="3">
    <dataValidation type="list" allowBlank="1" showInputMessage="1" showErrorMessage="1" sqref="D127:G127">
      <formula1>$N$120:$N$128</formula1>
    </dataValidation>
    <dataValidation type="list" allowBlank="1" showInputMessage="1" showErrorMessage="1" sqref="D129:G129">
      <formula1>$O$120</formula1>
    </dataValidation>
    <dataValidation type="list" allowBlank="1" showInputMessage="1" showErrorMessage="1" sqref="D123:G123">
      <formula1>$P$119:$P$128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16383" man="1"/>
    <brk id="421" max="9" man="1"/>
  </rowBreaks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theme="5" tint="-0.249977111117893"/>
  </sheetPr>
  <dimension ref="A1:AJ529"/>
  <sheetViews>
    <sheetView showGridLines="0" view="pageBreakPreview" topLeftCell="A124" zoomScale="75" zoomScaleNormal="75" zoomScaleSheetLayoutView="75" workbookViewId="0">
      <selection activeCell="C125" sqref="C125"/>
    </sheetView>
  </sheetViews>
  <sheetFormatPr defaultRowHeight="14.4" outlineLevelRow="1" outlineLevelCol="1"/>
  <cols>
    <col min="1" max="1" width="7" customWidth="1"/>
    <col min="2" max="2" width="40.6640625" customWidth="1"/>
    <col min="3" max="3" width="59.664062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8.6640625" customWidth="1"/>
    <col min="9" max="9" width="11.109375" bestFit="1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1.3320312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182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182"/>
      <c r="E3" s="182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98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>
      <c r="G45" s="10"/>
    </row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/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327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182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182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43" t="s">
        <v>31</v>
      </c>
      <c r="B117" s="544"/>
      <c r="C117" s="544"/>
      <c r="D117" s="544"/>
      <c r="E117" s="544"/>
      <c r="F117" s="544"/>
      <c r="G117" s="544"/>
      <c r="H117" s="544"/>
      <c r="I117" s="544"/>
      <c r="J117" s="545"/>
      <c r="K117" s="11"/>
      <c r="L117" s="4"/>
      <c r="M117" s="4"/>
      <c r="N117" s="4"/>
    </row>
    <row r="118" spans="1:16" s="1" customFormat="1" ht="15.6">
      <c r="A118" s="12"/>
      <c r="C118" s="8"/>
      <c r="D118" s="15"/>
      <c r="E118" s="13"/>
      <c r="J118" s="181"/>
      <c r="K118" s="11"/>
      <c r="L118" s="56"/>
      <c r="M118" s="56"/>
      <c r="N118" s="56"/>
    </row>
    <row r="119" spans="1:16" s="1" customFormat="1" ht="15" customHeight="1">
      <c r="A119" s="12"/>
      <c r="C119" s="110" t="s">
        <v>635</v>
      </c>
      <c r="D119" s="524" t="s">
        <v>678</v>
      </c>
      <c r="E119" s="525"/>
      <c r="F119" s="525"/>
      <c r="G119" s="526"/>
      <c r="I119" s="16"/>
      <c r="J119" s="12"/>
      <c r="N119" s="247" t="s">
        <v>191</v>
      </c>
      <c r="O119" s="12" t="s">
        <v>227</v>
      </c>
      <c r="P119" s="247" t="s">
        <v>16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7">
        <v>5</v>
      </c>
      <c r="O120" s="12" t="s">
        <v>243</v>
      </c>
      <c r="P120" s="335" t="s">
        <v>389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8">
        <v>6</v>
      </c>
      <c r="O121" s="12" t="s">
        <v>244</v>
      </c>
      <c r="P121" s="336" t="s">
        <v>390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8">
        <v>8</v>
      </c>
      <c r="P122" s="336" t="s">
        <v>391</v>
      </c>
    </row>
    <row r="123" spans="1:16" s="1" customFormat="1" ht="15" customHeight="1">
      <c r="A123" s="12"/>
      <c r="C123" s="110" t="s">
        <v>629</v>
      </c>
      <c r="D123" s="524" t="s">
        <v>394</v>
      </c>
      <c r="E123" s="525"/>
      <c r="F123" s="525"/>
      <c r="G123" s="526"/>
      <c r="H123" s="519" t="s">
        <v>638</v>
      </c>
      <c r="I123" s="520"/>
      <c r="J123" s="517">
        <v>600</v>
      </c>
      <c r="N123" s="248">
        <v>10</v>
      </c>
      <c r="P123" s="336" t="s">
        <v>392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8">
        <v>12</v>
      </c>
      <c r="P124" s="335" t="s">
        <v>393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180"/>
      <c r="L125" s="77"/>
      <c r="N125" s="248">
        <v>14</v>
      </c>
      <c r="P125" s="335" t="s">
        <v>394</v>
      </c>
    </row>
    <row r="126" spans="1:16" s="1" customFormat="1" ht="15" customHeight="1">
      <c r="A126" s="181"/>
      <c r="B126" s="181"/>
      <c r="C126" s="423" t="s">
        <v>631</v>
      </c>
      <c r="D126" s="15"/>
      <c r="H126" s="519" t="s">
        <v>639</v>
      </c>
      <c r="I126" s="520"/>
      <c r="J126" s="517">
        <v>800</v>
      </c>
      <c r="K126" s="180"/>
      <c r="L126" s="77"/>
      <c r="N126" s="248">
        <v>18</v>
      </c>
      <c r="P126" s="335" t="s">
        <v>395</v>
      </c>
    </row>
    <row r="127" spans="1:16" s="1" customFormat="1" ht="15" customHeight="1">
      <c r="A127" s="181"/>
      <c r="B127" s="181"/>
      <c r="C127" s="110" t="s">
        <v>633</v>
      </c>
      <c r="D127" s="534">
        <v>6</v>
      </c>
      <c r="E127" s="535"/>
      <c r="F127" s="535"/>
      <c r="G127" s="536"/>
      <c r="H127" s="520"/>
      <c r="I127" s="520"/>
      <c r="J127" s="518"/>
      <c r="N127" s="248">
        <v>20</v>
      </c>
      <c r="P127" s="335" t="s">
        <v>396</v>
      </c>
    </row>
    <row r="128" spans="1:16" s="1" customFormat="1" ht="18.75" customHeight="1">
      <c r="C128" s="423" t="s">
        <v>632</v>
      </c>
      <c r="I128" s="12"/>
      <c r="J128" s="12"/>
      <c r="N128" s="248">
        <v>22</v>
      </c>
      <c r="P128" s="335" t="s">
        <v>397</v>
      </c>
    </row>
    <row r="129" spans="1:23" s="1" customFormat="1" ht="15" customHeight="1">
      <c r="A129" s="88" t="str">
        <f>A18</f>
        <v>240-3 Panel (L)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23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314</v>
      </c>
      <c r="G133" s="186">
        <v>1</v>
      </c>
      <c r="H133" s="186" t="s">
        <v>52</v>
      </c>
      <c r="I133" s="124">
        <f>$J$126-60</f>
        <v>740</v>
      </c>
      <c r="J133" s="125">
        <f t="shared" ref="J133:J157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6</v>
      </c>
      <c r="U133" s="283" t="s">
        <v>291</v>
      </c>
      <c r="V133" s="307">
        <f>($J$126-182-(113.25*2))/3</f>
        <v>130.5</v>
      </c>
      <c r="W133" s="286">
        <f>$J$119*T133</f>
        <v>0</v>
      </c>
    </row>
    <row r="134" spans="1:23" s="1" customFormat="1" ht="18" customHeight="1">
      <c r="A134" s="129">
        <f t="shared" ref="A134:A157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714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6</v>
      </c>
      <c r="U134" s="129" t="s">
        <v>291</v>
      </c>
      <c r="V134" s="307">
        <f t="shared" ref="V134:V135" si="2">($J$126-182-(113.25*2))/3</f>
        <v>130.5</v>
      </c>
      <c r="W134" s="131">
        <f t="shared" ref="W134:W135" si="3">$J$119*T134</f>
        <v>0</v>
      </c>
    </row>
    <row r="135" spans="1:23" s="1" customFormat="1" ht="18" customHeight="1">
      <c r="A135" s="129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740</v>
      </c>
      <c r="J135" s="131">
        <f t="shared" si="0"/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6</v>
      </c>
      <c r="U135" s="135" t="s">
        <v>291</v>
      </c>
      <c r="V135" s="307">
        <f t="shared" si="2"/>
        <v>130.5</v>
      </c>
      <c r="W135" s="293">
        <f t="shared" si="3"/>
        <v>0</v>
      </c>
    </row>
    <row r="136" spans="1:23" s="1" customFormat="1" ht="18" customHeight="1">
      <c r="A136" s="129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740</v>
      </c>
      <c r="J136" s="131">
        <f t="shared" si="0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6</v>
      </c>
      <c r="U136" s="283" t="s">
        <v>64</v>
      </c>
      <c r="V136" s="288">
        <f>$J$123-242</f>
        <v>358</v>
      </c>
      <c r="W136" s="286">
        <f>$J$119*T136</f>
        <v>0</v>
      </c>
    </row>
    <row r="137" spans="1:23" s="1" customFormat="1" ht="18" customHeight="1">
      <c r="A137" s="129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600</v>
      </c>
      <c r="J137" s="131">
        <f t="shared" ref="J137:J147" si="4">$J$120*G137</f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6</v>
      </c>
      <c r="U137" s="129" t="s">
        <v>64</v>
      </c>
      <c r="V137" s="130">
        <f>$J$123-242</f>
        <v>358</v>
      </c>
      <c r="W137" s="131">
        <f t="shared" ref="W137:W138" si="5">$J$119*T137</f>
        <v>0</v>
      </c>
    </row>
    <row r="138" spans="1:23" s="1" customFormat="1" ht="18" customHeight="1">
      <c r="A138" s="129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505</v>
      </c>
      <c r="G138" s="143">
        <v>1</v>
      </c>
      <c r="H138" s="143" t="s">
        <v>61</v>
      </c>
      <c r="I138" s="130">
        <f>$J$123</f>
        <v>600</v>
      </c>
      <c r="J138" s="131">
        <f t="shared" si="4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6</v>
      </c>
      <c r="U138" s="135" t="s">
        <v>64</v>
      </c>
      <c r="V138" s="136">
        <f>$J$123-242</f>
        <v>358</v>
      </c>
      <c r="W138" s="293">
        <f t="shared" si="5"/>
        <v>0</v>
      </c>
    </row>
    <row r="139" spans="1:23" s="1" customFormat="1" ht="18" customHeight="1">
      <c r="A139" s="129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504</v>
      </c>
      <c r="J139" s="131">
        <f t="shared" si="4"/>
        <v>1</v>
      </c>
      <c r="N139" s="98"/>
    </row>
    <row r="140" spans="1:23" s="1" customFormat="1" ht="18" customHeight="1">
      <c r="A140" s="129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504</v>
      </c>
      <c r="J140" s="131">
        <f t="shared" si="4"/>
        <v>1</v>
      </c>
      <c r="N140" s="98"/>
    </row>
    <row r="141" spans="1:23" s="1" customFormat="1" ht="18" customHeight="1">
      <c r="A141" s="129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3</v>
      </c>
      <c r="H141" s="143" t="s">
        <v>291</v>
      </c>
      <c r="I141" s="178">
        <f>($J$126-182-(113.25*2))/3</f>
        <v>130.5</v>
      </c>
      <c r="J141" s="131">
        <f t="shared" si="4"/>
        <v>3</v>
      </c>
      <c r="N141" s="98"/>
    </row>
    <row r="142" spans="1:23" s="1" customFormat="1" ht="18" customHeight="1">
      <c r="A142" s="129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3</v>
      </c>
      <c r="H142" s="143" t="s">
        <v>291</v>
      </c>
      <c r="I142" s="178">
        <f>($J$126-182-(113.25*2))/3</f>
        <v>130.5</v>
      </c>
      <c r="J142" s="131">
        <f t="shared" si="4"/>
        <v>3</v>
      </c>
      <c r="N142" s="98"/>
    </row>
    <row r="143" spans="1:23" s="1" customFormat="1" ht="18" customHeight="1">
      <c r="A143" s="129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4</v>
      </c>
      <c r="H143" s="143" t="s">
        <v>63</v>
      </c>
      <c r="I143" s="130">
        <f>$J$123-92</f>
        <v>508</v>
      </c>
      <c r="J143" s="131">
        <f t="shared" si="4"/>
        <v>4</v>
      </c>
      <c r="N143" s="98"/>
    </row>
    <row r="144" spans="1:23" s="1" customFormat="1" ht="18" customHeight="1">
      <c r="A144" s="129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1</v>
      </c>
      <c r="H144" s="143" t="s">
        <v>63</v>
      </c>
      <c r="I144" s="130">
        <f>$J$123-92</f>
        <v>508</v>
      </c>
      <c r="J144" s="131">
        <f t="shared" si="4"/>
        <v>1</v>
      </c>
      <c r="N144" s="98"/>
    </row>
    <row r="145" spans="1:14" s="1" customFormat="1" ht="18" customHeight="1">
      <c r="A145" s="129">
        <f t="shared" si="1"/>
        <v>13</v>
      </c>
      <c r="B145" s="140" t="s">
        <v>116</v>
      </c>
      <c r="C145" s="140" t="s">
        <v>99</v>
      </c>
      <c r="D145" s="139" t="s">
        <v>50</v>
      </c>
      <c r="E145" s="143">
        <v>1.1060000000000001</v>
      </c>
      <c r="F145" s="139" t="s">
        <v>506</v>
      </c>
      <c r="G145" s="143">
        <v>1</v>
      </c>
      <c r="H145" s="143" t="s">
        <v>63</v>
      </c>
      <c r="I145" s="130">
        <f>$J$123-92</f>
        <v>508</v>
      </c>
      <c r="J145" s="131">
        <f t="shared" si="4"/>
        <v>1</v>
      </c>
      <c r="N145" s="98"/>
    </row>
    <row r="146" spans="1:14" s="1" customFormat="1" ht="18" customHeight="1">
      <c r="A146" s="129">
        <f t="shared" si="1"/>
        <v>14</v>
      </c>
      <c r="B146" s="140" t="str">
        <f t="shared" ref="B146:I146" si="6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40" t="str">
        <f t="shared" si="6"/>
        <v>5-6mm GLAZING BEAD HORIZONTAL</v>
      </c>
      <c r="D146" s="140" t="str">
        <f t="shared" si="6"/>
        <v>B24008</v>
      </c>
      <c r="E146" s="140">
        <f t="shared" si="6"/>
        <v>0.23100000000000001</v>
      </c>
      <c r="F146" s="140" t="str">
        <f t="shared" si="6"/>
        <v>B24008-001</v>
      </c>
      <c r="G146" s="129">
        <f t="shared" si="6"/>
        <v>6</v>
      </c>
      <c r="H146" s="129" t="str">
        <f t="shared" si="6"/>
        <v>(W-182-(113.25 × 2))/3</v>
      </c>
      <c r="I146" s="178">
        <f t="shared" si="6"/>
        <v>130.5</v>
      </c>
      <c r="J146" s="131">
        <f t="shared" si="4"/>
        <v>6</v>
      </c>
      <c r="N146" s="98"/>
    </row>
    <row r="147" spans="1:14" s="1" customFormat="1" ht="18" customHeight="1">
      <c r="A147" s="129">
        <f t="shared" si="1"/>
        <v>15</v>
      </c>
      <c r="B147" s="127" t="str">
        <f t="shared" ref="B147:I147" si="7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27" t="str">
        <f t="shared" si="7"/>
        <v>5-6mm GLAZING BEAD VERTICAL</v>
      </c>
      <c r="D147" s="127" t="str">
        <f t="shared" si="7"/>
        <v>B24008</v>
      </c>
      <c r="E147" s="127">
        <f t="shared" si="7"/>
        <v>0.23100000000000001</v>
      </c>
      <c r="F147" s="127" t="str">
        <f t="shared" si="7"/>
        <v>B24008-002</v>
      </c>
      <c r="G147" s="129">
        <f t="shared" si="7"/>
        <v>6</v>
      </c>
      <c r="H147" s="129" t="str">
        <f t="shared" si="7"/>
        <v>H-242</v>
      </c>
      <c r="I147" s="144">
        <f t="shared" si="7"/>
        <v>358</v>
      </c>
      <c r="J147" s="131">
        <f t="shared" si="4"/>
        <v>6</v>
      </c>
      <c r="N147" s="98"/>
    </row>
    <row r="148" spans="1:14" s="1" customFormat="1" ht="18" customHeight="1">
      <c r="A148" s="129" t="str">
        <f t="shared" si="1"/>
        <v/>
      </c>
      <c r="B148" s="127"/>
      <c r="C148" s="127"/>
      <c r="D148" s="139"/>
      <c r="E148" s="129"/>
      <c r="F148" s="128"/>
      <c r="G148" s="129"/>
      <c r="H148" s="129"/>
      <c r="I148" s="144"/>
      <c r="J148" s="131">
        <f t="shared" ref="J148:J156" si="8">$J$120*G148</f>
        <v>0</v>
      </c>
      <c r="N148" s="98"/>
    </row>
    <row r="149" spans="1:14" s="1" customFormat="1" ht="18" customHeight="1">
      <c r="A149" s="129" t="str">
        <f t="shared" si="1"/>
        <v/>
      </c>
      <c r="B149" s="127"/>
      <c r="C149" s="127"/>
      <c r="D149" s="139"/>
      <c r="E149" s="129"/>
      <c r="F149" s="128"/>
      <c r="G149" s="129"/>
      <c r="H149" s="129"/>
      <c r="I149" s="144"/>
      <c r="J149" s="131">
        <f t="shared" si="8"/>
        <v>0</v>
      </c>
      <c r="N149" s="98"/>
    </row>
    <row r="150" spans="1:14" s="1" customFormat="1" ht="18" customHeight="1">
      <c r="A150" s="129" t="str">
        <f t="shared" si="1"/>
        <v/>
      </c>
      <c r="B150" s="127"/>
      <c r="C150" s="127"/>
      <c r="D150" s="139"/>
      <c r="E150" s="129"/>
      <c r="F150" s="128"/>
      <c r="G150" s="129"/>
      <c r="H150" s="129"/>
      <c r="I150" s="144"/>
      <c r="J150" s="131">
        <f t="shared" si="8"/>
        <v>0</v>
      </c>
      <c r="N150" s="98"/>
    </row>
    <row r="151" spans="1:14" s="1" customFormat="1" ht="18" customHeight="1">
      <c r="A151" s="129" t="str">
        <f t="shared" si="1"/>
        <v/>
      </c>
      <c r="B151" s="127"/>
      <c r="C151" s="127"/>
      <c r="D151" s="139"/>
      <c r="E151" s="129"/>
      <c r="F151" s="128"/>
      <c r="G151" s="129"/>
      <c r="H151" s="129"/>
      <c r="I151" s="144"/>
      <c r="J151" s="131"/>
      <c r="N151" s="98"/>
    </row>
    <row r="152" spans="1:14" s="1" customFormat="1" ht="18" customHeight="1">
      <c r="A152" s="129" t="str">
        <f t="shared" si="1"/>
        <v/>
      </c>
      <c r="B152" s="127"/>
      <c r="C152" s="127"/>
      <c r="D152" s="139"/>
      <c r="E152" s="129"/>
      <c r="F152" s="128"/>
      <c r="G152" s="129"/>
      <c r="H152" s="129"/>
      <c r="I152" s="144"/>
      <c r="J152" s="131">
        <f t="shared" si="8"/>
        <v>0</v>
      </c>
      <c r="N152" s="98"/>
    </row>
    <row r="153" spans="1:14" s="1" customFormat="1" ht="18" customHeight="1">
      <c r="A153" s="129" t="str">
        <f t="shared" si="1"/>
        <v/>
      </c>
      <c r="B153" s="127"/>
      <c r="C153" s="127"/>
      <c r="D153" s="139"/>
      <c r="E153" s="129"/>
      <c r="F153" s="128"/>
      <c r="G153" s="129"/>
      <c r="H153" s="129"/>
      <c r="I153" s="144"/>
      <c r="J153" s="131">
        <f t="shared" si="8"/>
        <v>0</v>
      </c>
      <c r="N153" s="98"/>
    </row>
    <row r="154" spans="1:14" s="1" customFormat="1" ht="18" customHeight="1">
      <c r="A154" s="129" t="str">
        <f t="shared" si="1"/>
        <v/>
      </c>
      <c r="B154" s="127"/>
      <c r="C154" s="127"/>
      <c r="D154" s="139"/>
      <c r="E154" s="129"/>
      <c r="F154" s="128"/>
      <c r="G154" s="129"/>
      <c r="H154" s="129"/>
      <c r="I154" s="144"/>
      <c r="J154" s="131">
        <f t="shared" si="8"/>
        <v>0</v>
      </c>
      <c r="N154" s="98"/>
    </row>
    <row r="155" spans="1:14" s="1" customFormat="1" ht="18" customHeight="1">
      <c r="A155" s="129" t="str">
        <f t="shared" si="1"/>
        <v/>
      </c>
      <c r="B155" s="127"/>
      <c r="C155" s="127"/>
      <c r="D155" s="139"/>
      <c r="E155" s="129"/>
      <c r="F155" s="128"/>
      <c r="G155" s="129"/>
      <c r="H155" s="129"/>
      <c r="I155" s="144"/>
      <c r="J155" s="131">
        <f t="shared" si="8"/>
        <v>0</v>
      </c>
      <c r="N155" s="98"/>
    </row>
    <row r="156" spans="1:14" s="1" customFormat="1" ht="18" customHeight="1">
      <c r="A156" s="129" t="str">
        <f t="shared" si="1"/>
        <v/>
      </c>
      <c r="B156" s="127"/>
      <c r="C156" s="127"/>
      <c r="D156" s="139"/>
      <c r="E156" s="129"/>
      <c r="F156" s="128"/>
      <c r="G156" s="129"/>
      <c r="H156" s="129"/>
      <c r="I156" s="144"/>
      <c r="J156" s="131">
        <f t="shared" si="8"/>
        <v>0</v>
      </c>
      <c r="N156" s="98"/>
    </row>
    <row r="157" spans="1:14" s="1" customFormat="1" ht="18" customHeight="1" thickBot="1">
      <c r="A157" s="129" t="str">
        <f t="shared" si="1"/>
        <v/>
      </c>
      <c r="B157" s="167"/>
      <c r="C157" s="167"/>
      <c r="D157" s="168"/>
      <c r="E157" s="166"/>
      <c r="F157" s="168"/>
      <c r="G157" s="166"/>
      <c r="H157" s="166"/>
      <c r="I157" s="171"/>
      <c r="J157" s="172">
        <f t="shared" si="0"/>
        <v>0</v>
      </c>
    </row>
    <row r="158" spans="1:14" s="1" customFormat="1" ht="27" outlineLevel="1" thickBot="1">
      <c r="A158" s="169" t="s">
        <v>2</v>
      </c>
      <c r="B158" s="169" t="s">
        <v>29</v>
      </c>
      <c r="C158" s="169" t="s">
        <v>3</v>
      </c>
      <c r="D158" s="169" t="s">
        <v>4</v>
      </c>
      <c r="E158" s="169" t="s">
        <v>5</v>
      </c>
      <c r="F158" s="177" t="s">
        <v>85</v>
      </c>
      <c r="G158" s="169" t="s">
        <v>22</v>
      </c>
      <c r="H158" s="170" t="s">
        <v>23</v>
      </c>
      <c r="I158" s="540"/>
      <c r="J158" s="541"/>
    </row>
    <row r="159" spans="1:14" s="1" customFormat="1" ht="15" customHeight="1" outlineLevel="1">
      <c r="A159" s="21">
        <f>IF(B159="","",1)</f>
        <v>1</v>
      </c>
      <c r="B159" s="173" t="str">
        <f t="shared" ref="B159:C165" si="9">B133</f>
        <v>เฟรมบน</v>
      </c>
      <c r="C159" s="173" t="str">
        <f t="shared" si="9"/>
        <v>HEAD</v>
      </c>
      <c r="D159" s="174" t="str">
        <f>VLOOKUP(C159,$C$133:$H$157,2,0)</f>
        <v>B24001</v>
      </c>
      <c r="E159" s="175">
        <f t="shared" ref="E159:E165" si="10">VLOOKUP(C159,$C$133:$H$157,3,0)</f>
        <v>1.603</v>
      </c>
      <c r="F159" s="175">
        <f>VLOOKUP(C159,$C$133:$J$157,7,0)</f>
        <v>740</v>
      </c>
      <c r="G159" s="175">
        <f t="shared" ref="G159:G165" si="11">VLOOKUP(C159,$C$133:$J$157,8,0)</f>
        <v>1</v>
      </c>
      <c r="H159" s="176">
        <f>ROUNDUP((F159*G159)/6400,0)</f>
        <v>1</v>
      </c>
      <c r="I159" s="500"/>
      <c r="J159" s="501"/>
    </row>
    <row r="160" spans="1:14" s="1" customFormat="1" ht="15" customHeight="1" outlineLevel="1">
      <c r="A160" s="18">
        <f t="shared" ref="A160:A165" si="12">IF(B160="","",+A159+1)</f>
        <v>2</v>
      </c>
      <c r="B160" s="173" t="str">
        <f>B134</f>
        <v>บังใบบน</v>
      </c>
      <c r="C160" s="173" t="str">
        <f t="shared" si="9"/>
        <v>DOOR STOP HEAD</v>
      </c>
      <c r="D160" s="174" t="str">
        <f>VLOOKUP(C160,$C$133:$H$157,2,0)</f>
        <v>B24002</v>
      </c>
      <c r="E160" s="175">
        <f t="shared" si="10"/>
        <v>0.27800000000000002</v>
      </c>
      <c r="F160" s="175">
        <f t="shared" ref="F160:F165" si="13">VLOOKUP(C160,$C$133:$I$157,7,0)</f>
        <v>714</v>
      </c>
      <c r="G160" s="175">
        <f t="shared" si="11"/>
        <v>1</v>
      </c>
      <c r="H160" s="176">
        <f>ROUNDUP((F160*G160)/6400,0)</f>
        <v>1</v>
      </c>
      <c r="I160" s="500"/>
      <c r="J160" s="501"/>
    </row>
    <row r="161" spans="1:36" s="1" customFormat="1" ht="15" customHeight="1" outlineLevel="1">
      <c r="A161" s="18">
        <f t="shared" si="12"/>
        <v>3</v>
      </c>
      <c r="B161" s="173" t="str">
        <f t="shared" ref="B161:C173" si="14">B135</f>
        <v xml:space="preserve">เฟรมล่าง </v>
      </c>
      <c r="C161" s="173" t="str">
        <f t="shared" si="9"/>
        <v>SILL</v>
      </c>
      <c r="D161" s="174" t="str">
        <f>VLOOKUP(C161,$C$133:$H$157,2,0)</f>
        <v>B24003</v>
      </c>
      <c r="E161" s="175">
        <f t="shared" si="10"/>
        <v>1.603</v>
      </c>
      <c r="F161" s="175">
        <f t="shared" si="13"/>
        <v>740</v>
      </c>
      <c r="G161" s="175">
        <f t="shared" si="11"/>
        <v>1</v>
      </c>
      <c r="H161" s="176">
        <f t="shared" ref="H161:H162" si="15">ROUNDUP((F161*G161)/6400,0)</f>
        <v>1</v>
      </c>
      <c r="I161" s="500"/>
      <c r="J161" s="501"/>
    </row>
    <row r="162" spans="1:36" s="1" customFormat="1" ht="15" customHeight="1" outlineLevel="1">
      <c r="A162" s="18">
        <f t="shared" si="12"/>
        <v>4</v>
      </c>
      <c r="B162" s="173" t="str">
        <f t="shared" si="14"/>
        <v>ตัวตับธรณี</v>
      </c>
      <c r="C162" s="173" t="str">
        <f t="shared" si="9"/>
        <v>DOOR STOP SILL</v>
      </c>
      <c r="D162" s="174" t="str">
        <f>VLOOKUP(C162,$C$133:$H$157,2,0)</f>
        <v>B24004</v>
      </c>
      <c r="E162" s="175">
        <f t="shared" si="10"/>
        <v>0.51600000000000001</v>
      </c>
      <c r="F162" s="175">
        <f t="shared" si="13"/>
        <v>740</v>
      </c>
      <c r="G162" s="175">
        <f t="shared" si="11"/>
        <v>1</v>
      </c>
      <c r="H162" s="176">
        <f t="shared" si="15"/>
        <v>1</v>
      </c>
      <c r="I162" s="500"/>
      <c r="J162" s="501"/>
    </row>
    <row r="163" spans="1:36" s="1" customFormat="1" ht="15" customHeight="1" outlineLevel="1">
      <c r="A163" s="18">
        <f t="shared" si="12"/>
        <v>5</v>
      </c>
      <c r="B163" s="173" t="str">
        <f t="shared" si="14"/>
        <v>เฟรมข้าง (ซ้าย)</v>
      </c>
      <c r="C163" s="173" t="str">
        <f t="shared" si="9"/>
        <v>JAMB (L)</v>
      </c>
      <c r="D163" s="508" t="str">
        <f>VLOOKUP(C163,$C$133:$H$157,2,0)</f>
        <v>B24005</v>
      </c>
      <c r="E163" s="175">
        <f t="shared" si="10"/>
        <v>0.89300000000000002</v>
      </c>
      <c r="F163" s="175">
        <f t="shared" si="13"/>
        <v>600</v>
      </c>
      <c r="G163" s="175">
        <f t="shared" si="11"/>
        <v>1</v>
      </c>
      <c r="H163" s="516">
        <f>ROUNDUP(((F163*G163)+(F164*G164))/6400,0)</f>
        <v>1</v>
      </c>
      <c r="I163" s="506"/>
      <c r="J163" s="506"/>
    </row>
    <row r="164" spans="1:36" s="1" customFormat="1" ht="15" customHeight="1" outlineLevel="1">
      <c r="A164" s="18">
        <f t="shared" si="12"/>
        <v>6</v>
      </c>
      <c r="B164" s="173" t="str">
        <f t="shared" si="14"/>
        <v>เฟรมข้าง (ขวา)</v>
      </c>
      <c r="C164" s="173" t="str">
        <f t="shared" si="9"/>
        <v>JAMB (R)</v>
      </c>
      <c r="D164" s="509"/>
      <c r="E164" s="175">
        <f t="shared" si="10"/>
        <v>0.89300000000000002</v>
      </c>
      <c r="F164" s="175">
        <f t="shared" si="13"/>
        <v>600</v>
      </c>
      <c r="G164" s="175">
        <f t="shared" si="11"/>
        <v>1</v>
      </c>
      <c r="H164" s="516"/>
      <c r="I164" s="506"/>
      <c r="J164" s="506"/>
    </row>
    <row r="165" spans="1:36" s="1" customFormat="1" ht="15" customHeight="1" outlineLevel="1">
      <c r="A165" s="18">
        <f t="shared" si="12"/>
        <v>7</v>
      </c>
      <c r="B165" s="173" t="str">
        <f t="shared" si="14"/>
        <v>บังใบข้าง (ซ้าย)</v>
      </c>
      <c r="C165" s="173" t="str">
        <f t="shared" si="9"/>
        <v>DOOR STOP JAMB (L)</v>
      </c>
      <c r="D165" s="508" t="str">
        <f>VLOOKUP(C165,$C$133:$H$157,2,0)</f>
        <v>B24006</v>
      </c>
      <c r="E165" s="175">
        <f t="shared" si="10"/>
        <v>0.23499999999999999</v>
      </c>
      <c r="F165" s="175">
        <f t="shared" si="13"/>
        <v>504</v>
      </c>
      <c r="G165" s="175">
        <f t="shared" si="11"/>
        <v>1</v>
      </c>
      <c r="H165" s="516">
        <f>ROUNDUP(((F165*G165)+(F166*G166))/6400,0)</f>
        <v>1</v>
      </c>
      <c r="I165" s="500"/>
      <c r="J165" s="501"/>
    </row>
    <row r="166" spans="1:36" s="1" customFormat="1" ht="15" customHeight="1" outlineLevel="1">
      <c r="A166" s="18">
        <f t="shared" ref="A166:A173" si="16">IF(B166="","",+A165+1)</f>
        <v>8</v>
      </c>
      <c r="B166" s="173" t="str">
        <f t="shared" si="14"/>
        <v>บังใบข้าง (ขวา)</v>
      </c>
      <c r="C166" s="173" t="str">
        <f t="shared" si="14"/>
        <v>DOOR STOP JAMB (R)</v>
      </c>
      <c r="D166" s="509"/>
      <c r="E166" s="175">
        <f t="shared" ref="E166:E173" si="17">VLOOKUP(C166,$C$133:$H$157,3,0)</f>
        <v>0.23499999999999999</v>
      </c>
      <c r="F166" s="175">
        <f t="shared" ref="F166:F173" si="18">VLOOKUP(C166,$C$133:$I$157,7,0)</f>
        <v>504</v>
      </c>
      <c r="G166" s="175">
        <f t="shared" ref="G166:G173" si="19">VLOOKUP(C166,$C$133:$J$157,8,0)</f>
        <v>1</v>
      </c>
      <c r="H166" s="516"/>
      <c r="I166" s="533"/>
      <c r="J166" s="506"/>
    </row>
    <row r="167" spans="1:36" s="1" customFormat="1" ht="13.8" outlineLevel="1">
      <c r="A167" s="18">
        <f t="shared" si="16"/>
        <v>9</v>
      </c>
      <c r="B167" s="173" t="str">
        <f t="shared" si="14"/>
        <v>ขวางบน</v>
      </c>
      <c r="C167" s="173" t="str">
        <f t="shared" si="14"/>
        <v>SASH (Hor) (T)</v>
      </c>
      <c r="D167" s="508" t="str">
        <f t="shared" ref="D167:D172" si="20">VLOOKUP(C167,$C$133:$H$157,2,0)</f>
        <v>B24007</v>
      </c>
      <c r="E167" s="175">
        <f t="shared" si="17"/>
        <v>1.1060000000000001</v>
      </c>
      <c r="F167" s="175">
        <f t="shared" si="18"/>
        <v>130.5</v>
      </c>
      <c r="G167" s="175">
        <f t="shared" si="19"/>
        <v>3</v>
      </c>
      <c r="H167" s="512">
        <f>ROUNDUP(((F167*G167)+(F168*G168)+(F169*G169)+(F170*G170)+(F171*G171))/6400,0)</f>
        <v>1</v>
      </c>
      <c r="I167" s="533"/>
      <c r="J167" s="506"/>
    </row>
    <row r="168" spans="1:36" s="1" customFormat="1" ht="13.8" outlineLevel="1">
      <c r="A168" s="18">
        <f t="shared" si="16"/>
        <v>10</v>
      </c>
      <c r="B168" s="173" t="str">
        <f t="shared" si="14"/>
        <v>ขวางล่าง</v>
      </c>
      <c r="C168" s="173" t="str">
        <f t="shared" si="14"/>
        <v>SASH (Hor) (B)</v>
      </c>
      <c r="D168" s="510"/>
      <c r="E168" s="175">
        <f t="shared" si="17"/>
        <v>1.1060000000000001</v>
      </c>
      <c r="F168" s="175">
        <f t="shared" si="18"/>
        <v>130.5</v>
      </c>
      <c r="G168" s="175">
        <f t="shared" si="19"/>
        <v>3</v>
      </c>
      <c r="H168" s="514"/>
      <c r="I168" s="533"/>
      <c r="J168" s="506"/>
    </row>
    <row r="169" spans="1:36" s="1" customFormat="1" ht="13.8" outlineLevel="1">
      <c r="A169" s="18">
        <f t="shared" si="16"/>
        <v>11</v>
      </c>
      <c r="B169" s="173" t="str">
        <f t="shared" si="14"/>
        <v>เสา</v>
      </c>
      <c r="C169" s="173" t="str">
        <f t="shared" si="14"/>
        <v xml:space="preserve">SASH (Ver) </v>
      </c>
      <c r="D169" s="510"/>
      <c r="E169" s="175">
        <f t="shared" si="17"/>
        <v>1.1060000000000001</v>
      </c>
      <c r="F169" s="175">
        <f t="shared" si="18"/>
        <v>508</v>
      </c>
      <c r="G169" s="175">
        <f t="shared" si="19"/>
        <v>4</v>
      </c>
      <c r="H169" s="514"/>
      <c r="I169" s="533"/>
      <c r="J169" s="506"/>
    </row>
    <row r="170" spans="1:36" s="1" customFormat="1" ht="13.8" outlineLevel="1">
      <c r="A170" s="18">
        <f t="shared" si="16"/>
        <v>12</v>
      </c>
      <c r="B170" s="173" t="str">
        <f t="shared" si="14"/>
        <v>เสากุญแจ</v>
      </c>
      <c r="C170" s="173" t="str">
        <f t="shared" si="14"/>
        <v xml:space="preserve">SASH (Ver) LOCK </v>
      </c>
      <c r="D170" s="510"/>
      <c r="E170" s="175">
        <f t="shared" si="17"/>
        <v>1.1060000000000001</v>
      </c>
      <c r="F170" s="175">
        <f t="shared" si="18"/>
        <v>508</v>
      </c>
      <c r="G170" s="175">
        <f t="shared" si="19"/>
        <v>1</v>
      </c>
      <c r="H170" s="514"/>
      <c r="I170" s="533"/>
      <c r="J170" s="506"/>
    </row>
    <row r="171" spans="1:36" s="1" customFormat="1" ht="13.8" outlineLevel="1">
      <c r="A171" s="18">
        <f t="shared" si="16"/>
        <v>13</v>
      </c>
      <c r="B171" s="173" t="str">
        <f t="shared" si="14"/>
        <v>เสากุญแจมือจับ</v>
      </c>
      <c r="C171" s="173" t="str">
        <f t="shared" si="14"/>
        <v>SASH (Ver) LOCK HANDLE</v>
      </c>
      <c r="D171" s="509"/>
      <c r="E171" s="175">
        <f t="shared" si="17"/>
        <v>1.1060000000000001</v>
      </c>
      <c r="F171" s="175">
        <f t="shared" si="18"/>
        <v>508</v>
      </c>
      <c r="G171" s="175">
        <f t="shared" si="19"/>
        <v>1</v>
      </c>
      <c r="H171" s="515"/>
      <c r="I171" s="533"/>
      <c r="J171" s="506"/>
    </row>
    <row r="172" spans="1:36" s="1" customFormat="1" ht="13.8" outlineLevel="1">
      <c r="A172" s="18">
        <f t="shared" si="16"/>
        <v>14</v>
      </c>
      <c r="B172" s="173" t="str">
        <f t="shared" si="14"/>
        <v>5-6mm คิ้วตบกระจกแนวนอน</v>
      </c>
      <c r="C172" s="173" t="str">
        <f t="shared" si="14"/>
        <v>5-6mm GLAZING BEAD HORIZONTAL</v>
      </c>
      <c r="D172" s="508" t="str">
        <f t="shared" si="20"/>
        <v>B24008</v>
      </c>
      <c r="E172" s="175">
        <f t="shared" si="17"/>
        <v>0.23100000000000001</v>
      </c>
      <c r="F172" s="175">
        <f t="shared" si="18"/>
        <v>130.5</v>
      </c>
      <c r="G172" s="175">
        <f t="shared" si="19"/>
        <v>6</v>
      </c>
      <c r="H172" s="512">
        <f>ROUNDUP(((F172*G172)+(F173*G173))/6400,0)</f>
        <v>1</v>
      </c>
      <c r="I172" s="500"/>
      <c r="J172" s="501"/>
    </row>
    <row r="173" spans="1:36" s="23" customFormat="1" ht="15" customHeight="1" outlineLevel="1" thickBot="1">
      <c r="A173" s="18">
        <f t="shared" si="16"/>
        <v>15</v>
      </c>
      <c r="B173" s="173" t="str">
        <f t="shared" si="14"/>
        <v>5-6mm คิ้วตบกระจกแนวตั้ง</v>
      </c>
      <c r="C173" s="173" t="str">
        <f t="shared" si="14"/>
        <v>5-6mm GLAZING BEAD VERTICAL</v>
      </c>
      <c r="D173" s="511"/>
      <c r="E173" s="175">
        <f t="shared" si="17"/>
        <v>0.23100000000000001</v>
      </c>
      <c r="F173" s="175">
        <f t="shared" si="18"/>
        <v>358</v>
      </c>
      <c r="G173" s="175">
        <f t="shared" si="19"/>
        <v>6</v>
      </c>
      <c r="H173" s="513"/>
      <c r="I173" s="500"/>
      <c r="J173" s="50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s="1" customFormat="1" ht="24.9" customHeight="1" thickBot="1">
      <c r="A174" s="529" t="s">
        <v>9</v>
      </c>
      <c r="B174" s="530"/>
      <c r="C174" s="530"/>
      <c r="D174" s="530"/>
      <c r="E174" s="530"/>
      <c r="F174" s="530"/>
      <c r="G174" s="530"/>
      <c r="H174" s="530"/>
      <c r="I174" s="530"/>
      <c r="J174" s="531"/>
    </row>
    <row r="175" spans="1:36" s="1" customFormat="1" ht="35.1" customHeight="1" thickBot="1">
      <c r="A175" s="102" t="s">
        <v>2</v>
      </c>
      <c r="B175" s="103" t="s">
        <v>29</v>
      </c>
      <c r="C175" s="103" t="s">
        <v>3</v>
      </c>
      <c r="D175" s="103" t="s">
        <v>199</v>
      </c>
      <c r="E175" s="103" t="s">
        <v>5</v>
      </c>
      <c r="F175" s="104" t="s">
        <v>28</v>
      </c>
      <c r="G175" s="103" t="s">
        <v>19</v>
      </c>
      <c r="H175" s="104" t="s">
        <v>200</v>
      </c>
      <c r="I175" s="104" t="s">
        <v>20</v>
      </c>
      <c r="J175" s="115" t="s">
        <v>201</v>
      </c>
      <c r="N175" s="101" t="s">
        <v>191</v>
      </c>
      <c r="O175" s="246" t="s">
        <v>29</v>
      </c>
      <c r="P175" s="246" t="s">
        <v>3</v>
      </c>
      <c r="Q175" s="246" t="s">
        <v>199</v>
      </c>
      <c r="R175" s="246" t="s">
        <v>5</v>
      </c>
      <c r="S175" s="246" t="s">
        <v>28</v>
      </c>
      <c r="T175" s="246" t="s">
        <v>19</v>
      </c>
      <c r="U175" s="246" t="s">
        <v>200</v>
      </c>
      <c r="V175" s="246" t="s">
        <v>20</v>
      </c>
      <c r="W175" s="246" t="s">
        <v>201</v>
      </c>
    </row>
    <row r="176" spans="1:36" s="1" customFormat="1" ht="18" customHeight="1">
      <c r="A176" s="120">
        <f>IF(B176="","",1)</f>
        <v>1</v>
      </c>
      <c r="B176" s="140" t="s">
        <v>110</v>
      </c>
      <c r="C176" s="140" t="s">
        <v>66</v>
      </c>
      <c r="D176" s="139" t="s">
        <v>73</v>
      </c>
      <c r="E176" s="143"/>
      <c r="F176" s="143" t="s">
        <v>73</v>
      </c>
      <c r="G176" s="143" t="s">
        <v>202</v>
      </c>
      <c r="H176" s="143">
        <v>1</v>
      </c>
      <c r="I176" s="130"/>
      <c r="J176" s="131">
        <f t="shared" ref="J176:J188" si="21">$J$120*H176</f>
        <v>1</v>
      </c>
      <c r="N176" s="101" t="s">
        <v>226</v>
      </c>
      <c r="O176" s="280" t="s">
        <v>252</v>
      </c>
      <c r="P176" s="290" t="s">
        <v>248</v>
      </c>
      <c r="Q176" s="280" t="s">
        <v>69</v>
      </c>
      <c r="R176" s="213"/>
      <c r="S176" s="213" t="s">
        <v>69</v>
      </c>
      <c r="T176" s="213" t="s">
        <v>198</v>
      </c>
      <c r="U176" s="291">
        <f>((($I$141*$G$141)+($I$142*$G$142)+($I$143*$G$143)+($I$144*$G$144)+($I$145*$G$145))/1000)*$J$120</f>
        <v>3.831</v>
      </c>
      <c r="V176" s="291">
        <v>100</v>
      </c>
      <c r="W176" s="292">
        <f>ROUNDUP((U176)/100,0)</f>
        <v>1</v>
      </c>
    </row>
    <row r="177" spans="1:23" s="1" customFormat="1" ht="18" customHeight="1">
      <c r="A177" s="126">
        <f>IF(B177="","",+A176+1)</f>
        <v>2</v>
      </c>
      <c r="B177" s="140" t="s">
        <v>111</v>
      </c>
      <c r="C177" s="140" t="s">
        <v>67</v>
      </c>
      <c r="D177" s="139" t="s">
        <v>74</v>
      </c>
      <c r="E177" s="143"/>
      <c r="F177" s="143" t="s">
        <v>74</v>
      </c>
      <c r="G177" s="143" t="s">
        <v>202</v>
      </c>
      <c r="H177" s="143">
        <v>6</v>
      </c>
      <c r="I177" s="130"/>
      <c r="J177" s="131">
        <f t="shared" si="21"/>
        <v>6</v>
      </c>
      <c r="N177" s="101" t="s">
        <v>230</v>
      </c>
      <c r="O177" s="280" t="s">
        <v>253</v>
      </c>
      <c r="P177" s="290" t="s">
        <v>249</v>
      </c>
      <c r="Q177" s="280" t="s">
        <v>188</v>
      </c>
      <c r="R177" s="213"/>
      <c r="S177" s="213" t="s">
        <v>188</v>
      </c>
      <c r="T177" s="213" t="s">
        <v>198</v>
      </c>
      <c r="U177" s="291">
        <f>((($I$141*$G$141)+($I$142*$G$142)+($I$143*$G$143)+($I$144*$G$144)+($I$145*$G$145))/1000)*$J$120</f>
        <v>3.831</v>
      </c>
      <c r="V177" s="291">
        <v>100</v>
      </c>
      <c r="W177" s="292">
        <f t="shared" ref="W177:W180" si="22">ROUNDUP((U177)/100,0)</f>
        <v>1</v>
      </c>
    </row>
    <row r="178" spans="1:23" s="1" customFormat="1" ht="18" customHeight="1">
      <c r="A178" s="126">
        <f t="shared" ref="A178:A197" si="23">IF(B178="","",+A177+1)</f>
        <v>3</v>
      </c>
      <c r="B178" s="140" t="s">
        <v>106</v>
      </c>
      <c r="C178" s="140" t="s">
        <v>503</v>
      </c>
      <c r="D178" s="139" t="s">
        <v>75</v>
      </c>
      <c r="E178" s="143"/>
      <c r="F178" s="143" t="s">
        <v>75</v>
      </c>
      <c r="G178" s="143" t="s">
        <v>202</v>
      </c>
      <c r="H178" s="143">
        <v>2</v>
      </c>
      <c r="I178" s="130"/>
      <c r="J178" s="131">
        <f t="shared" si="21"/>
        <v>2</v>
      </c>
      <c r="N178" s="101" t="s">
        <v>229</v>
      </c>
      <c r="O178" s="290" t="s">
        <v>254</v>
      </c>
      <c r="P178" s="290" t="s">
        <v>250</v>
      </c>
      <c r="Q178" s="280" t="s">
        <v>70</v>
      </c>
      <c r="R178" s="213"/>
      <c r="S178" s="213" t="s">
        <v>70</v>
      </c>
      <c r="T178" s="213" t="s">
        <v>198</v>
      </c>
      <c r="U178" s="291">
        <f>((($I$141*$G$141)+($I$142*$G$142)+($I$143*$G$143)+($I$144*$G$144)+($I$145*$G$145))/1000)*$J$120</f>
        <v>3.831</v>
      </c>
      <c r="V178" s="291">
        <v>100</v>
      </c>
      <c r="W178" s="292">
        <f t="shared" si="22"/>
        <v>1</v>
      </c>
    </row>
    <row r="179" spans="1:23" s="1" customFormat="1" ht="18" customHeight="1">
      <c r="A179" s="126">
        <f t="shared" si="23"/>
        <v>4</v>
      </c>
      <c r="B179" s="140" t="s">
        <v>107</v>
      </c>
      <c r="C179" s="140" t="s">
        <v>504</v>
      </c>
      <c r="D179" s="139" t="s">
        <v>76</v>
      </c>
      <c r="E179" s="143"/>
      <c r="F179" s="143" t="s">
        <v>76</v>
      </c>
      <c r="G179" s="143" t="s">
        <v>202</v>
      </c>
      <c r="H179" s="143">
        <v>2</v>
      </c>
      <c r="I179" s="130"/>
      <c r="J179" s="131">
        <f t="shared" si="21"/>
        <v>2</v>
      </c>
      <c r="N179" s="101" t="s">
        <v>231</v>
      </c>
      <c r="O179" s="290" t="s">
        <v>255</v>
      </c>
      <c r="P179" s="290" t="s">
        <v>251</v>
      </c>
      <c r="Q179" s="280" t="s">
        <v>189</v>
      </c>
      <c r="R179" s="213"/>
      <c r="S179" s="213" t="s">
        <v>189</v>
      </c>
      <c r="T179" s="213" t="s">
        <v>198</v>
      </c>
      <c r="U179" s="291">
        <f>((($I$141*$G$141)+($I$142*$G$142)+($I$143*$G$143)+($I$144*$G$144)+($I$145*$G$145))/1000)*$J$120</f>
        <v>3.831</v>
      </c>
      <c r="V179" s="291">
        <v>100</v>
      </c>
      <c r="W179" s="292">
        <f t="shared" si="22"/>
        <v>1</v>
      </c>
    </row>
    <row r="180" spans="1:23" s="1" customFormat="1" ht="18" customHeight="1">
      <c r="A180" s="126">
        <f t="shared" si="23"/>
        <v>5</v>
      </c>
      <c r="B180" s="140" t="s">
        <v>108</v>
      </c>
      <c r="C180" s="140" t="s">
        <v>10</v>
      </c>
      <c r="D180" s="139">
        <v>9</v>
      </c>
      <c r="E180" s="143"/>
      <c r="F180" s="143">
        <v>9</v>
      </c>
      <c r="G180" s="143" t="s">
        <v>202</v>
      </c>
      <c r="H180" s="143">
        <v>24</v>
      </c>
      <c r="I180" s="130"/>
      <c r="J180" s="131">
        <f t="shared" si="21"/>
        <v>24</v>
      </c>
      <c r="N180" s="101" t="s">
        <v>232</v>
      </c>
      <c r="O180" s="290" t="s">
        <v>256</v>
      </c>
      <c r="P180" s="290" t="s">
        <v>247</v>
      </c>
      <c r="Q180" s="280" t="s">
        <v>233</v>
      </c>
      <c r="R180" s="213"/>
      <c r="S180" s="213" t="s">
        <v>233</v>
      </c>
      <c r="T180" s="213" t="s">
        <v>198</v>
      </c>
      <c r="U180" s="291">
        <f>((($I$141*$G$141)+($I$142*$G$142)+($I$143*$G$143)+($I$144*$G$144)+($I$145*$G$145))/1000)*$J$120</f>
        <v>3.831</v>
      </c>
      <c r="V180" s="291">
        <v>100</v>
      </c>
      <c r="W180" s="292">
        <f t="shared" si="22"/>
        <v>1</v>
      </c>
    </row>
    <row r="181" spans="1:23" s="1" customFormat="1" ht="18" customHeight="1">
      <c r="A181" s="126">
        <f t="shared" si="23"/>
        <v>6</v>
      </c>
      <c r="B181" s="140" t="s">
        <v>109</v>
      </c>
      <c r="C181" s="140" t="s">
        <v>68</v>
      </c>
      <c r="D181" s="139">
        <v>9</v>
      </c>
      <c r="E181" s="143"/>
      <c r="F181" s="143">
        <v>9</v>
      </c>
      <c r="G181" s="143" t="s">
        <v>202</v>
      </c>
      <c r="H181" s="143">
        <v>48</v>
      </c>
      <c r="I181" s="130"/>
      <c r="J181" s="131">
        <f t="shared" si="21"/>
        <v>48</v>
      </c>
    </row>
    <row r="182" spans="1:23" s="1" customFormat="1" ht="18" customHeight="1">
      <c r="A182" s="126">
        <f t="shared" si="23"/>
        <v>7</v>
      </c>
      <c r="B182" s="140" t="s">
        <v>118</v>
      </c>
      <c r="C182" s="140" t="s">
        <v>77</v>
      </c>
      <c r="D182" s="139" t="s">
        <v>80</v>
      </c>
      <c r="E182" s="143"/>
      <c r="F182" s="143" t="s">
        <v>80</v>
      </c>
      <c r="G182" s="143" t="s">
        <v>185</v>
      </c>
      <c r="H182" s="143">
        <v>1</v>
      </c>
      <c r="I182" s="130"/>
      <c r="J182" s="131">
        <f t="shared" si="21"/>
        <v>1</v>
      </c>
    </row>
    <row r="183" spans="1:23" s="1" customFormat="1" ht="18" customHeight="1">
      <c r="A183" s="126">
        <f t="shared" si="23"/>
        <v>8</v>
      </c>
      <c r="B183" s="140" t="s">
        <v>131</v>
      </c>
      <c r="C183" s="140" t="s">
        <v>100</v>
      </c>
      <c r="D183" s="139" t="s">
        <v>102</v>
      </c>
      <c r="E183" s="143"/>
      <c r="F183" s="143" t="s">
        <v>102</v>
      </c>
      <c r="G183" s="143" t="s">
        <v>185</v>
      </c>
      <c r="H183" s="143">
        <v>1</v>
      </c>
      <c r="I183" s="130"/>
      <c r="J183" s="131">
        <f t="shared" si="21"/>
        <v>1</v>
      </c>
    </row>
    <row r="184" spans="1:23" s="1" customFormat="1" ht="18" customHeight="1">
      <c r="A184" s="126">
        <f t="shared" si="23"/>
        <v>9</v>
      </c>
      <c r="B184" s="140" t="s">
        <v>143</v>
      </c>
      <c r="C184" s="140" t="s">
        <v>121</v>
      </c>
      <c r="D184" s="139" t="s">
        <v>103</v>
      </c>
      <c r="E184" s="143"/>
      <c r="F184" s="143" t="s">
        <v>103</v>
      </c>
      <c r="G184" s="143" t="s">
        <v>185</v>
      </c>
      <c r="H184" s="143">
        <v>1</v>
      </c>
      <c r="I184" s="130"/>
      <c r="J184" s="131">
        <f t="shared" si="21"/>
        <v>1</v>
      </c>
    </row>
    <row r="185" spans="1:23" s="1" customFormat="1" ht="18" customHeight="1">
      <c r="A185" s="126">
        <f t="shared" si="23"/>
        <v>10</v>
      </c>
      <c r="B185" s="140" t="s">
        <v>113</v>
      </c>
      <c r="C185" s="140" t="s">
        <v>502</v>
      </c>
      <c r="D185" s="139" t="s">
        <v>83</v>
      </c>
      <c r="E185" s="143"/>
      <c r="F185" s="143" t="s">
        <v>83</v>
      </c>
      <c r="G185" s="143" t="s">
        <v>185</v>
      </c>
      <c r="H185" s="143">
        <v>1</v>
      </c>
      <c r="I185" s="130"/>
      <c r="J185" s="131">
        <f t="shared" si="21"/>
        <v>1</v>
      </c>
      <c r="N185" s="56"/>
      <c r="O185" s="56"/>
      <c r="P185" s="56"/>
      <c r="Q185" s="289"/>
      <c r="R185" s="289"/>
      <c r="S185" s="289"/>
      <c r="T185" s="17"/>
      <c r="U185" s="17"/>
      <c r="V185" s="17"/>
      <c r="W185" s="56"/>
    </row>
    <row r="186" spans="1:23" s="1" customFormat="1" ht="18" customHeight="1">
      <c r="A186" s="126">
        <f t="shared" si="23"/>
        <v>11</v>
      </c>
      <c r="B186" s="140" t="s">
        <v>122</v>
      </c>
      <c r="C186" s="140" t="s">
        <v>101</v>
      </c>
      <c r="D186" s="139" t="s">
        <v>104</v>
      </c>
      <c r="E186" s="143"/>
      <c r="F186" s="143" t="s">
        <v>104</v>
      </c>
      <c r="G186" s="143" t="s">
        <v>185</v>
      </c>
      <c r="H186" s="143">
        <v>1</v>
      </c>
      <c r="I186" s="144"/>
      <c r="J186" s="131">
        <f t="shared" si="21"/>
        <v>1</v>
      </c>
      <c r="N186" s="101" t="s">
        <v>227</v>
      </c>
      <c r="O186" s="246" t="s">
        <v>29</v>
      </c>
      <c r="P186" s="246" t="s">
        <v>3</v>
      </c>
      <c r="Q186" s="246" t="s">
        <v>199</v>
      </c>
      <c r="R186" s="246" t="s">
        <v>5</v>
      </c>
      <c r="S186" s="246" t="s">
        <v>28</v>
      </c>
      <c r="T186" s="246" t="s">
        <v>19</v>
      </c>
      <c r="U186" s="246" t="s">
        <v>200</v>
      </c>
      <c r="V186" s="246" t="s">
        <v>20</v>
      </c>
      <c r="W186" s="246" t="s">
        <v>201</v>
      </c>
    </row>
    <row r="187" spans="1:23" s="1" customFormat="1" ht="18" customHeight="1">
      <c r="A187" s="126">
        <f t="shared" si="23"/>
        <v>12</v>
      </c>
      <c r="B187" s="140" t="s">
        <v>112</v>
      </c>
      <c r="C187" s="140" t="s">
        <v>114</v>
      </c>
      <c r="D187" s="128" t="s">
        <v>520</v>
      </c>
      <c r="E187" s="129"/>
      <c r="F187" s="129" t="s">
        <v>520</v>
      </c>
      <c r="G187" s="143" t="s">
        <v>202</v>
      </c>
      <c r="H187" s="143">
        <v>2</v>
      </c>
      <c r="I187" s="144"/>
      <c r="J187" s="131">
        <f t="shared" si="21"/>
        <v>2</v>
      </c>
      <c r="N187" s="101" t="s">
        <v>240</v>
      </c>
      <c r="O187" s="290" t="s">
        <v>234</v>
      </c>
      <c r="P187" s="290" t="s">
        <v>236</v>
      </c>
      <c r="Q187" s="280" t="s">
        <v>190</v>
      </c>
      <c r="R187" s="213"/>
      <c r="S187" s="213" t="s">
        <v>190</v>
      </c>
      <c r="T187" s="213" t="s">
        <v>198</v>
      </c>
      <c r="U187" s="291">
        <f>((($I$134*$G$134)+($I$136*$G$136)+($I$139*$G$139))/1000)*$J$120</f>
        <v>1.958</v>
      </c>
      <c r="V187" s="291">
        <v>300</v>
      </c>
      <c r="W187" s="292">
        <f>ROUNDUP((U187)/V187,0)</f>
        <v>1</v>
      </c>
    </row>
    <row r="188" spans="1:23" s="1" customFormat="1" ht="18" customHeight="1">
      <c r="A188" s="126">
        <f t="shared" si="23"/>
        <v>13</v>
      </c>
      <c r="B188" s="140" t="s">
        <v>115</v>
      </c>
      <c r="C188" s="140" t="s">
        <v>45</v>
      </c>
      <c r="D188" s="139" t="s">
        <v>84</v>
      </c>
      <c r="E188" s="143"/>
      <c r="F188" s="143" t="s">
        <v>84</v>
      </c>
      <c r="G188" s="143" t="s">
        <v>202</v>
      </c>
      <c r="H188" s="143">
        <v>1</v>
      </c>
      <c r="I188" s="144"/>
      <c r="J188" s="131">
        <f t="shared" si="21"/>
        <v>1</v>
      </c>
      <c r="N188" s="101" t="s">
        <v>241</v>
      </c>
      <c r="O188" s="290" t="s">
        <v>235</v>
      </c>
      <c r="P188" s="290" t="s">
        <v>238</v>
      </c>
      <c r="Q188" s="280" t="s">
        <v>71</v>
      </c>
      <c r="R188" s="213"/>
      <c r="S188" s="213" t="s">
        <v>71</v>
      </c>
      <c r="T188" s="213" t="s">
        <v>198</v>
      </c>
      <c r="U188" s="291">
        <f>((($I$134*$G$134)+($I$136*$G$136)+($I$139*$G$139))/1000)*$J$120</f>
        <v>1.958</v>
      </c>
      <c r="V188" s="291">
        <v>100</v>
      </c>
      <c r="W188" s="292">
        <f t="shared" ref="W188:W190" si="24">ROUNDUP((U188)/V188,0)</f>
        <v>1</v>
      </c>
    </row>
    <row r="189" spans="1:23" s="1" customFormat="1" ht="18" customHeight="1">
      <c r="A189" s="126">
        <f t="shared" si="23"/>
        <v>14</v>
      </c>
      <c r="B189" s="139" t="str">
        <f>IF($D$129="Standard",$O$187,IF($D$129="Soumdproof",$O$188,))</f>
        <v>ยางเฟรมกันน้ำ (ธรรมดา)</v>
      </c>
      <c r="C189" s="139" t="str">
        <f>IF($D$129="Standard",$P$187,IF($D$129="Soumdproof",$P$188,))</f>
        <v>FRAME SEAL (Standard)</v>
      </c>
      <c r="D189" s="139" t="str">
        <f>IF($D$129="Standard",$Q$187,IF($D$129="Soumdproof",$Q$188,))</f>
        <v>02-026</v>
      </c>
      <c r="E189" s="143">
        <f t="shared" ref="E189" si="25">IF($D$129="Standard",R188,IF($D$129="Soumdproof",R189,))</f>
        <v>0</v>
      </c>
      <c r="F189" s="143" t="str">
        <f>IF($D$129="Standard",$S$187,IF($D$129="Soumdproof",$S$188,))</f>
        <v>02-026</v>
      </c>
      <c r="G189" s="143" t="str">
        <f>IF($D$129="Standard",$T$187,IF($D$129="Soumdproof",$T$188,))</f>
        <v>M</v>
      </c>
      <c r="H189" s="261">
        <f>IF($D$129="Standard",$U$187,IF($D$129="Soumdproof",$U$188,))</f>
        <v>1.958</v>
      </c>
      <c r="I189" s="258">
        <f>IF($D$129="Standard",$V$187,IF($D$129="Soumdproof",$V$188,))</f>
        <v>300</v>
      </c>
      <c r="J189" s="260">
        <f>ROUNDUP((H189)/100,0)</f>
        <v>1</v>
      </c>
      <c r="N189" s="101" t="s">
        <v>240</v>
      </c>
      <c r="O189" s="290" t="s">
        <v>245</v>
      </c>
      <c r="P189" s="290" t="s">
        <v>237</v>
      </c>
      <c r="Q189" s="280" t="s">
        <v>72</v>
      </c>
      <c r="R189" s="213"/>
      <c r="S189" s="213" t="s">
        <v>72</v>
      </c>
      <c r="T189" s="213" t="s">
        <v>198</v>
      </c>
      <c r="U189" s="291">
        <f>((($I$143*$G$143*2)+($I$144*$G$144*2)+($I$141*$G$141*2))/1000)*$J$120</f>
        <v>5.8630000000000004</v>
      </c>
      <c r="V189" s="291">
        <v>350</v>
      </c>
      <c r="W189" s="292">
        <f t="shared" si="24"/>
        <v>1</v>
      </c>
    </row>
    <row r="190" spans="1:23" s="1" customFormat="1" ht="18" customHeight="1">
      <c r="A190" s="126">
        <f t="shared" si="23"/>
        <v>15</v>
      </c>
      <c r="B190" s="139" t="str">
        <f>IF($D$129="Standard",$O$189,IF($D$129="Soumdproof",$O$190,))</f>
        <v>ยางแซชกันน้ำ (ธรรมดา)</v>
      </c>
      <c r="C190" s="139" t="str">
        <f>IF($D$129="Standard",$P$189,IF($D$129="Soumdproof",$P$190,))</f>
        <v>SASH SEAL FOAM (Standard)</v>
      </c>
      <c r="D190" s="139" t="str">
        <f>IF($D$129="Standard",$Q$189,IF($D$129="Soumdproof",$Q$190,))</f>
        <v>02-031</v>
      </c>
      <c r="E190" s="143">
        <f t="shared" ref="E190" si="26">IF($D$129="Standard",R190,IF($D$129="Soumdproof",R191,))</f>
        <v>0</v>
      </c>
      <c r="F190" s="143" t="str">
        <f>IF($D$129="Standard",$S$189,IF($D$129="Soumdproof",$S$190,))</f>
        <v>02-031</v>
      </c>
      <c r="G190" s="143" t="str">
        <f>IF($D$129="Standard",$T$189,IF($D$129="Soumdproof",$T$190,))</f>
        <v>M</v>
      </c>
      <c r="H190" s="261">
        <f>IF($D$129="Standard",$U$189,IF($D$129="Soumdproof",$U$190,))</f>
        <v>5.8630000000000004</v>
      </c>
      <c r="I190" s="258">
        <f>IF($D$129="Standard",$V$189,IF($D$129="Soumdproof",$V$190,))</f>
        <v>350</v>
      </c>
      <c r="J190" s="260">
        <f>ROUNDUP((H190)/100,0)</f>
        <v>1</v>
      </c>
      <c r="N190" s="101" t="s">
        <v>241</v>
      </c>
      <c r="O190" s="290" t="s">
        <v>246</v>
      </c>
      <c r="P190" s="290" t="s">
        <v>239</v>
      </c>
      <c r="Q190" s="280" t="s">
        <v>193</v>
      </c>
      <c r="R190" s="213"/>
      <c r="S190" s="213" t="s">
        <v>193</v>
      </c>
      <c r="T190" s="213" t="s">
        <v>198</v>
      </c>
      <c r="U190" s="291">
        <f>((($I$143*$G$143*2)+($I$144*$G$144*2)+($I$141*$G$141*2))/1000)*$J$120</f>
        <v>5.8630000000000004</v>
      </c>
      <c r="V190" s="291">
        <v>100</v>
      </c>
      <c r="W190" s="292">
        <f t="shared" si="24"/>
        <v>1</v>
      </c>
    </row>
    <row r="191" spans="1:23" s="1" customFormat="1" ht="18" customHeight="1">
      <c r="A191" s="126">
        <f t="shared" si="23"/>
        <v>16</v>
      </c>
      <c r="B191" s="241" t="str">
        <f>IF($D$127=5,$O$178,IF($D$127=6,$O$179,IF($D$127=8,$O$180,IF($D$127=10,$O$178,IF($D$127=12,$O$178,IF($D$127=14,$O$180,IF($D$127=18,$O$178,IF($D$127=20,$O$179,IF($D$127=22,"")))))))))</f>
        <v>6,20 mm ยางอัดกระจก</v>
      </c>
      <c r="C191" s="241" t="str">
        <f>IF($D$127=5,$P$178,IF($D$127=6,$P$179,IF($D$127=8,$P$180,IF($D$127=10,$P$178,IF($D$127=12,$P$178,IF($D$127=14,$P$180,IF($D$127=18,$P$178,IF($D$127=20,$P$179,IF($D$127=22,"")))))))))</f>
        <v>6,20 mm ROLL IN WEDGE</v>
      </c>
      <c r="D191" s="241" t="str">
        <f>IF($D$127=5,$Q$178,IF($D$127=6,$Q$179,IF($D$127=8,$Q$180,IF($D$127=10,$Q$178,IF($D$127=12,$Q$178,IF($D$127=14,$Q$180,IF($D$127=18,$Q$178,IF($D$127=20,$Q$179,IF($D$127=22,"")))))))))</f>
        <v>02-034</v>
      </c>
      <c r="E191" s="241">
        <f t="shared" ref="E191" si="27">IF($D$127=5,R179,IF($D$127=6,R180,IF($D$127=8,R181,IF($D$127=10,R179,IF($D$127=12,R179,IF($D$127=14,R181,IF($D$127=18,R179,IF($D$127=20,R180,IF($D$127=22,"",)))))))))</f>
        <v>0</v>
      </c>
      <c r="F191" s="242" t="str">
        <f>IF($D$127=5,$S$178,IF($D$127=6,$S$179,IF($D$127=8,$S$180,IF($D$127=10,$S$178,IF($D$127=12,$S$178,IF($D$127=14,$S$180,IF($D$127=18,$S$178,IF($D$127=20,$S$179,IF($D$127=22,"")))))))))</f>
        <v>02-034</v>
      </c>
      <c r="G191" s="242" t="str">
        <f>IF($D$127=5,$T$178,IF($D$127=6,$T$179,IF($D$127=8,$T$180,IF($D$127=10,$T$178,IF($D$127=12,$T$178,IF($D$127=14,$T$180,IF($D$127=18,$T$178,IF($D$127=20,$T$179,IF($D$127=22,"")))))))))</f>
        <v>M</v>
      </c>
      <c r="H191" s="261">
        <f>IF($D$127=5,$U$178,IF($D$127=6,$U$179,IF($D$127=8,$U$180,IF($D$127=10,$U$178*2,IF($D$127=12,$U$178,IF($D$127=14,$U$180*2,IF($D$127=18,$U$178,IF($D$127=20,$U$179,IF($D$127=22,"")))))))))</f>
        <v>3.831</v>
      </c>
      <c r="I191" s="258">
        <f>IF($D$127=5,$V$178,IF($D$127=6,$V$179,IF($D$127=8,$V$180,IF($D$127=10,$V$178,IF($D$127=12,$V$178,IF($D$127=14,$V$180,IF($D$127=18,$V$178,IF($D$127=20,$V$179,IF($D$127=22,"")))))))))</f>
        <v>100</v>
      </c>
      <c r="J191" s="260">
        <f>ROUNDUP((H191)/100,0)</f>
        <v>1</v>
      </c>
    </row>
    <row r="192" spans="1:23" s="1" customFormat="1" ht="18" customHeight="1">
      <c r="A192" s="126">
        <f t="shared" si="23"/>
        <v>17</v>
      </c>
      <c r="B192" s="241" t="str">
        <f>IF($D$127=5,$O$176,IF($D$127=6,$O$176,IF($D$127=8,$O$178,IF($D$127=10,"",IF($D$127=12,$O$177,IF($D$127=14,"",IF($D$127=18,$O$176,IF($D$127=20,$O$177,IF($D$127=22,"",)))))))))</f>
        <v>5,6,18 mm ยางรองกระจก</v>
      </c>
      <c r="C192" s="241" t="str">
        <f>IF($D$127=5,$P$176,IF($D$127=6,$P$176,IF($D$127=8,$P$178,IF($D$127=10,"",IF($D$127=12,$P$177,IF($D$127=14,"",IF($D$127=18,$P$176,IF($D$127=20,$P$177,IF($D$127=22,"",)))))))))</f>
        <v>5,6,18 mm CAPTIVE WEDGE</v>
      </c>
      <c r="D192" s="241" t="str">
        <f>IF($D$127=5,$Q$176,IF($D$127=6,$Q$176,IF($D$127=8,$Q$178,IF($D$127=10,"",IF($D$127=12,$Q$177,IF($D$127=14,"",IF($D$127=18,$Q$176,IF($D$127=20,$Q$177,IF($D$127=22,"",)))))))))</f>
        <v>02-022</v>
      </c>
      <c r="E192" s="241">
        <f t="shared" ref="E192" si="28">IF($D$127=5,R177,IF($D$127=6,R177,IF($D$127=8,R179,IF($D$127=10,"",IF($D$127=12,R178,IF($D$127=14,"",IF($D$127=18,R177,IF($D$127=20,R178,IF($D$127=22,"",)))))))))</f>
        <v>0</v>
      </c>
      <c r="F192" s="242" t="str">
        <f>IF($D$127=5,$S$176,IF($D$127=6,$S$176,IF($D$127=8,$S$178,IF($D$127=10,"",IF($D$127=12,$S$177,IF($D$127=14,"",IF($D$127=18,$S$176,IF($D$127=20,$S$177,IF($D$127=22,"",)))))))))</f>
        <v>02-022</v>
      </c>
      <c r="G192" s="242" t="str">
        <f>IF($D$127=5,$T$176,IF($D$127=6,$T$176,IF($D$127=8,$T$178,IF($D$127=10,"",IF($D$127=12,$T$177,IF($D$127=14,"",IF($D$127=18,$T$176,IF($D$127=20,$T$177,IF($D$127=22,"",)))))))))</f>
        <v>M</v>
      </c>
      <c r="H192" s="261">
        <f>IF($D$127=5,$U$176,IF($D$127=6,$U$176,IF($D$127=8,$U$178,IF($D$127=10,"",IF($D$127=12,$U$177,IF($D$127=14,"",IF($D$127=18,$U$176,IF($D$127=20,$U$177,IF($D$127=22,"")))))))))</f>
        <v>3.831</v>
      </c>
      <c r="I192" s="258">
        <f>IF($D$127=5,$V$176,IF($D$127=6,$V$176,IF($D$127=8,$V$178,IF($D$127=10,"",IF($D$127=12,$V$177,IF($D$127=14,"",IF($D$127=18,$V$176,IF($D$127=20,$V$177,IF($D$127=22,"",)))))))))</f>
        <v>100</v>
      </c>
      <c r="J192" s="267">
        <f>ROUNDUP((H192)/100,0)</f>
        <v>1</v>
      </c>
    </row>
    <row r="193" spans="1:36" s="1" customFormat="1" ht="18" customHeight="1">
      <c r="A193" s="126" t="str">
        <f t="shared" si="23"/>
        <v/>
      </c>
      <c r="B193" s="140"/>
      <c r="C193" s="140"/>
      <c r="D193" s="139"/>
      <c r="E193" s="143"/>
      <c r="F193" s="143"/>
      <c r="G193" s="143"/>
      <c r="H193" s="143"/>
      <c r="I193" s="144"/>
      <c r="J193" s="131">
        <f>$J$120*H193</f>
        <v>0</v>
      </c>
    </row>
    <row r="194" spans="1:36" s="1" customFormat="1" ht="18" customHeight="1">
      <c r="A194" s="126" t="str">
        <f t="shared" si="23"/>
        <v/>
      </c>
      <c r="B194" s="140"/>
      <c r="C194" s="140"/>
      <c r="D194" s="139"/>
      <c r="E194" s="143"/>
      <c r="F194" s="143"/>
      <c r="G194" s="143"/>
      <c r="H194" s="143"/>
      <c r="I194" s="130"/>
      <c r="J194" s="131">
        <f>$J$120*H194</f>
        <v>0</v>
      </c>
    </row>
    <row r="195" spans="1:36" s="1" customFormat="1" ht="18" customHeight="1">
      <c r="A195" s="126" t="str">
        <f t="shared" si="23"/>
        <v/>
      </c>
      <c r="B195" s="140"/>
      <c r="C195" s="140"/>
      <c r="D195" s="139"/>
      <c r="E195" s="143"/>
      <c r="F195" s="143"/>
      <c r="G195" s="143"/>
      <c r="H195" s="143"/>
      <c r="I195" s="130"/>
      <c r="J195" s="131">
        <f>$J$120*H195</f>
        <v>0</v>
      </c>
    </row>
    <row r="196" spans="1:36" ht="18" customHeight="1">
      <c r="A196" s="126" t="str">
        <f t="shared" si="23"/>
        <v/>
      </c>
      <c r="B196" s="140"/>
      <c r="C196" s="140"/>
      <c r="D196" s="139"/>
      <c r="E196" s="143"/>
      <c r="F196" s="143"/>
      <c r="G196" s="143"/>
      <c r="H196" s="143"/>
      <c r="I196" s="130"/>
      <c r="J196" s="131">
        <f>$J$120*H196</f>
        <v>0</v>
      </c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s="1" customFormat="1" ht="18" customHeight="1">
      <c r="A197" s="126" t="str">
        <f t="shared" si="23"/>
        <v/>
      </c>
      <c r="B197" s="127"/>
      <c r="C197" s="127"/>
      <c r="D197" s="128"/>
      <c r="E197" s="129"/>
      <c r="F197" s="129"/>
      <c r="G197" s="129"/>
      <c r="H197" s="129"/>
      <c r="I197" s="130"/>
      <c r="J197" s="131">
        <f>$J$120*H197</f>
        <v>0</v>
      </c>
    </row>
    <row r="198" spans="1:36" s="1" customFormat="1" ht="18" customHeight="1">
      <c r="A198" s="126"/>
      <c r="B198" s="127"/>
      <c r="C198" s="127"/>
      <c r="D198" s="128"/>
      <c r="E198" s="129"/>
      <c r="F198" s="129"/>
      <c r="G198" s="129"/>
      <c r="H198" s="129"/>
      <c r="I198" s="130"/>
      <c r="J198" s="131"/>
    </row>
    <row r="199" spans="1:36" s="1" customFormat="1" ht="18" customHeight="1">
      <c r="A199" s="126" t="str">
        <f>IF(B199="","",+A197+1)</f>
        <v/>
      </c>
      <c r="B199" s="127"/>
      <c r="C199" s="127"/>
      <c r="D199" s="128"/>
      <c r="E199" s="129"/>
      <c r="F199" s="129"/>
      <c r="G199" s="129"/>
      <c r="H199" s="129"/>
      <c r="I199" s="130"/>
      <c r="J199" s="131">
        <f>$J$120*H199</f>
        <v>0</v>
      </c>
    </row>
    <row r="200" spans="1:36" s="1" customFormat="1" ht="18" customHeight="1">
      <c r="A200" s="126" t="str">
        <f>IF(B200="","",+#REF!+1)</f>
        <v/>
      </c>
      <c r="B200" s="127"/>
      <c r="C200" s="127"/>
      <c r="D200" s="128"/>
      <c r="E200" s="129"/>
      <c r="F200" s="129"/>
      <c r="G200" s="129"/>
      <c r="H200" s="129"/>
      <c r="I200" s="130"/>
      <c r="J200" s="131">
        <f>$J$120*H200</f>
        <v>0</v>
      </c>
      <c r="P200" s="334"/>
    </row>
    <row r="201" spans="1:36" s="1" customFormat="1" ht="18" customHeight="1">
      <c r="A201" s="126" t="str">
        <f>IF(B201="","",+#REF!+1)</f>
        <v/>
      </c>
      <c r="B201" s="127"/>
      <c r="C201" s="127"/>
      <c r="D201" s="128"/>
      <c r="E201" s="129"/>
      <c r="F201" s="129"/>
      <c r="G201" s="129"/>
      <c r="H201" s="129"/>
      <c r="I201" s="130"/>
      <c r="J201" s="131">
        <f>$J$120*H201</f>
        <v>0</v>
      </c>
    </row>
    <row r="202" spans="1:36" s="1" customFormat="1" ht="18" customHeight="1">
      <c r="A202" s="126" t="str">
        <f>IF(B202="","",+#REF!+1)</f>
        <v/>
      </c>
      <c r="B202" s="127"/>
      <c r="C202" s="127"/>
      <c r="D202" s="128"/>
      <c r="E202" s="129"/>
      <c r="F202" s="129"/>
      <c r="G202" s="129"/>
      <c r="H202" s="129"/>
      <c r="I202" s="130"/>
      <c r="J202" s="131">
        <f>$J$120*H202</f>
        <v>0</v>
      </c>
    </row>
    <row r="203" spans="1:36" s="1" customFormat="1" ht="18" customHeight="1">
      <c r="A203" s="126"/>
      <c r="B203" s="127"/>
      <c r="C203" s="127"/>
      <c r="D203" s="128"/>
      <c r="E203" s="129"/>
      <c r="F203" s="129"/>
      <c r="G203" s="129"/>
      <c r="H203" s="129"/>
      <c r="I203" s="130"/>
      <c r="J203" s="131"/>
    </row>
    <row r="204" spans="1:36" s="1" customFormat="1" ht="18" customHeight="1">
      <c r="A204" s="126" t="str">
        <f>IF(B204="","",+#REF!+1)</f>
        <v/>
      </c>
      <c r="B204" s="127"/>
      <c r="C204" s="127"/>
      <c r="D204" s="128"/>
      <c r="E204" s="129"/>
      <c r="F204" s="129"/>
      <c r="G204" s="129"/>
      <c r="H204" s="129"/>
      <c r="I204" s="130"/>
      <c r="J204" s="131">
        <f>$J$120*H204</f>
        <v>0</v>
      </c>
    </row>
    <row r="205" spans="1:36" s="1" customFormat="1" ht="18" customHeight="1">
      <c r="A205" s="306"/>
      <c r="B205" s="133"/>
      <c r="C205" s="133"/>
      <c r="D205" s="134"/>
      <c r="E205" s="135"/>
      <c r="F205" s="135"/>
      <c r="G205" s="135"/>
      <c r="H205" s="135"/>
      <c r="I205" s="136"/>
      <c r="J205" s="293"/>
    </row>
    <row r="206" spans="1:36" ht="18" customHeight="1">
      <c r="A206" s="17"/>
      <c r="B206" s="56"/>
      <c r="C206" s="56"/>
      <c r="D206" s="30"/>
      <c r="E206" s="17"/>
      <c r="F206" s="17"/>
      <c r="G206" s="17"/>
      <c r="H206" s="17"/>
      <c r="J206" s="99" t="str">
        <f>LEFT($J$111,10)&amp;"-02"</f>
        <v>FG-240-3PL-02</v>
      </c>
    </row>
    <row r="207" spans="1:36" ht="12.75" customHeight="1">
      <c r="K207" s="7"/>
      <c r="L207" s="7"/>
      <c r="M207" s="2"/>
      <c r="N207" s="2"/>
    </row>
    <row r="208" spans="1:36" ht="30" customHeight="1">
      <c r="B208" s="182"/>
      <c r="C208" s="5"/>
      <c r="D208" s="95"/>
      <c r="E208" s="95"/>
      <c r="F208" s="95"/>
      <c r="G208" s="95"/>
      <c r="H208" s="95"/>
      <c r="I208" s="95"/>
      <c r="J208" s="90" t="str">
        <f>$J$2</f>
        <v>HOMELIFE</v>
      </c>
      <c r="K208" s="11"/>
      <c r="L208" s="11"/>
      <c r="M208" s="2"/>
      <c r="N208" s="2"/>
    </row>
    <row r="209" spans="1:14" ht="24.9" customHeight="1">
      <c r="B209" s="182"/>
      <c r="C209" s="28"/>
      <c r="D209" s="28"/>
      <c r="E209" s="28"/>
      <c r="F209" s="28"/>
      <c r="G209" s="28"/>
      <c r="H209" s="28"/>
      <c r="I209" s="28"/>
      <c r="J209" s="91" t="str">
        <f>$J$3</f>
        <v>Fabricators Guide</v>
      </c>
      <c r="K209" s="11"/>
      <c r="L209" s="11"/>
      <c r="M209" s="2"/>
      <c r="N209" s="2"/>
    </row>
    <row r="210" spans="1:14" ht="24.9" customHeight="1">
      <c r="B210" s="8"/>
      <c r="C210" s="28"/>
      <c r="D210" s="28"/>
      <c r="E210" s="28"/>
      <c r="F210" s="28"/>
      <c r="G210" s="28"/>
      <c r="H210" s="28"/>
      <c r="I210" s="28"/>
      <c r="J210" s="91" t="str">
        <f>$J$4</f>
        <v xml:space="preserve">240 Series Bi Fold Door </v>
      </c>
      <c r="K210" s="48"/>
      <c r="L210" s="48"/>
      <c r="M210" s="4"/>
      <c r="N210" s="4"/>
    </row>
    <row r="211" spans="1:14" s="1" customFormat="1" ht="15" customHeight="1" thickBot="1">
      <c r="A211" s="78"/>
      <c r="B211" s="78"/>
      <c r="C211" s="78"/>
      <c r="D211" s="82"/>
      <c r="E211" s="78"/>
      <c r="F211" s="78"/>
      <c r="G211" s="78"/>
      <c r="H211" s="78"/>
      <c r="I211" s="78"/>
      <c r="J211" s="113"/>
      <c r="K211" s="4"/>
      <c r="L211" s="4"/>
      <c r="M211" s="4"/>
      <c r="N211" s="4"/>
    </row>
    <row r="212" spans="1:14" s="1" customFormat="1" ht="24.9" customHeight="1" thickBot="1">
      <c r="A212" s="502" t="s">
        <v>30</v>
      </c>
      <c r="B212" s="503"/>
      <c r="C212" s="503"/>
      <c r="D212" s="503"/>
      <c r="E212" s="503"/>
      <c r="F212" s="503"/>
      <c r="G212" s="503"/>
      <c r="H212" s="503"/>
      <c r="I212" s="503"/>
      <c r="J212" s="504"/>
      <c r="K212" s="56"/>
      <c r="L212" s="56"/>
      <c r="M212" s="56"/>
      <c r="N212" s="56"/>
    </row>
    <row r="214" spans="1:14" s="1" customFormat="1" ht="15" customHeight="1">
      <c r="A214" s="93"/>
      <c r="B214" s="93"/>
      <c r="C214" s="56"/>
      <c r="D214" s="30"/>
      <c r="E214" s="29"/>
      <c r="F214" s="160"/>
      <c r="G214" s="160"/>
      <c r="H214" s="160"/>
      <c r="I214" s="160"/>
      <c r="J214" s="116"/>
    </row>
    <row r="215" spans="1:14" s="1" customFormat="1" ht="15" customHeight="1">
      <c r="A215" s="17"/>
      <c r="B215" s="56"/>
      <c r="C215" s="89"/>
      <c r="D215" s="30"/>
      <c r="E215" s="29"/>
      <c r="F215" s="30"/>
      <c r="J215" s="17"/>
    </row>
    <row r="216" spans="1:14" s="1" customFormat="1" ht="15" customHeight="1">
      <c r="A216" s="17"/>
      <c r="B216" s="56"/>
      <c r="C216" s="328"/>
      <c r="D216" s="30"/>
      <c r="E216" s="29"/>
      <c r="F216" s="30"/>
      <c r="J216" s="17"/>
    </row>
    <row r="217" spans="1:14" ht="15.6">
      <c r="A217" s="109"/>
      <c r="B217" s="33"/>
      <c r="C217" s="327"/>
      <c r="D217" s="161"/>
      <c r="E217" s="109"/>
      <c r="F217" s="161"/>
      <c r="G217" s="1"/>
      <c r="H217" s="328"/>
    </row>
    <row r="218" spans="1:14" s="1" customFormat="1" ht="15" customHeight="1">
      <c r="A218" s="93"/>
      <c r="B218" s="93"/>
      <c r="C218" s="56"/>
      <c r="D218" s="30"/>
      <c r="E218" s="29"/>
      <c r="F218" s="160"/>
      <c r="H218" s="328"/>
      <c r="I218" s="160"/>
      <c r="J218" s="116"/>
    </row>
    <row r="219" spans="1:14" s="1" customFormat="1" ht="15" customHeight="1">
      <c r="A219" s="17"/>
      <c r="B219" s="56"/>
      <c r="C219" s="89" t="s">
        <v>272</v>
      </c>
      <c r="D219" s="30"/>
      <c r="E219" s="29"/>
      <c r="F219" s="30"/>
      <c r="J219" s="17"/>
    </row>
    <row r="220" spans="1:14" s="1" customFormat="1" ht="15" customHeight="1">
      <c r="A220" s="17"/>
      <c r="B220" s="56"/>
      <c r="C220" s="328" t="s">
        <v>275</v>
      </c>
      <c r="D220" s="30"/>
      <c r="E220" s="29"/>
      <c r="F220" s="30"/>
      <c r="H220" s="89"/>
      <c r="J220" s="17"/>
    </row>
    <row r="221" spans="1:14" s="1" customFormat="1" ht="15.6">
      <c r="A221" s="109"/>
      <c r="B221" s="33"/>
      <c r="C221" s="327" t="s">
        <v>273</v>
      </c>
      <c r="D221" s="161"/>
      <c r="E221" s="109"/>
      <c r="F221" s="161"/>
      <c r="J221" s="109"/>
    </row>
    <row r="222" spans="1:14" s="1" customFormat="1" ht="15" customHeight="1">
      <c r="A222" s="109"/>
      <c r="B222" s="33"/>
      <c r="C222" s="374">
        <f>$I$133</f>
        <v>740</v>
      </c>
      <c r="D222" s="161"/>
      <c r="E222" s="35"/>
      <c r="F222" s="161"/>
      <c r="G222" s="68"/>
      <c r="I222" s="109"/>
      <c r="J222" s="109"/>
    </row>
    <row r="223" spans="1:14" s="1" customFormat="1" ht="15" customHeight="1">
      <c r="A223" s="109"/>
      <c r="B223" s="33"/>
      <c r="C223" s="363">
        <f>$J$133</f>
        <v>1</v>
      </c>
      <c r="D223" s="161"/>
      <c r="E223" s="35"/>
      <c r="F223" s="161"/>
      <c r="G223" s="326"/>
      <c r="I223" s="109"/>
      <c r="J223" s="109"/>
    </row>
    <row r="224" spans="1:14" s="1" customFormat="1" ht="15" customHeight="1">
      <c r="A224" s="109"/>
      <c r="B224" s="33"/>
      <c r="D224" s="161"/>
      <c r="E224" s="109"/>
      <c r="F224" s="161"/>
      <c r="G224" s="326"/>
      <c r="J224" s="12"/>
    </row>
    <row r="225" spans="1:10" s="1" customFormat="1" ht="15" customHeight="1">
      <c r="A225" s="92"/>
      <c r="B225" s="92"/>
      <c r="C225" s="13"/>
      <c r="D225" s="161"/>
      <c r="E225" s="109"/>
      <c r="F225" s="161"/>
      <c r="G225" s="68"/>
      <c r="J225" s="12"/>
    </row>
    <row r="226" spans="1:10" s="1" customFormat="1" ht="15" customHeight="1">
      <c r="A226" s="92"/>
      <c r="B226" s="92"/>
      <c r="C226" s="13"/>
      <c r="D226" s="161"/>
      <c r="E226" s="109"/>
      <c r="F226" s="161"/>
      <c r="H226" s="109"/>
      <c r="J226" s="12"/>
    </row>
    <row r="227" spans="1:10" s="1" customFormat="1" ht="15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" customHeight="1">
      <c r="A228" s="92"/>
      <c r="B228" s="92"/>
      <c r="C228" s="327"/>
      <c r="D228" s="161"/>
      <c r="E228" s="109"/>
      <c r="F228" s="161"/>
      <c r="H228" s="109"/>
      <c r="I228" s="109"/>
      <c r="J228" s="109"/>
    </row>
    <row r="229" spans="1:10" s="1" customFormat="1" ht="15" customHeight="1">
      <c r="A229" s="92"/>
      <c r="B229" s="92"/>
      <c r="C229" s="340"/>
      <c r="D229" s="161"/>
      <c r="E229" s="109"/>
      <c r="F229" s="161"/>
      <c r="H229" s="109"/>
      <c r="I229" s="109"/>
      <c r="J229" s="109"/>
    </row>
    <row r="230" spans="1:10" s="1" customFormat="1" ht="15.9" customHeight="1">
      <c r="A230" s="45"/>
      <c r="B230" s="45"/>
      <c r="D230" s="161"/>
      <c r="E230" s="109"/>
      <c r="F230" s="161"/>
      <c r="I230" s="109"/>
      <c r="J230" s="109"/>
    </row>
    <row r="231" spans="1:10" s="1" customFormat="1" ht="15.9" customHeight="1">
      <c r="A231" s="109"/>
      <c r="B231" s="109"/>
      <c r="D231" s="161"/>
      <c r="E231" s="109"/>
      <c r="F231" s="161"/>
      <c r="I231" s="109"/>
      <c r="J231" s="109"/>
    </row>
    <row r="232" spans="1:10" s="1" customFormat="1" ht="15.9" customHeight="1">
      <c r="A232" s="39"/>
      <c r="B232" s="38"/>
      <c r="D232" s="161"/>
      <c r="E232" s="109"/>
      <c r="F232" s="109"/>
      <c r="I232" s="32"/>
      <c r="J232" s="40"/>
    </row>
    <row r="233" spans="1:10" s="1" customFormat="1" ht="15.9" customHeight="1">
      <c r="A233" s="44"/>
      <c r="B233" s="44"/>
      <c r="C233" s="89" t="s">
        <v>274</v>
      </c>
      <c r="D233" s="84"/>
      <c r="E233" s="44"/>
      <c r="F233" s="44"/>
      <c r="G233" s="109"/>
      <c r="H233" s="109"/>
      <c r="I233" s="319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I234" s="319"/>
      <c r="J234" s="117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319"/>
      <c r="J235" s="117"/>
    </row>
    <row r="236" spans="1:10" s="1" customFormat="1" ht="15.9" customHeight="1">
      <c r="A236" s="109"/>
      <c r="B236" s="33"/>
      <c r="C236" s="374">
        <f>$I$134</f>
        <v>714</v>
      </c>
      <c r="D236" s="161"/>
      <c r="E236" s="109"/>
      <c r="F236" s="161"/>
      <c r="G236" s="109"/>
      <c r="H236" s="109"/>
      <c r="I236" s="319"/>
      <c r="J236" s="117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319"/>
      <c r="J237" s="117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J238" s="12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109"/>
      <c r="J239" s="24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109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36"/>
      <c r="I242" s="89"/>
      <c r="J242" s="118"/>
    </row>
    <row r="243" spans="1:10" s="1" customFormat="1" ht="15.9" customHeight="1">
      <c r="A243" s="109"/>
      <c r="B243" s="33"/>
      <c r="D243" s="161"/>
      <c r="E243" s="109"/>
      <c r="F243" s="161"/>
      <c r="G243" s="109"/>
      <c r="H243" s="109"/>
      <c r="I243" s="319"/>
      <c r="J243" s="117"/>
    </row>
    <row r="244" spans="1:10" s="1" customFormat="1" ht="15.9" customHeight="1">
      <c r="A244" s="109"/>
      <c r="B244" s="33"/>
      <c r="C244" s="89" t="s">
        <v>276</v>
      </c>
      <c r="D244" s="161"/>
      <c r="E244" s="109"/>
      <c r="F244" s="161"/>
      <c r="G244" s="109"/>
      <c r="H244" s="109"/>
      <c r="I244" s="319"/>
      <c r="J244" s="117"/>
    </row>
    <row r="245" spans="1:10" s="1" customFormat="1" ht="15.9" customHeight="1">
      <c r="A245" s="109"/>
      <c r="B245" s="33"/>
      <c r="C245" s="328" t="s">
        <v>275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27" t="s">
        <v>273</v>
      </c>
      <c r="D246" s="161"/>
      <c r="E246" s="109"/>
      <c r="F246" s="161"/>
      <c r="G246" s="109"/>
      <c r="H246" s="109"/>
      <c r="I246" s="24"/>
      <c r="J246" s="24"/>
    </row>
    <row r="247" spans="1:10" s="1" customFormat="1" ht="15.9" customHeight="1">
      <c r="A247" s="109"/>
      <c r="B247" s="33"/>
      <c r="C247" s="374">
        <f>$I$135</f>
        <v>740</v>
      </c>
      <c r="D247" s="161"/>
      <c r="E247" s="109"/>
      <c r="F247" s="161"/>
      <c r="G247" s="109"/>
      <c r="H247" s="109"/>
      <c r="I247" s="109"/>
      <c r="J247" s="24"/>
    </row>
    <row r="248" spans="1:10" s="1" customFormat="1" ht="15.9" customHeight="1">
      <c r="A248" s="109"/>
      <c r="B248" s="33"/>
      <c r="C248" s="363">
        <f>$J$135</f>
        <v>1</v>
      </c>
      <c r="D248" s="161"/>
      <c r="E248" s="109"/>
      <c r="F248" s="161"/>
      <c r="G248" s="109"/>
      <c r="H248" s="109"/>
      <c r="I248" s="24"/>
      <c r="J248" s="24"/>
    </row>
    <row r="249" spans="1:10" s="1" customFormat="1" ht="15.9" customHeight="1">
      <c r="A249" s="109"/>
      <c r="B249" s="33"/>
      <c r="C249" s="161"/>
      <c r="D249" s="161"/>
      <c r="E249" s="109"/>
      <c r="F249" s="161"/>
      <c r="G249" s="109"/>
      <c r="H249" s="109"/>
      <c r="I249" s="24"/>
      <c r="J249" s="24"/>
    </row>
    <row r="250" spans="1:10" s="1" customFormat="1" ht="15" customHeight="1">
      <c r="A250" s="109"/>
      <c r="B250" s="33"/>
      <c r="C250" s="33"/>
      <c r="D250" s="161"/>
      <c r="E250" s="109"/>
      <c r="F250" s="109"/>
      <c r="G250" s="44"/>
      <c r="H250" s="109"/>
      <c r="I250" s="24"/>
      <c r="J250" s="24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4"/>
      <c r="H251" s="109"/>
      <c r="I251" s="44"/>
      <c r="J251" s="119"/>
    </row>
    <row r="252" spans="1:10" s="1" customFormat="1" ht="15.9" customHeight="1">
      <c r="A252" s="109"/>
      <c r="B252" s="33"/>
      <c r="C252" s="33"/>
      <c r="D252" s="161"/>
      <c r="E252" s="109"/>
      <c r="F252" s="109"/>
      <c r="G252" s="44"/>
      <c r="H252" s="109"/>
      <c r="I252" s="44"/>
      <c r="J252" s="119"/>
    </row>
    <row r="253" spans="1:10" s="1" customFormat="1" ht="15.9" customHeight="1">
      <c r="A253" s="109"/>
      <c r="B253" s="33"/>
      <c r="C253" s="33"/>
      <c r="D253" s="161"/>
      <c r="E253" s="109"/>
      <c r="F253" s="109"/>
      <c r="G253" s="40"/>
      <c r="H253" s="109"/>
      <c r="I253" s="32"/>
      <c r="J253" s="40"/>
    </row>
    <row r="254" spans="1:10" s="1" customFormat="1" ht="15.9" customHeight="1">
      <c r="A254" s="109"/>
      <c r="B254" s="33"/>
      <c r="D254" s="161"/>
      <c r="E254" s="109"/>
      <c r="F254" s="109"/>
      <c r="G254" s="109"/>
      <c r="H254" s="109"/>
      <c r="J254" s="12"/>
    </row>
    <row r="255" spans="1:10" s="1" customFormat="1" ht="15.9" customHeight="1">
      <c r="A255" s="44"/>
      <c r="B255" s="44"/>
      <c r="D255" s="84"/>
      <c r="E255" s="44"/>
      <c r="F255" s="44"/>
      <c r="G255" s="109"/>
      <c r="H255" s="109"/>
      <c r="J255" s="12"/>
    </row>
    <row r="256" spans="1:10" s="1" customFormat="1" ht="15.9" customHeight="1">
      <c r="A256" s="40"/>
      <c r="B256" s="40"/>
      <c r="C256" s="89" t="s">
        <v>277</v>
      </c>
      <c r="D256" s="85"/>
      <c r="E256" s="40"/>
      <c r="F256" s="32"/>
      <c r="G256" s="109"/>
      <c r="J256" s="12"/>
    </row>
    <row r="257" spans="1:32" s="1" customFormat="1" ht="15.9" customHeight="1">
      <c r="A257" s="27"/>
      <c r="B257" s="33"/>
      <c r="C257" s="328" t="s">
        <v>275</v>
      </c>
      <c r="D257" s="161"/>
      <c r="E257" s="109"/>
      <c r="F257" s="109"/>
      <c r="G257" s="109"/>
      <c r="I257" s="24"/>
      <c r="J257" s="24"/>
    </row>
    <row r="258" spans="1:32" s="1" customFormat="1" ht="15.9" customHeight="1">
      <c r="A258" s="27"/>
      <c r="B258" s="33"/>
      <c r="C258" s="327" t="s">
        <v>273</v>
      </c>
      <c r="D258" s="161"/>
      <c r="E258" s="109"/>
      <c r="F258" s="109"/>
      <c r="G258" s="109"/>
      <c r="I258" s="24"/>
      <c r="J258" s="24"/>
    </row>
    <row r="259" spans="1:32" s="1" customFormat="1" ht="15.9" customHeight="1">
      <c r="A259" s="27"/>
      <c r="B259" s="33"/>
      <c r="C259" s="374">
        <f>$I$136</f>
        <v>740</v>
      </c>
      <c r="D259" s="161"/>
      <c r="E259" s="109"/>
      <c r="F259" s="109"/>
      <c r="G259" s="109"/>
      <c r="I259" s="24"/>
      <c r="J259" s="24"/>
    </row>
    <row r="260" spans="1:32" s="1" customFormat="1" ht="15.9" customHeight="1">
      <c r="A260" s="27"/>
      <c r="B260" s="33"/>
      <c r="C260" s="363">
        <f>$J$136</f>
        <v>1</v>
      </c>
      <c r="D260" s="161"/>
      <c r="E260" s="109"/>
      <c r="F260" s="109"/>
      <c r="G260" s="109"/>
      <c r="I260" s="24"/>
      <c r="J260" s="24"/>
    </row>
    <row r="261" spans="1:32" s="1" customFormat="1" ht="15.9" customHeight="1">
      <c r="A261" s="27"/>
      <c r="B261" s="33"/>
      <c r="C261" s="33"/>
      <c r="D261" s="161"/>
      <c r="E261" s="109"/>
      <c r="F261" s="109"/>
      <c r="G261" s="109"/>
      <c r="I261" s="24"/>
      <c r="J261" s="24"/>
    </row>
    <row r="262" spans="1:32" s="1" customFormat="1" ht="15.9" customHeight="1">
      <c r="A262" s="27"/>
      <c r="B262" s="33"/>
      <c r="C262" s="33"/>
      <c r="D262" s="161"/>
      <c r="E262" s="109"/>
      <c r="F262" s="109"/>
      <c r="G262" s="109"/>
      <c r="I262" s="24"/>
      <c r="J262" s="24"/>
    </row>
    <row r="263" spans="1:32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32" s="1" customFormat="1" ht="15.9" customHeight="1">
      <c r="A264" s="27"/>
      <c r="B264" s="33"/>
      <c r="C264" s="46"/>
      <c r="D264" s="161"/>
      <c r="E264" s="109"/>
      <c r="F264" s="109"/>
      <c r="G264" s="109"/>
      <c r="I264" s="24"/>
      <c r="J264" s="24"/>
    </row>
    <row r="265" spans="1:32" s="1" customFormat="1" ht="15.9" customHeight="1">
      <c r="A265" s="27"/>
      <c r="B265" s="33"/>
      <c r="C265" s="161"/>
      <c r="D265" s="161"/>
      <c r="E265" s="109"/>
      <c r="F265" s="109"/>
      <c r="G265" s="109"/>
      <c r="I265" s="24"/>
      <c r="J265" s="24"/>
    </row>
    <row r="266" spans="1:32" s="1" customFormat="1" ht="15.9" customHeight="1">
      <c r="A266" s="27"/>
      <c r="B266" s="33"/>
      <c r="C266" s="33"/>
      <c r="D266" s="161"/>
      <c r="E266" s="109"/>
      <c r="F266" s="109"/>
      <c r="G266" s="109"/>
      <c r="I266" s="24"/>
      <c r="J266" s="24"/>
    </row>
    <row r="267" spans="1:32" s="1" customFormat="1" ht="15.9" customHeight="1">
      <c r="A267" s="27"/>
      <c r="B267" s="33"/>
      <c r="C267" s="89" t="s">
        <v>278</v>
      </c>
      <c r="D267" s="161"/>
      <c r="E267" s="109"/>
      <c r="F267" s="109"/>
      <c r="G267" s="109"/>
      <c r="H267" s="109"/>
      <c r="I267" s="24"/>
      <c r="J267" s="24"/>
    </row>
    <row r="268" spans="1:32" s="1" customFormat="1" ht="15.9" customHeight="1">
      <c r="A268" s="27"/>
      <c r="B268" s="33"/>
      <c r="C268" s="328" t="s">
        <v>287</v>
      </c>
      <c r="D268" s="328"/>
      <c r="E268" s="328"/>
      <c r="F268" s="109"/>
      <c r="G268" s="109"/>
      <c r="H268" s="109"/>
      <c r="I268" s="24"/>
      <c r="J268" s="24"/>
      <c r="AF268" s="1">
        <v>6</v>
      </c>
    </row>
    <row r="269" spans="1:32" s="1" customFormat="1" ht="15.9" customHeight="1">
      <c r="A269" s="27"/>
      <c r="B269" s="33"/>
      <c r="C269" s="327" t="s">
        <v>279</v>
      </c>
      <c r="D269" s="327"/>
      <c r="E269" s="327"/>
      <c r="F269" s="109"/>
      <c r="G269" s="109"/>
      <c r="H269" s="109"/>
      <c r="I269" s="24"/>
      <c r="J269" s="24"/>
    </row>
    <row r="270" spans="1:32" s="1" customFormat="1" ht="15.9" customHeight="1">
      <c r="A270" s="27"/>
      <c r="B270" s="33"/>
      <c r="C270" s="374">
        <f>$I$137</f>
        <v>600</v>
      </c>
      <c r="D270" s="161"/>
      <c r="E270" s="109"/>
      <c r="F270" s="109"/>
      <c r="G270" s="33"/>
      <c r="H270" s="33"/>
      <c r="I270" s="24"/>
      <c r="J270" s="24"/>
    </row>
    <row r="271" spans="1:32" s="1" customFormat="1" ht="15.9" customHeight="1">
      <c r="A271" s="27"/>
      <c r="B271" s="33"/>
      <c r="C271" s="363">
        <f>$J$137+$J$138</f>
        <v>2</v>
      </c>
      <c r="D271" s="161"/>
      <c r="E271" s="109"/>
      <c r="F271" s="109"/>
      <c r="G271" s="109"/>
      <c r="H271" s="109"/>
      <c r="I271" s="24"/>
      <c r="J271" s="24"/>
    </row>
    <row r="272" spans="1:32" s="1" customFormat="1" ht="15.9" customHeight="1">
      <c r="A272" s="27"/>
      <c r="B272" s="33"/>
      <c r="D272" s="89"/>
      <c r="E272" s="89"/>
      <c r="F272" s="109"/>
      <c r="G272" s="109"/>
      <c r="H272" s="109"/>
      <c r="I272" s="24"/>
      <c r="J272" s="24"/>
    </row>
    <row r="273" spans="1:10" s="1" customFormat="1" ht="15.9" customHeight="1">
      <c r="A273" s="27"/>
      <c r="B273" s="33"/>
      <c r="D273" s="89"/>
      <c r="E273" s="89"/>
      <c r="F273" s="109"/>
      <c r="G273" s="109"/>
      <c r="H273" s="109"/>
      <c r="J273" s="12"/>
    </row>
    <row r="274" spans="1:10" s="1" customFormat="1" ht="15.9" customHeight="1">
      <c r="A274" s="27"/>
      <c r="B274" s="33"/>
      <c r="D274" s="89"/>
      <c r="E274" s="89"/>
      <c r="F274" s="109"/>
      <c r="G274" s="109"/>
      <c r="H274" s="109"/>
      <c r="J274" s="12"/>
    </row>
    <row r="275" spans="1:10" s="1" customFormat="1" ht="15.9" customHeight="1">
      <c r="A275" s="27"/>
      <c r="B275" s="33"/>
      <c r="D275" s="89"/>
      <c r="E275" s="89"/>
      <c r="F275" s="109"/>
      <c r="G275" s="109"/>
      <c r="H275" s="109"/>
      <c r="J275" s="12"/>
    </row>
    <row r="276" spans="1:10" s="1" customFormat="1" ht="15.9" customHeight="1">
      <c r="A276" s="27"/>
      <c r="D276" s="328"/>
      <c r="E276" s="328"/>
      <c r="F276" s="109"/>
      <c r="G276" s="109"/>
      <c r="H276" s="109"/>
      <c r="J276" s="12"/>
    </row>
    <row r="277" spans="1:10" s="1" customFormat="1" ht="15.9" customHeight="1">
      <c r="A277" s="27"/>
      <c r="B277" s="33"/>
      <c r="D277" s="328"/>
      <c r="E277" s="328"/>
      <c r="F277" s="109"/>
      <c r="G277" s="109"/>
      <c r="J277" s="12"/>
    </row>
    <row r="278" spans="1:10" s="1" customFormat="1" ht="15.9" customHeight="1">
      <c r="A278" s="27"/>
      <c r="B278" s="33"/>
      <c r="C278" s="33"/>
      <c r="D278" s="161"/>
      <c r="E278" s="109"/>
      <c r="F278" s="109"/>
      <c r="G278" s="109"/>
      <c r="J278" s="12"/>
    </row>
    <row r="279" spans="1:10" s="1" customFormat="1" ht="15.9" customHeight="1">
      <c r="A279" s="27"/>
      <c r="B279" s="33"/>
      <c r="C279" s="89" t="s">
        <v>280</v>
      </c>
      <c r="D279" s="162"/>
      <c r="E279" s="24"/>
      <c r="F279" s="109"/>
      <c r="G279" s="109"/>
      <c r="J279" s="12"/>
    </row>
    <row r="280" spans="1:10" s="1" customFormat="1" ht="15.9" customHeight="1">
      <c r="A280" s="27"/>
      <c r="B280" s="33"/>
      <c r="C280" s="328" t="s">
        <v>649</v>
      </c>
      <c r="D280" s="328"/>
      <c r="E280" s="328"/>
      <c r="F280" s="109"/>
      <c r="G280" s="109"/>
      <c r="J280" s="12"/>
    </row>
    <row r="281" spans="1:10" s="1" customFormat="1" ht="15.9" customHeight="1">
      <c r="A281" s="27"/>
      <c r="B281" s="33"/>
      <c r="C281" s="433" t="s">
        <v>650</v>
      </c>
      <c r="D281" s="327"/>
      <c r="E281" s="327"/>
      <c r="F281" s="109"/>
      <c r="G281" s="109"/>
      <c r="I281" s="24"/>
      <c r="J281" s="24"/>
    </row>
    <row r="282" spans="1:10" s="1" customFormat="1" ht="15.9" customHeight="1">
      <c r="A282" s="27"/>
      <c r="B282" s="33"/>
      <c r="C282" s="374">
        <f>$I$139</f>
        <v>504</v>
      </c>
      <c r="F282" s="109"/>
      <c r="G282" s="109"/>
      <c r="I282" s="24"/>
      <c r="J282" s="24"/>
    </row>
    <row r="283" spans="1:10" s="1" customFormat="1" ht="15.9" customHeight="1">
      <c r="A283" s="27"/>
      <c r="B283" s="33"/>
      <c r="C283" s="363">
        <f>$J$139+$J$140</f>
        <v>2</v>
      </c>
      <c r="F283" s="109"/>
      <c r="G283" s="109"/>
      <c r="I283" s="24"/>
      <c r="J283" s="24"/>
    </row>
    <row r="284" spans="1:10" s="1" customFormat="1" ht="15.9" customHeight="1">
      <c r="A284" s="27"/>
      <c r="B284" s="33"/>
      <c r="F284" s="109"/>
      <c r="G284" s="109"/>
      <c r="H284" s="109"/>
      <c r="I284" s="109"/>
      <c r="J284" s="24"/>
    </row>
    <row r="285" spans="1:10" s="1" customFormat="1" ht="15.9" customHeight="1">
      <c r="A285" s="27"/>
      <c r="B285" s="33"/>
      <c r="F285" s="109"/>
      <c r="G285" s="109"/>
      <c r="H285" s="109"/>
      <c r="I285" s="109"/>
      <c r="J285" s="24"/>
    </row>
    <row r="286" spans="1:10" s="1" customFormat="1" ht="15.9" customHeight="1">
      <c r="A286" s="27"/>
      <c r="B286" s="33"/>
      <c r="C286" s="33"/>
      <c r="D286" s="161"/>
      <c r="E286" s="109"/>
      <c r="F286" s="109"/>
      <c r="G286" s="109"/>
      <c r="H286" s="109"/>
      <c r="I286" s="109"/>
      <c r="J286" s="24"/>
    </row>
    <row r="287" spans="1:10" s="1" customFormat="1" ht="15.9" customHeight="1">
      <c r="A287" s="27"/>
      <c r="B287" s="33"/>
      <c r="F287" s="109"/>
      <c r="G287" s="109"/>
      <c r="H287" s="109"/>
      <c r="I287" s="109"/>
      <c r="J287" s="24"/>
    </row>
    <row r="288" spans="1:10" s="1" customFormat="1" ht="15.9" customHeight="1">
      <c r="A288" s="27"/>
      <c r="B288" s="33"/>
      <c r="F288" s="109"/>
      <c r="G288" s="109"/>
      <c r="H288" s="109"/>
      <c r="I288" s="109"/>
      <c r="J288" s="24"/>
    </row>
    <row r="289" spans="1:10" s="1" customFormat="1" ht="15.9" customHeight="1">
      <c r="A289" s="27"/>
      <c r="B289" s="33"/>
      <c r="C289" s="89" t="s">
        <v>283</v>
      </c>
      <c r="F289" s="109"/>
      <c r="G289" s="109"/>
      <c r="H289" s="109"/>
      <c r="J289" s="12"/>
    </row>
    <row r="290" spans="1:10" s="1" customFormat="1" ht="15.9" customHeight="1">
      <c r="A290" s="27"/>
      <c r="B290" s="33"/>
      <c r="C290" s="94" t="s">
        <v>459</v>
      </c>
      <c r="D290" s="161"/>
      <c r="E290" s="109"/>
      <c r="F290" s="109"/>
      <c r="G290" s="109"/>
      <c r="H290" s="109"/>
      <c r="J290" s="12"/>
    </row>
    <row r="291" spans="1:10" s="1" customFormat="1" ht="15.9" customHeight="1">
      <c r="A291" s="27"/>
      <c r="B291" s="33"/>
      <c r="C291" s="327" t="s">
        <v>460</v>
      </c>
      <c r="D291" s="161"/>
      <c r="E291" s="109"/>
      <c r="F291" s="109"/>
      <c r="G291" s="109"/>
      <c r="H291" s="109"/>
      <c r="J291" s="12"/>
    </row>
    <row r="292" spans="1:10" s="1" customFormat="1" ht="15.9" customHeight="1">
      <c r="A292" s="27"/>
      <c r="B292" s="33"/>
      <c r="C292" s="328" t="s">
        <v>281</v>
      </c>
      <c r="D292" s="328"/>
      <c r="E292" s="328"/>
      <c r="F292" s="109"/>
      <c r="G292" s="109"/>
      <c r="I292" s="162"/>
      <c r="J292" s="24"/>
    </row>
    <row r="293" spans="1:10" s="1" customFormat="1" ht="15.9" customHeight="1">
      <c r="A293" s="27"/>
      <c r="B293" s="33"/>
      <c r="C293" s="327" t="s">
        <v>282</v>
      </c>
      <c r="D293" s="327"/>
      <c r="E293" s="327"/>
      <c r="F293" s="109"/>
      <c r="G293" s="109"/>
      <c r="I293" s="109"/>
      <c r="J293" s="24"/>
    </row>
    <row r="294" spans="1:10" s="1" customFormat="1" ht="15.9" customHeight="1">
      <c r="A294" s="27"/>
      <c r="B294" s="33"/>
      <c r="C294" s="374">
        <f>$I$141</f>
        <v>130.5</v>
      </c>
      <c r="F294" s="109"/>
      <c r="G294" s="109"/>
      <c r="I294" s="24"/>
      <c r="J294" s="24"/>
    </row>
    <row r="295" spans="1:10" s="1" customFormat="1" ht="15.9" customHeight="1">
      <c r="A295" s="27"/>
      <c r="B295" s="33"/>
      <c r="C295" s="363">
        <f>$J$141+$J$142</f>
        <v>6</v>
      </c>
      <c r="D295" s="161"/>
      <c r="E295" s="109"/>
      <c r="F295" s="109"/>
      <c r="G295" s="109"/>
      <c r="H295" s="161"/>
      <c r="I295" s="24"/>
      <c r="J295" s="24"/>
    </row>
    <row r="296" spans="1:10" s="1" customFormat="1" ht="15.9" customHeight="1">
      <c r="A296" s="27"/>
      <c r="B296" s="33"/>
      <c r="C296" s="374">
        <f>$I$143</f>
        <v>508</v>
      </c>
      <c r="D296" s="161"/>
      <c r="E296" s="109"/>
      <c r="F296" s="109"/>
      <c r="G296" s="109"/>
      <c r="H296" s="109"/>
      <c r="I296" s="24"/>
      <c r="J296" s="24"/>
    </row>
    <row r="297" spans="1:10" s="23" customFormat="1" ht="15.9" customHeight="1">
      <c r="A297" s="27"/>
      <c r="B297" s="33"/>
      <c r="C297" s="363">
        <f>$J$143+$J$144+$J$145</f>
        <v>6</v>
      </c>
      <c r="D297" s="161"/>
      <c r="E297" s="109"/>
      <c r="F297" s="109"/>
      <c r="G297" s="109"/>
      <c r="H297" s="109"/>
      <c r="I297" s="109"/>
      <c r="J297" s="109"/>
    </row>
    <row r="298" spans="1:10" s="23" customFormat="1" ht="15.9" customHeight="1">
      <c r="A298" s="27"/>
      <c r="B298" s="33"/>
      <c r="C298" s="1"/>
      <c r="D298" s="161"/>
      <c r="E298" s="109"/>
      <c r="F298" s="109"/>
      <c r="G298" s="109"/>
      <c r="H298" s="109"/>
      <c r="I298" s="109"/>
      <c r="J298" s="109"/>
    </row>
    <row r="299" spans="1:10" s="23" customFormat="1" ht="15.9" customHeight="1">
      <c r="A299" s="27"/>
      <c r="B299" s="33"/>
      <c r="C299" s="1"/>
      <c r="D299" s="161"/>
      <c r="E299" s="109"/>
      <c r="F299" s="109"/>
      <c r="G299" s="109"/>
      <c r="H299" s="109"/>
      <c r="I299" s="109"/>
      <c r="J299" s="109"/>
    </row>
    <row r="300" spans="1:10" s="1" customFormat="1" ht="15.9" customHeight="1">
      <c r="A300" s="27"/>
      <c r="B300" s="33"/>
      <c r="C300" s="33"/>
      <c r="D300" s="161"/>
      <c r="E300" s="109"/>
      <c r="F300" s="109"/>
      <c r="G300" s="109"/>
      <c r="H300" s="109"/>
      <c r="I300" s="44"/>
      <c r="J300" s="119"/>
    </row>
    <row r="301" spans="1:10" s="1" customFormat="1" ht="15.9" customHeight="1">
      <c r="A301" s="27"/>
      <c r="B301" s="33"/>
      <c r="C301" s="23"/>
      <c r="D301" s="161"/>
      <c r="E301" s="109"/>
      <c r="F301" s="109"/>
      <c r="G301" s="109"/>
      <c r="H301" s="109"/>
      <c r="I301" s="32"/>
      <c r="J301" s="40"/>
    </row>
    <row r="302" spans="1:10" s="1" customFormat="1" ht="15.9" customHeight="1">
      <c r="A302" s="27"/>
      <c r="B302" s="33"/>
      <c r="C302" s="89" t="s">
        <v>284</v>
      </c>
      <c r="D302" s="161"/>
      <c r="E302" s="109"/>
      <c r="F302" s="109"/>
      <c r="G302" s="109"/>
      <c r="H302" s="109"/>
      <c r="I302" s="24"/>
      <c r="J302" s="24"/>
    </row>
    <row r="303" spans="1:10" s="1" customFormat="1" ht="15.9" customHeight="1">
      <c r="A303" s="27"/>
      <c r="B303" s="33"/>
      <c r="C303" s="94" t="s">
        <v>459</v>
      </c>
      <c r="D303" s="161"/>
      <c r="E303" s="109"/>
      <c r="F303" s="109"/>
      <c r="G303" s="44"/>
      <c r="H303" s="44"/>
      <c r="I303" s="24"/>
      <c r="J303" s="24"/>
    </row>
    <row r="304" spans="1:10" s="1" customFormat="1" ht="15.9" customHeight="1">
      <c r="A304" s="27"/>
      <c r="B304" s="33"/>
      <c r="C304" s="327" t="s">
        <v>460</v>
      </c>
      <c r="D304" s="328"/>
      <c r="E304" s="328"/>
      <c r="F304" s="109"/>
      <c r="G304" s="40"/>
      <c r="H304" s="32"/>
      <c r="I304" s="109"/>
      <c r="J304" s="24"/>
    </row>
    <row r="305" spans="1:14" s="1" customFormat="1" ht="15.9" customHeight="1">
      <c r="A305" s="41"/>
      <c r="B305" s="33"/>
      <c r="C305" s="328" t="s">
        <v>286</v>
      </c>
      <c r="D305" s="327"/>
      <c r="E305" s="327"/>
      <c r="F305" s="109"/>
      <c r="G305" s="109"/>
      <c r="H305" s="109"/>
      <c r="I305" s="109"/>
      <c r="J305" s="24"/>
    </row>
    <row r="306" spans="1:14" s="1" customFormat="1" ht="15.9" customHeight="1">
      <c r="A306" s="44"/>
      <c r="B306" s="44"/>
      <c r="C306" s="327" t="s">
        <v>285</v>
      </c>
      <c r="D306" s="86"/>
      <c r="E306" s="79"/>
      <c r="F306" s="44"/>
      <c r="G306" s="109"/>
      <c r="H306" s="109"/>
      <c r="I306" s="109"/>
      <c r="J306" s="24"/>
    </row>
    <row r="307" spans="1:14" s="1" customFormat="1" ht="15.9" customHeight="1">
      <c r="A307" s="40"/>
      <c r="B307" s="40"/>
      <c r="C307" s="374">
        <f>$I$146</f>
        <v>130.5</v>
      </c>
      <c r="D307" s="87"/>
      <c r="E307" s="80"/>
      <c r="F307" s="32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363">
        <f>$J$146</f>
        <v>6</v>
      </c>
      <c r="D308" s="15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74">
        <f>$I$147</f>
        <v>358</v>
      </c>
      <c r="D309" s="15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63">
        <f>$J$147</f>
        <v>6</v>
      </c>
      <c r="D310" s="15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C311" s="89"/>
      <c r="D311" s="161"/>
      <c r="E311" s="109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C312" s="328"/>
      <c r="D312" s="328"/>
      <c r="E312" s="328"/>
      <c r="F312" s="109"/>
      <c r="G312" s="109"/>
      <c r="H312" s="109"/>
      <c r="I312" s="109"/>
      <c r="J312" s="24"/>
    </row>
    <row r="313" spans="1:14" s="1" customFormat="1" ht="15.9" customHeight="1">
      <c r="A313" s="25"/>
      <c r="B313" s="26"/>
      <c r="C313" s="26"/>
      <c r="D313" s="83"/>
      <c r="E313" s="25"/>
      <c r="F313" s="25"/>
      <c r="G313" s="25"/>
      <c r="H313" s="25"/>
      <c r="I313" s="27"/>
      <c r="J313" s="99" t="str">
        <f>LEFT($J$111,10)&amp;"-03"</f>
        <v>FG-240-3PL-03</v>
      </c>
    </row>
    <row r="314" spans="1:14" ht="12.75" customHeight="1">
      <c r="A314" s="17"/>
      <c r="B314" s="56"/>
      <c r="C314" s="56"/>
      <c r="D314" s="30"/>
      <c r="E314" s="17"/>
      <c r="F314" s="17"/>
      <c r="G314" s="17"/>
      <c r="H314" s="17"/>
      <c r="I314" s="179"/>
      <c r="J314" s="179"/>
    </row>
    <row r="315" spans="1:14" ht="30" customHeight="1">
      <c r="B315" s="182"/>
      <c r="C315" s="5"/>
      <c r="D315" s="95"/>
      <c r="E315" s="95"/>
      <c r="F315" s="95"/>
      <c r="G315" s="95"/>
      <c r="H315" s="95"/>
      <c r="I315" s="95"/>
      <c r="J315" s="90" t="str">
        <f>$J$2</f>
        <v>HOMELIFE</v>
      </c>
      <c r="K315" s="11"/>
      <c r="L315" s="11"/>
      <c r="M315" s="2"/>
      <c r="N315" s="2"/>
    </row>
    <row r="316" spans="1:14" ht="24.9" customHeight="1">
      <c r="B316" s="182"/>
      <c r="C316" s="28"/>
      <c r="D316" s="28"/>
      <c r="E316" s="28"/>
      <c r="F316" s="28"/>
      <c r="G316" s="28"/>
      <c r="H316" s="28"/>
      <c r="I316" s="28"/>
      <c r="J316" s="91" t="str">
        <f>$J$3</f>
        <v>Fabricators Guide</v>
      </c>
      <c r="K316" s="11"/>
      <c r="L316" s="11"/>
      <c r="M316" s="2"/>
      <c r="N316" s="2"/>
    </row>
    <row r="317" spans="1:14" ht="24.9" customHeight="1">
      <c r="B317" s="8"/>
      <c r="C317" s="28"/>
      <c r="D317" s="28"/>
      <c r="E317" s="28"/>
      <c r="F317" s="28"/>
      <c r="G317" s="28"/>
      <c r="H317" s="28"/>
      <c r="I317" s="28"/>
      <c r="J317" s="91" t="str">
        <f>$J$4</f>
        <v xml:space="preserve">240 Series Bi Fold Door </v>
      </c>
      <c r="K317" s="48"/>
      <c r="L317" s="48"/>
      <c r="M317" s="4"/>
      <c r="N317" s="4"/>
    </row>
    <row r="318" spans="1:14" ht="15" customHeight="1" thickBot="1"/>
    <row r="319" spans="1:14" ht="24.9" customHeight="1" thickBot="1">
      <c r="A319" s="502" t="s">
        <v>33</v>
      </c>
      <c r="B319" s="503"/>
      <c r="C319" s="503"/>
      <c r="D319" s="503"/>
      <c r="E319" s="503"/>
      <c r="F319" s="503"/>
      <c r="G319" s="503"/>
      <c r="H319" s="503"/>
      <c r="I319" s="503"/>
      <c r="J319" s="504"/>
    </row>
    <row r="320" spans="1:14" s="1" customFormat="1" ht="15" customHeight="1">
      <c r="A320" s="63"/>
      <c r="B320" s="72"/>
      <c r="C320" s="56"/>
      <c r="D320" s="30"/>
      <c r="E320" s="29"/>
      <c r="F320" s="160"/>
      <c r="G320" s="160"/>
      <c r="H320" s="160"/>
      <c r="I320" s="160"/>
      <c r="J320" s="116"/>
    </row>
    <row r="321" spans="1:10" s="1" customFormat="1" ht="15" customHeight="1">
      <c r="A321" s="63"/>
      <c r="B321" s="72"/>
      <c r="C321" s="56"/>
      <c r="D321" s="30"/>
      <c r="E321" s="29"/>
      <c r="F321" s="160"/>
      <c r="G321" s="160"/>
      <c r="H321" s="160"/>
      <c r="I321" s="160"/>
      <c r="J321" s="116"/>
    </row>
    <row r="322" spans="1:10" s="1" customFormat="1" ht="15" customHeight="1">
      <c r="A322" s="17"/>
      <c r="B322" s="56"/>
      <c r="C322" s="56"/>
      <c r="D322" s="30"/>
      <c r="E322" s="29"/>
      <c r="F322" s="30"/>
      <c r="G322" s="31"/>
      <c r="H322" s="31"/>
      <c r="I322" s="31"/>
      <c r="J322" s="17"/>
    </row>
    <row r="323" spans="1:10" s="1" customFormat="1" ht="15" customHeight="1">
      <c r="A323" s="17"/>
      <c r="B323" s="56"/>
      <c r="C323" s="30"/>
      <c r="D323" s="30"/>
      <c r="E323" s="29"/>
      <c r="F323" s="30"/>
      <c r="G323" s="17"/>
      <c r="H323" s="31"/>
      <c r="I323" s="17"/>
      <c r="J323" s="17"/>
    </row>
    <row r="324" spans="1:10" s="1" customFormat="1" ht="15" customHeight="1">
      <c r="A324" s="17"/>
      <c r="B324" s="56"/>
      <c r="C324" s="30"/>
      <c r="D324" s="30"/>
      <c r="E324" s="29"/>
      <c r="F324" s="30"/>
      <c r="G324" s="17"/>
      <c r="H324" s="31"/>
      <c r="I324" s="17"/>
      <c r="J324" s="17"/>
    </row>
    <row r="325" spans="1:10" s="1" customFormat="1" ht="15" customHeight="1">
      <c r="A325" s="17"/>
      <c r="B325" s="56"/>
      <c r="C325" s="30"/>
      <c r="D325" s="30"/>
      <c r="E325" s="29"/>
      <c r="F325" s="30"/>
      <c r="G325" s="17"/>
      <c r="H325" s="31"/>
      <c r="I325" s="17"/>
      <c r="J325" s="17"/>
    </row>
    <row r="326" spans="1:10" s="1" customFormat="1" ht="15" customHeight="1">
      <c r="A326" s="109"/>
      <c r="B326" s="33"/>
      <c r="C326" s="161"/>
      <c r="D326" s="161"/>
      <c r="E326" s="109"/>
      <c r="F326" s="161"/>
      <c r="G326" s="109"/>
      <c r="H326" s="34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35"/>
      <c r="F327" s="163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1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42"/>
      <c r="D329" s="161"/>
      <c r="E329" s="109"/>
      <c r="F329" s="505"/>
      <c r="G329" s="505"/>
      <c r="H329" s="180"/>
      <c r="I329" s="42"/>
      <c r="J329" s="109"/>
    </row>
    <row r="330" spans="1:10" s="1" customFormat="1" ht="15" customHeight="1">
      <c r="A330" s="92"/>
      <c r="B330" s="92"/>
      <c r="C330" s="161"/>
      <c r="D330" s="161"/>
      <c r="E330" s="109"/>
      <c r="F330" s="180"/>
      <c r="G330" s="180"/>
      <c r="H330" s="180"/>
      <c r="I330" s="161"/>
      <c r="J330" s="109"/>
    </row>
    <row r="331" spans="1:10" s="1" customFormat="1" ht="15" customHeight="1">
      <c r="A331" s="64" t="str">
        <f>A18</f>
        <v>240-3 Panel (L)</v>
      </c>
      <c r="B331" s="92"/>
      <c r="C331" s="161"/>
      <c r="D331" s="161"/>
      <c r="E331" s="109"/>
      <c r="F331" s="180"/>
      <c r="G331" s="180"/>
      <c r="H331" s="180"/>
      <c r="I331" s="109"/>
      <c r="J331" s="109"/>
    </row>
    <row r="332" spans="1:10" s="1" customFormat="1" ht="15" customHeight="1">
      <c r="A332" s="76" t="str">
        <f>A19</f>
        <v xml:space="preserve">Outside Bi Fold Door </v>
      </c>
      <c r="B332" s="45"/>
      <c r="C332" s="42"/>
      <c r="D332" s="161"/>
      <c r="E332" s="109"/>
      <c r="F332" s="507"/>
      <c r="G332" s="507"/>
      <c r="H332" s="180"/>
      <c r="I332" s="109"/>
      <c r="J332" s="109"/>
    </row>
    <row r="333" spans="1:10" s="1" customFormat="1" ht="15.9" customHeight="1">
      <c r="A333" s="109"/>
      <c r="B333" s="109"/>
      <c r="C333" s="161"/>
      <c r="D333" s="161"/>
      <c r="E333" s="109"/>
      <c r="F333" s="37"/>
      <c r="G333" s="38"/>
      <c r="H333" s="109"/>
      <c r="I333" s="109"/>
      <c r="J333" s="109"/>
    </row>
    <row r="334" spans="1:10" s="1" customFormat="1" ht="15.9" customHeight="1">
      <c r="A334" s="39"/>
      <c r="C334" s="43"/>
      <c r="D334" s="161"/>
      <c r="E334" s="109"/>
      <c r="F334" s="109"/>
      <c r="G334" s="109"/>
      <c r="H334" s="109"/>
      <c r="I334" s="109"/>
      <c r="J334" s="109"/>
    </row>
    <row r="335" spans="1:10" s="1" customFormat="1" ht="15.9" customHeight="1">
      <c r="A335" s="44"/>
      <c r="C335" s="44"/>
      <c r="D335" s="84"/>
      <c r="E335" s="44"/>
      <c r="F335" s="44"/>
      <c r="G335" s="44"/>
      <c r="H335" s="44"/>
      <c r="I335" s="44"/>
      <c r="J335" s="119"/>
    </row>
    <row r="336" spans="1:10" s="1" customFormat="1" ht="15.9" customHeight="1">
      <c r="A336" s="40"/>
      <c r="C336" s="161"/>
      <c r="D336" s="85"/>
      <c r="E336" s="40"/>
      <c r="F336" s="32"/>
      <c r="G336" s="40"/>
      <c r="H336" s="32"/>
      <c r="I336" s="32"/>
      <c r="J336" s="40"/>
    </row>
    <row r="337" spans="1:10" s="1" customFormat="1" ht="15.9" customHeight="1">
      <c r="A337" s="109"/>
      <c r="C337" s="163"/>
      <c r="D337" s="161"/>
      <c r="E337" s="109"/>
      <c r="F337" s="161"/>
      <c r="G337" s="109"/>
      <c r="H337" s="109"/>
      <c r="I337" s="24"/>
      <c r="J337" s="24"/>
    </row>
    <row r="338" spans="1:10" s="1" customFormat="1" ht="15.9" customHeight="1">
      <c r="A338" s="109"/>
      <c r="B338" s="33"/>
      <c r="C338" s="161"/>
      <c r="D338" s="161"/>
      <c r="E338" s="109"/>
      <c r="F338" s="161"/>
      <c r="G338" s="109"/>
      <c r="H338" s="109"/>
      <c r="I338" s="24"/>
      <c r="J338" s="24"/>
    </row>
    <row r="339" spans="1:10" s="1" customFormat="1" ht="15.9" customHeight="1">
      <c r="A339" s="109"/>
      <c r="B339" s="33"/>
      <c r="C339" s="44"/>
      <c r="D339" s="161"/>
      <c r="E339" s="109"/>
      <c r="F339" s="161"/>
      <c r="G339" s="109"/>
      <c r="H339" s="162"/>
      <c r="I339" s="162"/>
      <c r="J339" s="162"/>
    </row>
    <row r="340" spans="1:10" s="1" customFormat="1" ht="15.9" customHeight="1">
      <c r="A340" s="109"/>
      <c r="B340" s="33"/>
      <c r="C340" s="42"/>
      <c r="D340" s="161"/>
      <c r="E340" s="109"/>
      <c r="F340" s="161"/>
      <c r="G340" s="109"/>
      <c r="H340" s="161"/>
      <c r="I340" s="161"/>
      <c r="J340" s="161"/>
    </row>
    <row r="341" spans="1:10" s="1" customFormat="1" ht="15.9" customHeight="1">
      <c r="A341" s="109"/>
      <c r="B341" s="33"/>
      <c r="C341" s="163"/>
      <c r="D341" s="161"/>
      <c r="E341" s="109"/>
      <c r="F341" s="161"/>
      <c r="G341" s="109"/>
      <c r="H341" s="161"/>
      <c r="I341" s="161"/>
      <c r="J341" s="161"/>
    </row>
    <row r="342" spans="1:10" s="1" customFormat="1" ht="15.9" customHeight="1">
      <c r="A342" s="109"/>
      <c r="B342" s="33"/>
      <c r="C342" s="161"/>
      <c r="D342" s="161"/>
      <c r="E342" s="109"/>
      <c r="F342" s="161"/>
      <c r="G342" s="109"/>
      <c r="H342" s="109"/>
      <c r="I342" s="109"/>
      <c r="J342" s="24"/>
    </row>
    <row r="343" spans="1:10" s="1" customFormat="1" ht="15.9" customHeight="1">
      <c r="A343" s="109"/>
      <c r="B343" s="33"/>
      <c r="C343" s="33"/>
      <c r="D343" s="161"/>
      <c r="E343" s="109"/>
      <c r="F343" s="161"/>
      <c r="G343" s="109"/>
      <c r="H343" s="109"/>
      <c r="I343" s="24"/>
      <c r="J343" s="24"/>
    </row>
    <row r="344" spans="1:10" s="1" customFormat="1" ht="15.9" customHeight="1">
      <c r="A344" s="109"/>
      <c r="B344" s="33"/>
      <c r="C344" s="33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44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161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163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109"/>
      <c r="J349" s="24"/>
    </row>
    <row r="350" spans="1:10" s="1" customFormat="1" ht="15.9" customHeight="1">
      <c r="A350" s="109"/>
      <c r="B350" s="33"/>
      <c r="C350" s="33"/>
      <c r="D350" s="161"/>
      <c r="E350" s="109"/>
      <c r="F350" s="109"/>
      <c r="G350" s="109"/>
      <c r="H350" s="109"/>
      <c r="I350" s="24"/>
      <c r="J350" s="24"/>
    </row>
    <row r="351" spans="1:10" s="1" customFormat="1" ht="15.9" customHeight="1">
      <c r="A351" s="109"/>
      <c r="B351" s="33"/>
      <c r="C351" s="33"/>
      <c r="D351" s="161"/>
      <c r="E351" s="109"/>
      <c r="F351" s="109"/>
      <c r="G351" s="109"/>
      <c r="H351" s="107"/>
      <c r="I351" s="24"/>
      <c r="J351" s="24"/>
    </row>
    <row r="352" spans="1:10" s="1" customFormat="1" ht="15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23" customFormat="1" ht="15.9" customHeight="1">
      <c r="A353" s="109"/>
      <c r="B353" s="33"/>
      <c r="C353" s="33"/>
      <c r="D353" s="161"/>
      <c r="E353" s="109"/>
      <c r="F353" s="109"/>
      <c r="G353" s="109"/>
      <c r="H353" s="109"/>
      <c r="I353" s="109"/>
      <c r="J353" s="109"/>
    </row>
    <row r="354" spans="1:10" s="1" customFormat="1" ht="15.9" customHeight="1">
      <c r="A354" s="44"/>
      <c r="B354" s="44"/>
      <c r="C354" s="44"/>
      <c r="D354" s="84"/>
      <c r="E354" s="44"/>
      <c r="F354" s="44"/>
      <c r="G354" s="44"/>
      <c r="H354" s="44"/>
      <c r="I354" s="44"/>
      <c r="J354" s="119"/>
    </row>
    <row r="355" spans="1:10" s="1" customFormat="1" ht="15.9" customHeight="1">
      <c r="A355" s="40"/>
      <c r="B355" s="40"/>
      <c r="C355" s="44"/>
      <c r="D355" s="85"/>
      <c r="E355" s="40"/>
      <c r="F355" s="32"/>
      <c r="G355" s="40"/>
      <c r="H355" s="32"/>
      <c r="I355" s="32"/>
      <c r="J355" s="40"/>
    </row>
    <row r="356" spans="1:10" s="1" customFormat="1" ht="15.9" customHeight="1">
      <c r="A356" s="27"/>
      <c r="B356" s="33"/>
      <c r="C356" s="42"/>
      <c r="D356" s="161"/>
      <c r="E356" s="109"/>
      <c r="F356" s="109"/>
      <c r="G356" s="109"/>
      <c r="H356" s="42"/>
      <c r="I356" s="24"/>
      <c r="J356" s="24"/>
    </row>
    <row r="357" spans="1:10" s="1" customFormat="1" ht="15.9" customHeight="1">
      <c r="A357" s="27"/>
      <c r="B357" s="33"/>
      <c r="C357" s="163"/>
      <c r="D357" s="161"/>
      <c r="E357" s="109"/>
      <c r="F357" s="109"/>
      <c r="G357" s="109"/>
      <c r="H357" s="163"/>
      <c r="I357" s="163"/>
      <c r="J357" s="163"/>
    </row>
    <row r="358" spans="1:10" s="1" customFormat="1" ht="15.9" customHeight="1">
      <c r="A358" s="27"/>
      <c r="B358" s="33"/>
      <c r="C358" s="161"/>
      <c r="D358" s="161"/>
      <c r="E358" s="109"/>
      <c r="F358" s="109"/>
      <c r="G358" s="109"/>
      <c r="H358" s="161"/>
      <c r="I358" s="161"/>
      <c r="J358" s="161"/>
    </row>
    <row r="359" spans="1:10" s="1" customFormat="1" ht="15.9" customHeight="1">
      <c r="A359" s="27"/>
      <c r="B359" s="33"/>
      <c r="C359" s="33"/>
      <c r="D359" s="161"/>
      <c r="E359" s="109"/>
      <c r="F359" s="109"/>
      <c r="G359" s="109"/>
      <c r="H359" s="109"/>
      <c r="I359" s="24"/>
      <c r="J359" s="24"/>
    </row>
    <row r="360" spans="1:10" s="1" customFormat="1" ht="15.9" customHeight="1">
      <c r="A360" s="27"/>
      <c r="B360" s="33"/>
      <c r="C360" s="33"/>
      <c r="D360" s="161"/>
      <c r="E360" s="109"/>
      <c r="F360" s="109"/>
      <c r="G360" s="109"/>
      <c r="H360" s="109"/>
      <c r="I360" s="24"/>
      <c r="J360" s="24"/>
    </row>
    <row r="361" spans="1:10" s="1" customFormat="1" ht="15.9" customHeight="1">
      <c r="A361" s="27"/>
      <c r="B361" s="33"/>
      <c r="C361" s="46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161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33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33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B369" s="33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D370" s="161"/>
      <c r="E370" s="109"/>
      <c r="F370" s="109"/>
      <c r="G370" s="33"/>
      <c r="H370" s="33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B372" s="33"/>
      <c r="C372" s="33"/>
      <c r="D372" s="161"/>
      <c r="E372" s="109"/>
      <c r="F372" s="109"/>
      <c r="G372" s="109"/>
      <c r="H372" s="109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42"/>
      <c r="I374" s="24"/>
      <c r="J374" s="24"/>
    </row>
    <row r="375" spans="1:10" s="1" customFormat="1" ht="15.9" customHeight="1">
      <c r="A375" s="27"/>
      <c r="B375" s="33"/>
      <c r="C375" s="47"/>
      <c r="D375" s="161"/>
      <c r="E375" s="109"/>
      <c r="F375" s="109"/>
      <c r="G375" s="109"/>
      <c r="H375" s="163"/>
      <c r="I375" s="163"/>
      <c r="J375" s="163"/>
    </row>
    <row r="376" spans="1:10" s="1" customFormat="1" ht="15.9" customHeight="1">
      <c r="A376" s="27"/>
      <c r="B376" s="33"/>
      <c r="C376" s="46"/>
      <c r="D376" s="161"/>
      <c r="E376" s="109"/>
      <c r="F376" s="109"/>
      <c r="G376" s="109"/>
      <c r="H376" s="161"/>
      <c r="I376" s="161"/>
      <c r="J376" s="161"/>
    </row>
    <row r="377" spans="1:10" s="1" customFormat="1" ht="15.9" customHeight="1">
      <c r="A377" s="27"/>
      <c r="B377" s="33"/>
      <c r="C377" s="161"/>
      <c r="D377" s="161"/>
      <c r="E377" s="109"/>
      <c r="F377" s="109"/>
      <c r="G377" s="109"/>
      <c r="H377" s="42"/>
      <c r="I377" s="24"/>
      <c r="J377" s="24"/>
    </row>
    <row r="378" spans="1:10" s="1" customFormat="1" ht="15.9" customHeight="1">
      <c r="A378" s="27"/>
      <c r="B378" s="33"/>
      <c r="C378" s="33"/>
      <c r="D378" s="161"/>
      <c r="E378" s="109"/>
      <c r="F378" s="109"/>
      <c r="G378" s="109"/>
      <c r="H378" s="163"/>
      <c r="I378" s="163"/>
      <c r="J378" s="163"/>
    </row>
    <row r="379" spans="1:10" s="1" customFormat="1" ht="15.9" customHeight="1">
      <c r="A379" s="27"/>
      <c r="B379" s="33"/>
      <c r="C379" s="33"/>
      <c r="D379" s="161"/>
      <c r="E379" s="109"/>
      <c r="F379" s="109"/>
      <c r="G379" s="109"/>
      <c r="H379" s="161"/>
      <c r="I379" s="161"/>
      <c r="J379" s="161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09"/>
      <c r="I380" s="24"/>
      <c r="J380" s="24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09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109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64"/>
      <c r="I387" s="164"/>
      <c r="J387" s="16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65"/>
      <c r="I388" s="165"/>
      <c r="J388" s="165"/>
    </row>
    <row r="389" spans="1:10" s="1" customFormat="1" ht="15.9" customHeight="1">
      <c r="A389" s="27"/>
      <c r="B389" s="33"/>
      <c r="C389" s="47"/>
      <c r="D389" s="161"/>
      <c r="E389" s="109"/>
      <c r="F389" s="109"/>
      <c r="G389" s="109"/>
      <c r="H389" s="161"/>
      <c r="I389" s="161"/>
      <c r="J389" s="161"/>
    </row>
    <row r="390" spans="1:10" s="1" customFormat="1" ht="15.9" customHeight="1">
      <c r="A390" s="27"/>
      <c r="B390" s="33"/>
      <c r="C390" s="46"/>
      <c r="D390" s="161"/>
      <c r="E390" s="109"/>
      <c r="F390" s="109"/>
      <c r="G390" s="109"/>
      <c r="H390" s="109"/>
      <c r="I390" s="24"/>
      <c r="J390" s="24"/>
    </row>
    <row r="391" spans="1:10" s="1" customFormat="1" ht="15.9" customHeight="1">
      <c r="A391" s="27"/>
      <c r="B391" s="33"/>
      <c r="C391" s="161"/>
      <c r="D391" s="161"/>
      <c r="E391" s="109"/>
      <c r="F391" s="109"/>
      <c r="G391" s="109"/>
      <c r="H391" s="109"/>
      <c r="I391" s="109"/>
      <c r="J391" s="24"/>
    </row>
    <row r="392" spans="1:10" s="1" customFormat="1" ht="15.9" customHeight="1">
      <c r="A392" s="27"/>
      <c r="B392" s="33"/>
      <c r="C392" s="33"/>
      <c r="D392" s="161"/>
      <c r="E392" s="109"/>
      <c r="F392" s="109"/>
      <c r="G392" s="109"/>
      <c r="H392" s="109"/>
      <c r="I392" s="24"/>
      <c r="J392" s="24"/>
    </row>
    <row r="393" spans="1:10" s="1" customFormat="1" ht="15.9" customHeight="1">
      <c r="A393" s="27"/>
      <c r="B393" s="33"/>
      <c r="C393" s="33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41"/>
      <c r="B395" s="33"/>
      <c r="C395" s="33"/>
      <c r="D395" s="161"/>
      <c r="E395" s="109"/>
      <c r="F395" s="109"/>
      <c r="G395" s="109"/>
      <c r="H395" s="109"/>
      <c r="I395" s="109"/>
      <c r="J395" s="109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23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23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1" customFormat="1" ht="15.9" customHeight="1">
      <c r="A405" s="44"/>
      <c r="B405" s="44"/>
      <c r="C405" s="44"/>
      <c r="D405" s="84"/>
      <c r="E405" s="44"/>
      <c r="F405" s="44"/>
      <c r="G405" s="44"/>
      <c r="H405" s="44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109"/>
      <c r="B418" s="33"/>
      <c r="C418" s="33"/>
      <c r="D418" s="161"/>
      <c r="E418" s="109"/>
      <c r="F418" s="109"/>
      <c r="G418" s="109"/>
      <c r="H418" s="109"/>
      <c r="I418" s="24"/>
      <c r="J418" s="24"/>
      <c r="K418" s="71"/>
    </row>
    <row r="419" spans="1:14" s="1" customFormat="1" ht="15.9" customHeight="1">
      <c r="A419" s="109"/>
      <c r="B419" s="33"/>
      <c r="C419" s="33"/>
      <c r="D419" s="161"/>
      <c r="E419" s="109"/>
      <c r="F419" s="109"/>
      <c r="G419" s="109"/>
      <c r="H419" s="109"/>
      <c r="I419" s="24"/>
    </row>
    <row r="420" spans="1:14" ht="18">
      <c r="A420" s="109"/>
      <c r="B420" s="33"/>
      <c r="C420" s="33"/>
      <c r="D420" s="161"/>
      <c r="E420" s="109"/>
      <c r="F420" s="109"/>
      <c r="G420" s="109"/>
      <c r="H420" s="109"/>
      <c r="I420" s="109"/>
      <c r="J420" s="99" t="str">
        <f>LEFT($J$111,10)&amp;"-04"</f>
        <v>FG-240-3PL-04</v>
      </c>
      <c r="K420" s="7"/>
      <c r="L420" s="7"/>
      <c r="M420" s="2"/>
      <c r="N420" s="2"/>
    </row>
    <row r="421" spans="1:14" ht="12.75" customHeight="1">
      <c r="A421" s="109"/>
      <c r="B421" s="33"/>
      <c r="C421" s="33"/>
      <c r="D421" s="161"/>
      <c r="E421" s="109"/>
      <c r="F421" s="109"/>
      <c r="G421" s="109"/>
      <c r="H421" s="109"/>
      <c r="I421" s="109"/>
      <c r="J421" s="114"/>
      <c r="K421" s="7"/>
      <c r="L421" s="7"/>
      <c r="M421" s="2"/>
      <c r="N421" s="2"/>
    </row>
    <row r="422" spans="1:14" ht="30" customHeight="1">
      <c r="B422" s="182"/>
      <c r="C422" s="5"/>
      <c r="D422" s="95"/>
      <c r="E422" s="95"/>
      <c r="F422" s="95"/>
      <c r="G422" s="95"/>
      <c r="H422" s="95"/>
      <c r="I422" s="95"/>
      <c r="J422" s="90" t="str">
        <f>J2</f>
        <v>HOMELIFE</v>
      </c>
      <c r="K422" s="11"/>
      <c r="L422" s="11"/>
      <c r="M422" s="2"/>
      <c r="N422" s="2"/>
    </row>
    <row r="423" spans="1:14" ht="24.9" customHeight="1">
      <c r="B423" s="182"/>
      <c r="C423" s="28"/>
      <c r="D423" s="28"/>
      <c r="E423" s="28"/>
      <c r="F423" s="28"/>
      <c r="G423" s="28"/>
      <c r="H423" s="28"/>
      <c r="I423" s="28"/>
      <c r="J423" s="91" t="str">
        <f>J3</f>
        <v>Fabricators Guide</v>
      </c>
      <c r="K423" s="11"/>
      <c r="L423" s="11"/>
      <c r="M423" s="2"/>
      <c r="N423" s="2"/>
    </row>
    <row r="424" spans="1:14" ht="24.9" customHeight="1">
      <c r="B424" s="8"/>
      <c r="C424" s="28"/>
      <c r="D424" s="28"/>
      <c r="E424" s="28"/>
      <c r="F424" s="28"/>
      <c r="G424" s="28"/>
      <c r="H424" s="28"/>
      <c r="I424" s="28"/>
      <c r="J424" s="91" t="str">
        <f>J4</f>
        <v xml:space="preserve">240 Series Bi Fold Door </v>
      </c>
      <c r="K424" s="48"/>
      <c r="L424" s="48"/>
      <c r="M424" s="4"/>
      <c r="N424" s="4"/>
    </row>
    <row r="425" spans="1:14" s="1" customFormat="1" ht="15" customHeight="1" thickBot="1">
      <c r="A425" s="78"/>
      <c r="B425" s="78"/>
      <c r="C425" s="78"/>
      <c r="D425" s="82"/>
      <c r="E425" s="78"/>
      <c r="F425" s="78"/>
      <c r="G425" s="78"/>
      <c r="H425" s="78"/>
      <c r="I425" s="78"/>
      <c r="J425" s="100"/>
      <c r="K425" s="4"/>
      <c r="L425" s="4"/>
      <c r="M425" s="4"/>
      <c r="N425" s="4"/>
    </row>
    <row r="426" spans="1:14" s="1" customFormat="1" ht="24.9" customHeight="1" thickBot="1">
      <c r="A426" s="502" t="s">
        <v>34</v>
      </c>
      <c r="B426" s="503"/>
      <c r="C426" s="503"/>
      <c r="D426" s="503"/>
      <c r="E426" s="503"/>
      <c r="F426" s="503"/>
      <c r="G426" s="503"/>
      <c r="H426" s="503"/>
      <c r="I426" s="503"/>
      <c r="J426" s="504"/>
    </row>
    <row r="427" spans="1:14" s="1" customFormat="1" ht="15" customHeight="1">
      <c r="A427" s="63"/>
      <c r="B427" s="72"/>
      <c r="C427" s="56"/>
      <c r="D427" s="30"/>
      <c r="E427" s="29"/>
      <c r="F427" s="72"/>
      <c r="H427" s="44"/>
      <c r="I427" s="44"/>
      <c r="J427" s="119"/>
    </row>
    <row r="428" spans="1:14" s="1" customFormat="1" ht="15" customHeight="1">
      <c r="A428" s="17"/>
      <c r="B428" s="56"/>
      <c r="C428" s="56"/>
      <c r="D428" s="30"/>
      <c r="E428" s="29"/>
      <c r="F428" s="30"/>
      <c r="H428" s="44"/>
      <c r="I428" s="44"/>
      <c r="J428" s="119"/>
    </row>
    <row r="429" spans="1:14" s="1" customFormat="1" ht="15" customHeight="1">
      <c r="A429" s="17"/>
      <c r="B429" s="56"/>
      <c r="C429" s="56"/>
      <c r="D429" s="30"/>
      <c r="E429" s="29"/>
      <c r="F429" s="30"/>
      <c r="H429" s="44"/>
      <c r="I429" s="44"/>
      <c r="J429" s="119"/>
    </row>
    <row r="430" spans="1:14" s="1" customFormat="1" ht="15" customHeight="1">
      <c r="A430" s="109"/>
      <c r="B430" s="33"/>
      <c r="C430" s="161"/>
      <c r="D430" s="161"/>
      <c r="E430" s="109"/>
      <c r="F430" s="161"/>
      <c r="H430" s="44"/>
      <c r="I430" s="44"/>
      <c r="J430" s="119"/>
    </row>
    <row r="431" spans="1:14" s="1" customFormat="1" ht="15" customHeight="1">
      <c r="A431" s="109"/>
      <c r="B431" s="33"/>
      <c r="C431" s="161"/>
      <c r="D431" s="161"/>
      <c r="E431" s="35"/>
      <c r="F431" s="163"/>
      <c r="H431" s="44"/>
      <c r="I431" s="44"/>
      <c r="J431" s="119"/>
    </row>
    <row r="432" spans="1:14" s="1" customFormat="1" ht="15" customHeight="1">
      <c r="A432" s="109"/>
      <c r="B432" s="33"/>
      <c r="C432" s="161"/>
      <c r="D432" s="161"/>
      <c r="E432" s="35"/>
      <c r="F432" s="161"/>
      <c r="H432" s="44"/>
      <c r="I432" s="44"/>
      <c r="J432" s="119"/>
    </row>
    <row r="433" spans="1:10" s="1" customFormat="1" ht="15" customHeight="1">
      <c r="A433" s="109"/>
      <c r="B433" s="33"/>
      <c r="C433" s="42"/>
      <c r="D433" s="161"/>
      <c r="E433" s="109"/>
      <c r="F433" s="69"/>
      <c r="H433" s="44"/>
      <c r="I433" s="44"/>
      <c r="J433" s="119"/>
    </row>
    <row r="434" spans="1:10" s="1" customFormat="1" ht="15" customHeight="1">
      <c r="A434" s="39"/>
      <c r="B434" s="39"/>
      <c r="C434" s="163"/>
      <c r="D434" s="161"/>
      <c r="E434" s="109"/>
      <c r="F434" s="68"/>
      <c r="H434" s="44"/>
      <c r="I434" s="44"/>
      <c r="J434" s="119"/>
    </row>
    <row r="435" spans="1:10" s="1" customFormat="1" ht="15" customHeight="1">
      <c r="A435" s="92"/>
      <c r="B435" s="92"/>
      <c r="C435" s="161"/>
      <c r="D435" s="161"/>
      <c r="E435" s="109"/>
      <c r="F435" s="180"/>
      <c r="H435" s="44"/>
      <c r="I435" s="44"/>
      <c r="J435" s="119"/>
    </row>
    <row r="436" spans="1:10" s="1" customFormat="1" ht="15" customHeight="1">
      <c r="B436" s="92"/>
      <c r="C436" s="161"/>
      <c r="D436" s="161"/>
      <c r="E436" s="109"/>
      <c r="F436" s="180"/>
      <c r="H436" s="44"/>
      <c r="I436" s="44"/>
      <c r="J436" s="119"/>
    </row>
    <row r="437" spans="1:10" s="1" customFormat="1" ht="15" customHeight="1">
      <c r="A437" s="64" t="str">
        <f>A18</f>
        <v>240-3 Panel (L)</v>
      </c>
      <c r="C437" s="42"/>
      <c r="D437" s="161"/>
      <c r="E437" s="109"/>
      <c r="F437" s="68"/>
      <c r="H437" s="44"/>
      <c r="I437" s="44"/>
      <c r="J437" s="119"/>
    </row>
    <row r="438" spans="1:10" s="1" customFormat="1" ht="15.9" customHeight="1">
      <c r="A438" s="76" t="str">
        <f>A19</f>
        <v xml:space="preserve">Outside Bi Fold Door </v>
      </c>
      <c r="C438" s="161"/>
      <c r="D438" s="161"/>
      <c r="E438" s="109"/>
      <c r="F438" s="37"/>
      <c r="H438" s="44"/>
      <c r="I438" s="44"/>
      <c r="J438" s="119"/>
    </row>
    <row r="439" spans="1:10" s="1" customFormat="1" ht="15.9" customHeight="1">
      <c r="A439" s="39"/>
      <c r="B439" s="38"/>
      <c r="C439" s="43"/>
      <c r="D439" s="161"/>
      <c r="E439" s="109"/>
      <c r="F439" s="109"/>
      <c r="H439" s="44"/>
      <c r="I439" s="44"/>
      <c r="J439" s="119"/>
    </row>
    <row r="440" spans="1:10" s="1" customFormat="1" ht="15.9" customHeight="1">
      <c r="A440" s="44"/>
      <c r="C440" s="44"/>
      <c r="D440" s="84"/>
      <c r="E440" s="44"/>
      <c r="F440" s="44"/>
      <c r="H440" s="44"/>
      <c r="I440" s="44"/>
      <c r="J440" s="119"/>
    </row>
    <row r="441" spans="1:10" s="1" customFormat="1" ht="15.9" customHeight="1">
      <c r="A441" s="40"/>
      <c r="C441" s="161"/>
      <c r="D441" s="85"/>
      <c r="E441" s="40"/>
      <c r="F441" s="32"/>
      <c r="H441" s="44"/>
      <c r="I441" s="44"/>
      <c r="J441" s="119"/>
    </row>
    <row r="447" spans="1:10" s="1" customFormat="1" ht="15.9" customHeight="1">
      <c r="A447" s="109"/>
      <c r="B447" s="33"/>
      <c r="C447" s="33"/>
      <c r="D447" s="161"/>
      <c r="E447" s="109"/>
      <c r="F447" s="161"/>
      <c r="G447" s="109"/>
      <c r="H447" s="109"/>
      <c r="I447" s="24"/>
      <c r="J447" s="24"/>
    </row>
    <row r="448" spans="1:10" s="1" customFormat="1" ht="15.9" customHeight="1">
      <c r="A448" s="109"/>
      <c r="B448" s="33"/>
      <c r="C448" s="33"/>
      <c r="D448" s="161"/>
      <c r="E448" s="109"/>
      <c r="F448" s="161"/>
      <c r="G448" s="109"/>
      <c r="H448" s="109"/>
      <c r="I448" s="24"/>
      <c r="J448" s="24"/>
    </row>
    <row r="449" spans="1:10" s="1" customFormat="1" ht="15.9" customHeight="1">
      <c r="A449" s="109"/>
      <c r="B449" s="33"/>
      <c r="C449" s="33"/>
      <c r="D449" s="161"/>
      <c r="E449" s="109"/>
      <c r="F449" s="161"/>
      <c r="G449" s="109"/>
      <c r="H449" s="109"/>
      <c r="I449" s="24"/>
      <c r="J449" s="24"/>
    </row>
    <row r="450" spans="1:10" s="1" customFormat="1" ht="15.9" customHeight="1">
      <c r="A450" s="109"/>
      <c r="B450" s="33"/>
      <c r="C450" s="44"/>
      <c r="D450" s="161"/>
      <c r="E450" s="109"/>
      <c r="F450" s="161"/>
      <c r="G450" s="109"/>
      <c r="H450" s="109"/>
      <c r="I450" s="24"/>
      <c r="J450" s="24"/>
    </row>
    <row r="451" spans="1:10" s="1" customFormat="1" ht="15.9" customHeight="1">
      <c r="A451" s="109"/>
      <c r="B451" s="33"/>
      <c r="C451" s="161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16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161"/>
      <c r="D453" s="161"/>
      <c r="E453" s="109"/>
      <c r="F453" s="161"/>
      <c r="G453" s="109"/>
      <c r="H453" s="109"/>
      <c r="I453" s="109"/>
      <c r="J453" s="24"/>
    </row>
    <row r="454" spans="1:10" s="1" customFormat="1" ht="15.9" customHeight="1">
      <c r="A454" s="109"/>
      <c r="B454" s="33"/>
      <c r="C454" s="33"/>
      <c r="D454" s="161"/>
      <c r="E454" s="109"/>
      <c r="F454" s="109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33"/>
      <c r="D455" s="161"/>
      <c r="E455" s="109"/>
      <c r="F455" s="109"/>
      <c r="G455" s="109"/>
      <c r="H455" s="107"/>
      <c r="I455" s="24"/>
      <c r="J455" s="24"/>
    </row>
    <row r="456" spans="1:10" s="1" customFormat="1" ht="15" customHeight="1">
      <c r="A456" s="109"/>
      <c r="B456" s="33"/>
      <c r="C456" s="33"/>
      <c r="D456" s="161"/>
      <c r="E456" s="109"/>
      <c r="F456" s="109"/>
      <c r="G456" s="109"/>
      <c r="H456" s="109"/>
      <c r="I456" s="24"/>
      <c r="J456" s="24"/>
    </row>
    <row r="457" spans="1:10" s="1" customFormat="1" ht="15" customHeight="1">
      <c r="A457" s="109"/>
      <c r="B457" s="33"/>
      <c r="C457" s="33"/>
      <c r="D457" s="161"/>
      <c r="E457" s="109"/>
      <c r="F457" s="109"/>
      <c r="G457" s="109"/>
      <c r="H457" s="109"/>
      <c r="I457" s="24"/>
      <c r="J457" s="24"/>
    </row>
    <row r="458" spans="1:10" s="1" customFormat="1" ht="15" customHeight="1">
      <c r="A458" s="109"/>
      <c r="B458" s="33"/>
      <c r="C458" s="33"/>
      <c r="D458" s="161"/>
      <c r="E458" s="109"/>
      <c r="F458" s="109"/>
      <c r="G458" s="109"/>
      <c r="H458" s="109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9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23" customFormat="1" ht="15.9" customHeight="1">
      <c r="A474" s="109"/>
      <c r="B474" s="33"/>
      <c r="C474" s="33"/>
      <c r="D474" s="161"/>
      <c r="E474" s="109"/>
      <c r="F474" s="109"/>
      <c r="G474" s="109"/>
      <c r="H474" s="109"/>
      <c r="I474" s="109"/>
      <c r="J474" s="109"/>
    </row>
    <row r="475" spans="1:10" s="1" customFormat="1" ht="15.9" customHeight="1">
      <c r="A475" s="44"/>
      <c r="B475" s="44"/>
      <c r="C475" s="44"/>
      <c r="D475" s="84"/>
      <c r="E475" s="44"/>
      <c r="F475" s="44"/>
      <c r="G475" s="44"/>
      <c r="H475" s="44"/>
      <c r="I475" s="44"/>
      <c r="J475" s="119"/>
    </row>
    <row r="476" spans="1:10" s="1" customFormat="1" ht="15.9" customHeight="1">
      <c r="A476" s="40"/>
      <c r="B476" s="40"/>
      <c r="C476" s="44"/>
      <c r="D476" s="85"/>
      <c r="E476" s="40"/>
      <c r="F476" s="32"/>
      <c r="G476" s="40"/>
      <c r="H476" s="32"/>
      <c r="I476" s="32"/>
      <c r="J476" s="40"/>
    </row>
    <row r="477" spans="1:10" s="1" customFormat="1" ht="15.9" customHeight="1">
      <c r="A477" s="27"/>
      <c r="B477" s="33"/>
      <c r="C477" s="42"/>
      <c r="D477" s="161"/>
      <c r="E477" s="109"/>
      <c r="F477" s="109"/>
      <c r="G477" s="109"/>
      <c r="H477" s="42"/>
      <c r="I477" s="24"/>
      <c r="J477" s="24"/>
    </row>
    <row r="478" spans="1:10" s="1" customFormat="1" ht="15.9" customHeight="1">
      <c r="A478" s="27"/>
      <c r="B478" s="33"/>
      <c r="C478" s="163"/>
      <c r="D478" s="161"/>
      <c r="E478" s="109"/>
      <c r="F478" s="109"/>
      <c r="G478" s="109"/>
      <c r="H478" s="67"/>
      <c r="I478" s="67"/>
      <c r="J478" s="165"/>
    </row>
    <row r="479" spans="1:10" s="1" customFormat="1" ht="15.9" customHeight="1">
      <c r="A479" s="27"/>
      <c r="B479" s="33"/>
      <c r="C479" s="161"/>
      <c r="D479" s="161"/>
      <c r="E479" s="109"/>
      <c r="F479" s="109"/>
      <c r="G479" s="109"/>
      <c r="H479" s="38"/>
      <c r="I479" s="38"/>
      <c r="J479" s="109"/>
    </row>
    <row r="480" spans="1:10" s="1" customFormat="1" ht="15.9" customHeight="1">
      <c r="A480" s="27"/>
      <c r="B480" s="33"/>
      <c r="C480" s="33"/>
      <c r="D480" s="161"/>
      <c r="E480" s="109"/>
      <c r="F480" s="109"/>
      <c r="G480" s="109"/>
      <c r="H480" s="109"/>
      <c r="I480" s="24"/>
      <c r="J480" s="24"/>
    </row>
    <row r="481" spans="1:10" s="1" customFormat="1" ht="15.9" customHeight="1">
      <c r="A481" s="27"/>
      <c r="B481" s="33"/>
      <c r="C481" s="33"/>
      <c r="D481" s="161"/>
      <c r="E481" s="109"/>
      <c r="F481" s="109"/>
      <c r="G481" s="109"/>
      <c r="H481" s="109"/>
      <c r="I481" s="24"/>
      <c r="J481" s="24"/>
    </row>
    <row r="482" spans="1:10" s="1" customFormat="1" ht="15.9" customHeight="1">
      <c r="A482" s="27"/>
      <c r="B482" s="33"/>
      <c r="C482" s="46"/>
      <c r="D482" s="161"/>
      <c r="E482" s="109"/>
      <c r="F482" s="109"/>
      <c r="G482" s="109"/>
      <c r="H482" s="109"/>
      <c r="I482" s="24"/>
      <c r="J482" s="24"/>
    </row>
    <row r="483" spans="1:10" s="1" customFormat="1" ht="15.9" customHeight="1">
      <c r="A483" s="27"/>
      <c r="B483" s="33"/>
      <c r="C483" s="161"/>
      <c r="D483" s="161"/>
      <c r="E483" s="109"/>
      <c r="F483" s="109"/>
      <c r="G483" s="109"/>
      <c r="H483" s="109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33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33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D491" s="161"/>
      <c r="E491" s="109"/>
      <c r="F491" s="109"/>
      <c r="G491" s="33"/>
      <c r="H491" s="33"/>
      <c r="I491" s="24"/>
      <c r="J491" s="24"/>
    </row>
    <row r="492" spans="1:10" s="1" customFormat="1" ht="15.9" customHeight="1">
      <c r="A492" s="27"/>
      <c r="B492" s="33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B495" s="33"/>
      <c r="C495" s="33"/>
      <c r="D495" s="161"/>
      <c r="E495" s="109"/>
      <c r="F495" s="109"/>
      <c r="G495" s="109"/>
      <c r="H495" s="42"/>
      <c r="I495" s="24"/>
      <c r="J495" s="24"/>
    </row>
    <row r="496" spans="1:10" s="1" customFormat="1" ht="15.9" customHeight="1">
      <c r="A496" s="27"/>
      <c r="B496" s="33"/>
      <c r="C496" s="47"/>
      <c r="D496" s="161"/>
      <c r="E496" s="109"/>
      <c r="F496" s="109"/>
      <c r="G496" s="109"/>
      <c r="H496" s="67"/>
      <c r="I496" s="67"/>
      <c r="J496" s="165"/>
    </row>
    <row r="497" spans="1:10" s="1" customFormat="1" ht="15.9" customHeight="1">
      <c r="A497" s="27"/>
      <c r="B497" s="33"/>
      <c r="C497" s="46"/>
      <c r="D497" s="161"/>
      <c r="E497" s="109"/>
      <c r="F497" s="109"/>
      <c r="G497" s="109"/>
      <c r="H497" s="38"/>
      <c r="I497" s="38"/>
      <c r="J497" s="109"/>
    </row>
    <row r="498" spans="1:10" s="1" customFormat="1" ht="15.9" customHeight="1">
      <c r="A498" s="27"/>
      <c r="B498" s="33"/>
      <c r="C498" s="161"/>
      <c r="D498" s="161"/>
      <c r="E498" s="109"/>
      <c r="F498" s="109"/>
      <c r="G498" s="109"/>
      <c r="H498" s="42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67"/>
      <c r="I499" s="67"/>
      <c r="J499" s="165"/>
    </row>
    <row r="500" spans="1:10" s="1" customFormat="1" ht="15.9" customHeight="1">
      <c r="A500" s="27"/>
      <c r="B500" s="33"/>
      <c r="C500" s="33"/>
      <c r="D500" s="161"/>
      <c r="E500" s="109"/>
      <c r="F500" s="109"/>
      <c r="G500" s="109"/>
      <c r="H500" s="38"/>
      <c r="I500" s="38"/>
      <c r="J500" s="109"/>
    </row>
    <row r="501" spans="1:10" s="1" customFormat="1" ht="15.9" customHeight="1">
      <c r="A501" s="27"/>
      <c r="B501" s="33"/>
      <c r="C501" s="33"/>
      <c r="D501" s="161"/>
      <c r="E501" s="109"/>
      <c r="F501" s="109"/>
      <c r="G501" s="109"/>
      <c r="H501" s="109"/>
      <c r="I501" s="24"/>
      <c r="J501" s="24"/>
    </row>
    <row r="502" spans="1:10" s="1" customFormat="1" ht="15.9" customHeight="1">
      <c r="A502" s="27"/>
      <c r="B502" s="33"/>
      <c r="C502" s="33"/>
      <c r="D502" s="161"/>
      <c r="E502" s="109"/>
      <c r="F502" s="109"/>
      <c r="G502" s="109"/>
      <c r="H502" s="109"/>
      <c r="I502" s="24"/>
      <c r="J502" s="24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109"/>
      <c r="I503" s="24"/>
      <c r="J503" s="24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109"/>
      <c r="I504" s="109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109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109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109"/>
      <c r="J512" s="24"/>
    </row>
    <row r="513" spans="1:21" s="1" customFormat="1" ht="15.9" customHeight="1">
      <c r="A513" s="27"/>
      <c r="B513" s="33"/>
      <c r="C513" s="33"/>
      <c r="D513" s="161"/>
      <c r="E513" s="109"/>
      <c r="F513" s="109"/>
      <c r="G513" s="109"/>
      <c r="H513" s="109"/>
      <c r="I513" s="109"/>
      <c r="J513" s="24"/>
    </row>
    <row r="514" spans="1:21" s="1" customFormat="1" ht="15.9" customHeight="1">
      <c r="A514" s="27"/>
      <c r="B514" s="33"/>
      <c r="C514" s="33"/>
      <c r="D514" s="161"/>
      <c r="E514" s="109"/>
      <c r="F514" s="109"/>
      <c r="G514" s="109"/>
      <c r="H514" s="66"/>
      <c r="I514" s="43"/>
      <c r="J514" s="107"/>
    </row>
    <row r="515" spans="1:21" s="1" customFormat="1" ht="15.9" customHeight="1">
      <c r="A515" s="44"/>
      <c r="B515" s="44"/>
      <c r="C515" s="44"/>
      <c r="D515" s="84"/>
      <c r="E515" s="44"/>
      <c r="F515" s="44"/>
      <c r="G515" s="44"/>
      <c r="H515" s="44"/>
      <c r="I515" s="44"/>
      <c r="J515" s="119"/>
    </row>
    <row r="516" spans="1:21" s="1" customFormat="1" ht="15.9" customHeight="1">
      <c r="A516" s="44"/>
      <c r="B516" s="44"/>
      <c r="C516" s="44"/>
      <c r="D516" s="84"/>
      <c r="E516" s="44"/>
      <c r="F516" s="44"/>
      <c r="G516" s="44"/>
      <c r="H516" s="44"/>
      <c r="I516" s="44"/>
      <c r="J516" s="119"/>
    </row>
    <row r="517" spans="1:21" s="1" customFormat="1" ht="15.9" customHeight="1"/>
    <row r="518" spans="1:21" s="1" customFormat="1" ht="15.9" customHeight="1" thickBot="1"/>
    <row r="519" spans="1:21" s="1" customFormat="1" ht="24.9" customHeight="1" thickBot="1">
      <c r="A519" s="502" t="s">
        <v>401</v>
      </c>
      <c r="B519" s="503"/>
      <c r="C519" s="503"/>
      <c r="D519" s="503"/>
      <c r="E519" s="503"/>
      <c r="F519" s="503"/>
      <c r="G519" s="503"/>
      <c r="H519" s="503"/>
      <c r="I519" s="503"/>
      <c r="J519" s="504"/>
    </row>
    <row r="520" spans="1:21" s="1" customFormat="1" ht="35.1" customHeight="1" thickBot="1">
      <c r="A520" s="102" t="s">
        <v>2</v>
      </c>
      <c r="B520" s="103" t="s">
        <v>3</v>
      </c>
      <c r="C520" s="103" t="s">
        <v>3</v>
      </c>
      <c r="D520" s="104" t="s">
        <v>35</v>
      </c>
      <c r="E520" s="103" t="s">
        <v>5</v>
      </c>
      <c r="F520" s="339" t="s">
        <v>27</v>
      </c>
      <c r="G520" s="305"/>
      <c r="H520" s="104" t="s">
        <v>27</v>
      </c>
      <c r="I520" s="104" t="s">
        <v>26</v>
      </c>
      <c r="J520" s="115" t="s">
        <v>6</v>
      </c>
      <c r="N520" s="249" t="s">
        <v>3</v>
      </c>
      <c r="O520" s="249" t="s">
        <v>3</v>
      </c>
      <c r="Q520" s="300"/>
      <c r="R520" s="301"/>
      <c r="S520" s="300"/>
      <c r="T520" s="301"/>
      <c r="U520" s="301"/>
    </row>
    <row r="521" spans="1:21" s="1" customFormat="1" ht="15.9" customHeight="1">
      <c r="A521" s="123">
        <f>IF(C521="","",1)</f>
        <v>1</v>
      </c>
      <c r="B521" s="121" t="str">
        <f>IF($D$127=5,N521,IF($D$127=6,N522,IF($D$127=8,N523,IF($D$127=10,N524,IF($D$127=12,N525,IF($D$127=14,N526,IF($D$127=18,N527,IF($D$127=20,N528,IF($D$127=22,N529,)))))))))</f>
        <v>กระจก 6 mm (สูง) (กว้าง)</v>
      </c>
      <c r="C521" s="121" t="str">
        <f>IF($D$127=5,O521,IF($D$127=6,O522,IF($D$127=8,O523,IF($D$127=10,O524,IF($D$127=12,O525,IF($D$127=14,O526,IF($D$127=18,O527,IF($D$127=20,O528,IF($D$127=22,O529,)))))))))</f>
        <v>GLASS thk.6 mm (H) (W)</v>
      </c>
      <c r="D521" s="124">
        <f>$J$123-215</f>
        <v>385</v>
      </c>
      <c r="E521" s="123" t="s">
        <v>11</v>
      </c>
      <c r="F521" s="527" t="s">
        <v>271</v>
      </c>
      <c r="G521" s="528"/>
      <c r="H521" s="123" t="s">
        <v>402</v>
      </c>
      <c r="I521" s="124">
        <f>(($J$126-182-(113.25*2))/3)-13</f>
        <v>117.5</v>
      </c>
      <c r="J521" s="151">
        <f>$J$120*3</f>
        <v>3</v>
      </c>
      <c r="M521" s="1">
        <f>ROW()</f>
        <v>521</v>
      </c>
      <c r="N521" s="19" t="s">
        <v>194</v>
      </c>
      <c r="O521" s="19" t="s">
        <v>195</v>
      </c>
      <c r="Q521" s="17"/>
      <c r="R521" s="302"/>
      <c r="S521" s="289"/>
      <c r="T521" s="17"/>
      <c r="U521" s="303"/>
    </row>
    <row r="522" spans="1:21" s="1" customFormat="1" ht="15.9" customHeight="1">
      <c r="A522" s="238"/>
      <c r="B522" s="295"/>
      <c r="C522" s="295"/>
      <c r="D522" s="357"/>
      <c r="E522" s="238"/>
      <c r="F522" s="337"/>
      <c r="G522" s="338"/>
      <c r="H522" s="238"/>
      <c r="I522" s="298"/>
      <c r="J522" s="299"/>
      <c r="M522" s="1">
        <f>ROW()</f>
        <v>522</v>
      </c>
      <c r="N522" s="19" t="s">
        <v>53</v>
      </c>
      <c r="O522" s="19" t="s">
        <v>54</v>
      </c>
      <c r="Q522" s="17"/>
      <c r="R522" s="302"/>
      <c r="S522" s="289"/>
      <c r="T522" s="17"/>
      <c r="U522" s="303"/>
    </row>
    <row r="523" spans="1:21" s="1" customFormat="1" ht="15.9" customHeight="1">
      <c r="A523" s="152"/>
      <c r="B523" s="127"/>
      <c r="C523" s="295"/>
      <c r="D523" s="296" t="s">
        <v>0</v>
      </c>
      <c r="E523" s="238"/>
      <c r="F523" s="251"/>
      <c r="G523" s="297"/>
      <c r="H523" s="295"/>
      <c r="I523" s="298"/>
      <c r="J523" s="153"/>
      <c r="M523" s="1">
        <f>ROW()</f>
        <v>523</v>
      </c>
      <c r="N523" s="19" t="s">
        <v>257</v>
      </c>
      <c r="O523" s="19" t="s">
        <v>258</v>
      </c>
      <c r="Q523" s="17"/>
      <c r="R523" s="302"/>
      <c r="S523" s="289"/>
      <c r="T523" s="17"/>
      <c r="U523" s="303"/>
    </row>
    <row r="524" spans="1:21" s="1" customFormat="1" ht="15.9" customHeight="1">
      <c r="A524" s="152"/>
      <c r="B524" s="127"/>
      <c r="C524" s="127"/>
      <c r="D524" s="128"/>
      <c r="E524" s="129"/>
      <c r="F524" s="155"/>
      <c r="G524" s="156"/>
      <c r="H524" s="129"/>
      <c r="I524" s="130"/>
      <c r="J524" s="153"/>
      <c r="M524" s="1">
        <f>ROW()</f>
        <v>524</v>
      </c>
      <c r="N524" s="19" t="s">
        <v>259</v>
      </c>
      <c r="O524" s="19" t="s">
        <v>265</v>
      </c>
    </row>
    <row r="525" spans="1:21" s="1" customFormat="1" ht="15.9" customHeight="1">
      <c r="A525" s="135" t="str">
        <f>IF(B525="","",+A523+1)</f>
        <v/>
      </c>
      <c r="B525" s="133"/>
      <c r="C525" s="133"/>
      <c r="D525" s="134"/>
      <c r="E525" s="135"/>
      <c r="F525" s="158"/>
      <c r="G525" s="159"/>
      <c r="H525" s="135"/>
      <c r="I525" s="145"/>
      <c r="J525" s="136"/>
      <c r="M525" s="1">
        <f>ROW()</f>
        <v>525</v>
      </c>
      <c r="N525" s="19" t="s">
        <v>260</v>
      </c>
      <c r="O525" s="19" t="s">
        <v>266</v>
      </c>
    </row>
    <row r="526" spans="1:21">
      <c r="A526" s="344"/>
      <c r="B526" s="344"/>
      <c r="C526" s="344"/>
      <c r="D526" s="345"/>
      <c r="E526" s="344"/>
      <c r="F526" s="344"/>
      <c r="G526" s="344"/>
      <c r="H526" s="344"/>
      <c r="I526" s="344"/>
      <c r="J526" s="99" t="str">
        <f>LEFT($J$111,10)&amp;"-05"</f>
        <v>FG-240-3PL-05</v>
      </c>
      <c r="M526" s="1">
        <f>ROW()</f>
        <v>526</v>
      </c>
      <c r="N526" s="19" t="s">
        <v>261</v>
      </c>
      <c r="O526" s="19" t="s">
        <v>267</v>
      </c>
    </row>
    <row r="527" spans="1:21">
      <c r="M527" s="1">
        <f>ROW()</f>
        <v>527</v>
      </c>
      <c r="N527" s="19" t="s">
        <v>262</v>
      </c>
      <c r="O527" s="19" t="s">
        <v>268</v>
      </c>
    </row>
    <row r="528" spans="1:21">
      <c r="M528" s="1">
        <f>ROW()</f>
        <v>528</v>
      </c>
      <c r="N528" s="19" t="s">
        <v>263</v>
      </c>
      <c r="O528" s="19" t="s">
        <v>269</v>
      </c>
    </row>
    <row r="529" spans="13:15">
      <c r="M529" s="1">
        <f>ROW()</f>
        <v>529</v>
      </c>
      <c r="N529" s="19" t="s">
        <v>264</v>
      </c>
      <c r="O529" s="19" t="s">
        <v>270</v>
      </c>
    </row>
  </sheetData>
  <dataConsolidate function="product">
    <dataRefs count="1">
      <dataRef ref="O154:O162" sheet="240_2Panel(L)" r:id="rId1"/>
    </dataRefs>
  </dataConsolidate>
  <mergeCells count="43">
    <mergeCell ref="D167:D171"/>
    <mergeCell ref="D165:D166"/>
    <mergeCell ref="D172:D173"/>
    <mergeCell ref="H172:H173"/>
    <mergeCell ref="H167:H171"/>
    <mergeCell ref="H165:H166"/>
    <mergeCell ref="A426:J426"/>
    <mergeCell ref="A519:J519"/>
    <mergeCell ref="F521:G521"/>
    <mergeCell ref="A174:J174"/>
    <mergeCell ref="A6:J6"/>
    <mergeCell ref="H120:I121"/>
    <mergeCell ref="J120:J121"/>
    <mergeCell ref="A117:J117"/>
    <mergeCell ref="A212:J212"/>
    <mergeCell ref="H123:I124"/>
    <mergeCell ref="J123:J124"/>
    <mergeCell ref="A125:B125"/>
    <mergeCell ref="H126:I127"/>
    <mergeCell ref="J126:J127"/>
    <mergeCell ref="I166:J169"/>
    <mergeCell ref="D127:G127"/>
    <mergeCell ref="I158:J158"/>
    <mergeCell ref="I159:J159"/>
    <mergeCell ref="I160:J160"/>
    <mergeCell ref="I161:J161"/>
    <mergeCell ref="I162:J162"/>
    <mergeCell ref="D119:G119"/>
    <mergeCell ref="F332:G332"/>
    <mergeCell ref="F329:G329"/>
    <mergeCell ref="A319:J319"/>
    <mergeCell ref="I170:J171"/>
    <mergeCell ref="I172:J172"/>
    <mergeCell ref="I173:J173"/>
    <mergeCell ref="D125:G125"/>
    <mergeCell ref="D123:G123"/>
    <mergeCell ref="D121:G121"/>
    <mergeCell ref="D129:G129"/>
    <mergeCell ref="D163:D164"/>
    <mergeCell ref="H163:H164"/>
    <mergeCell ref="I163:J164"/>
    <mergeCell ref="I165:J165"/>
    <mergeCell ref="A131:J131"/>
  </mergeCells>
  <dataValidations count="3">
    <dataValidation type="list" allowBlank="1" showInputMessage="1" showErrorMessage="1" sqref="D127:G127">
      <formula1>$N$120:$N$128</formula1>
    </dataValidation>
    <dataValidation type="list" allowBlank="1" showInputMessage="1" showErrorMessage="1" sqref="D129:G129">
      <formula1>$O$120</formula1>
    </dataValidation>
    <dataValidation type="list" allowBlank="1" showInputMessage="1" showErrorMessage="1" sqref="D123:G123">
      <formula1>$P$119:$P$128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4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6" max="9" man="1"/>
    <brk id="313" max="16383" man="1"/>
    <brk id="420" max="9" man="1"/>
  </rowBreaks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tabColor theme="5" tint="-0.249977111117893"/>
  </sheetPr>
  <dimension ref="A1:AJ529"/>
  <sheetViews>
    <sheetView showGridLines="0" tabSelected="1" view="pageBreakPreview" topLeftCell="A106" zoomScale="75" zoomScaleNormal="75" zoomScaleSheetLayoutView="75" workbookViewId="0">
      <selection activeCell="J128" sqref="J128"/>
    </sheetView>
  </sheetViews>
  <sheetFormatPr defaultRowHeight="14.4" outlineLevelRow="1" outlineLevelCol="1"/>
  <cols>
    <col min="1" max="1" width="7" customWidth="1"/>
    <col min="2" max="2" width="40.6640625" customWidth="1"/>
    <col min="3" max="3" width="61.3320312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6.6640625" customWidth="1"/>
    <col min="9" max="9" width="11.109375" bestFit="1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3.4414062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182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182"/>
      <c r="E3" s="182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105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>
      <c r="G45" s="10"/>
    </row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/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328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182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182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5.6">
      <c r="A118" s="12"/>
      <c r="C118" s="8"/>
      <c r="D118" s="15"/>
      <c r="E118" s="13"/>
      <c r="J118" s="181"/>
      <c r="K118" s="11"/>
      <c r="L118" s="56"/>
      <c r="M118" s="56"/>
      <c r="N118" s="56"/>
    </row>
    <row r="119" spans="1:16" s="1" customFormat="1" ht="15" customHeight="1">
      <c r="A119" s="12"/>
      <c r="C119" s="110" t="s">
        <v>635</v>
      </c>
      <c r="D119" s="524" t="s">
        <v>683</v>
      </c>
      <c r="E119" s="525"/>
      <c r="F119" s="525"/>
      <c r="G119" s="526"/>
      <c r="I119" s="16"/>
      <c r="J119" s="12"/>
      <c r="N119" s="247" t="s">
        <v>191</v>
      </c>
      <c r="O119" s="12" t="s">
        <v>227</v>
      </c>
      <c r="P119" s="247" t="s">
        <v>16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7">
        <v>5</v>
      </c>
      <c r="O120" s="12" t="s">
        <v>243</v>
      </c>
      <c r="P120" s="335" t="s">
        <v>389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8">
        <v>6</v>
      </c>
      <c r="O121" s="12" t="s">
        <v>244</v>
      </c>
      <c r="P121" s="336" t="s">
        <v>390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8">
        <v>8</v>
      </c>
      <c r="O122" s="12"/>
      <c r="P122" s="336" t="s">
        <v>391</v>
      </c>
    </row>
    <row r="123" spans="1:16" s="1" customFormat="1" ht="15" customHeight="1">
      <c r="A123" s="12"/>
      <c r="C123" s="110" t="s">
        <v>629</v>
      </c>
      <c r="D123" s="524" t="s">
        <v>390</v>
      </c>
      <c r="E123" s="525"/>
      <c r="F123" s="525"/>
      <c r="G123" s="526"/>
      <c r="H123" s="519" t="s">
        <v>638</v>
      </c>
      <c r="I123" s="520"/>
      <c r="J123" s="517">
        <v>2550</v>
      </c>
      <c r="N123" s="248">
        <v>10</v>
      </c>
      <c r="O123" s="12"/>
      <c r="P123" s="336" t="s">
        <v>392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8">
        <v>12</v>
      </c>
      <c r="O124" s="12"/>
      <c r="P124" s="335" t="s">
        <v>393</v>
      </c>
    </row>
    <row r="125" spans="1:16" s="1" customFormat="1" ht="15" customHeight="1">
      <c r="A125" s="532"/>
      <c r="B125" s="532"/>
      <c r="C125" s="111" t="s">
        <v>630</v>
      </c>
      <c r="D125" s="524" t="s">
        <v>663</v>
      </c>
      <c r="E125" s="525"/>
      <c r="F125" s="525"/>
      <c r="G125" s="526"/>
      <c r="H125" s="41"/>
      <c r="I125" s="41"/>
      <c r="J125" s="12"/>
      <c r="K125" s="180"/>
      <c r="L125" s="77"/>
      <c r="N125" s="248">
        <v>14</v>
      </c>
      <c r="O125" s="12"/>
      <c r="P125" s="335" t="s">
        <v>394</v>
      </c>
    </row>
    <row r="126" spans="1:16" s="1" customFormat="1" ht="15" customHeight="1">
      <c r="A126" s="181"/>
      <c r="B126" s="181"/>
      <c r="C126" s="423" t="s">
        <v>631</v>
      </c>
      <c r="D126" s="15"/>
      <c r="H126" s="519" t="s">
        <v>639</v>
      </c>
      <c r="I126" s="520"/>
      <c r="J126" s="517">
        <v>2470</v>
      </c>
      <c r="K126" s="180"/>
      <c r="L126" s="77"/>
      <c r="N126" s="248">
        <v>18</v>
      </c>
      <c r="O126" s="12"/>
      <c r="P126" s="335" t="s">
        <v>395</v>
      </c>
    </row>
    <row r="127" spans="1:16" s="1" customFormat="1" ht="15" customHeight="1">
      <c r="A127" s="181"/>
      <c r="B127" s="181"/>
      <c r="C127" s="110" t="s">
        <v>633</v>
      </c>
      <c r="D127" s="534">
        <v>6</v>
      </c>
      <c r="E127" s="535"/>
      <c r="F127" s="535"/>
      <c r="G127" s="536"/>
      <c r="H127" s="520"/>
      <c r="I127" s="520"/>
      <c r="J127" s="518"/>
      <c r="N127" s="248">
        <v>20</v>
      </c>
      <c r="O127" s="12"/>
      <c r="P127" s="335" t="s">
        <v>396</v>
      </c>
    </row>
    <row r="128" spans="1:16" s="1" customFormat="1" ht="18.75" customHeight="1">
      <c r="C128" s="423" t="s">
        <v>632</v>
      </c>
      <c r="I128" s="12"/>
      <c r="J128" s="12"/>
      <c r="N128" s="248">
        <v>22</v>
      </c>
      <c r="O128" s="12"/>
      <c r="P128" s="335" t="s">
        <v>397</v>
      </c>
    </row>
    <row r="129" spans="1:23" s="1" customFormat="1" ht="15" customHeight="1">
      <c r="A129" s="88" t="str">
        <f>A18</f>
        <v>240-3 Panel (R)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23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2410</v>
      </c>
      <c r="J133" s="125">
        <f t="shared" ref="J133:J148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6</v>
      </c>
      <c r="U133" s="283" t="s">
        <v>291</v>
      </c>
      <c r="V133" s="307">
        <f>($J$126-182-(113.25*2))/3</f>
        <v>687.16666666666663</v>
      </c>
      <c r="W133" s="286">
        <f>$J$121*T133</f>
        <v>0</v>
      </c>
    </row>
    <row r="134" spans="1:23" s="1" customFormat="1" ht="18" customHeight="1">
      <c r="A134" s="129">
        <f t="shared" ref="A134:A151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2384</v>
      </c>
      <c r="J134" s="131">
        <f t="shared" si="0"/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6</v>
      </c>
      <c r="U134" s="129" t="s">
        <v>291</v>
      </c>
      <c r="V134" s="307">
        <f t="shared" ref="V134:V135" si="2">($J$126-182-(113.25*2))/3</f>
        <v>687.16666666666663</v>
      </c>
      <c r="W134" s="131">
        <f t="shared" ref="W134:W135" si="3">$J$121*T134</f>
        <v>0</v>
      </c>
    </row>
    <row r="135" spans="1:23" s="1" customFormat="1" ht="18" customHeight="1">
      <c r="A135" s="129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2410</v>
      </c>
      <c r="J135" s="131">
        <f t="shared" si="0"/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6</v>
      </c>
      <c r="U135" s="135" t="s">
        <v>291</v>
      </c>
      <c r="V135" s="307">
        <f t="shared" si="2"/>
        <v>687.16666666666663</v>
      </c>
      <c r="W135" s="293">
        <f t="shared" si="3"/>
        <v>0</v>
      </c>
    </row>
    <row r="136" spans="1:23" s="1" customFormat="1" ht="18" customHeight="1">
      <c r="A136" s="129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2410</v>
      </c>
      <c r="J136" s="131">
        <f t="shared" si="0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6</v>
      </c>
      <c r="U136" s="283" t="s">
        <v>64</v>
      </c>
      <c r="V136" s="307">
        <f>$J$123-242</f>
        <v>2308</v>
      </c>
      <c r="W136" s="286">
        <f>$J$121*T136</f>
        <v>0</v>
      </c>
    </row>
    <row r="137" spans="1:23" s="1" customFormat="1" ht="18" customHeight="1">
      <c r="A137" s="129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508</v>
      </c>
      <c r="G137" s="143">
        <v>1</v>
      </c>
      <c r="H137" s="143" t="s">
        <v>61</v>
      </c>
      <c r="I137" s="130">
        <f>$J$123</f>
        <v>2550</v>
      </c>
      <c r="J137" s="131">
        <f t="shared" si="0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6</v>
      </c>
      <c r="U137" s="129" t="s">
        <v>64</v>
      </c>
      <c r="V137" s="178">
        <f>$J$123-242</f>
        <v>2308</v>
      </c>
      <c r="W137" s="131">
        <f t="shared" ref="W137:W138" si="4">$J$121*T137</f>
        <v>0</v>
      </c>
    </row>
    <row r="138" spans="1:23" s="1" customFormat="1" ht="18" customHeight="1">
      <c r="A138" s="129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2550</v>
      </c>
      <c r="J138" s="131">
        <f t="shared" si="0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6</v>
      </c>
      <c r="U138" s="135" t="s">
        <v>64</v>
      </c>
      <c r="V138" s="308">
        <f>$J$123-242</f>
        <v>2308</v>
      </c>
      <c r="W138" s="293">
        <f t="shared" si="4"/>
        <v>0</v>
      </c>
    </row>
    <row r="139" spans="1:23" s="1" customFormat="1" ht="18" customHeight="1">
      <c r="A139" s="129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2454</v>
      </c>
      <c r="J139" s="131">
        <f t="shared" si="0"/>
        <v>1</v>
      </c>
      <c r="N139" s="98"/>
    </row>
    <row r="140" spans="1:23" s="1" customFormat="1" ht="18" customHeight="1">
      <c r="A140" s="129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2454</v>
      </c>
      <c r="J140" s="131">
        <f t="shared" ref="J140" si="5">$J$120*G140</f>
        <v>1</v>
      </c>
      <c r="N140" s="98"/>
    </row>
    <row r="141" spans="1:23" s="1" customFormat="1" ht="18" customHeight="1">
      <c r="A141" s="129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3</v>
      </c>
      <c r="H141" s="143" t="s">
        <v>291</v>
      </c>
      <c r="I141" s="178">
        <f>($J$126-182-(113.25*2))/3</f>
        <v>687.16666666666663</v>
      </c>
      <c r="J141" s="131">
        <f t="shared" ref="J141:J147" si="6">$J$120*G141</f>
        <v>3</v>
      </c>
      <c r="N141" s="98"/>
    </row>
    <row r="142" spans="1:23" s="1" customFormat="1" ht="18" customHeight="1">
      <c r="A142" s="129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3</v>
      </c>
      <c r="H142" s="143" t="s">
        <v>291</v>
      </c>
      <c r="I142" s="178">
        <f>($J$126-182-(113.25*2))/3</f>
        <v>687.16666666666663</v>
      </c>
      <c r="J142" s="131">
        <f t="shared" si="6"/>
        <v>3</v>
      </c>
      <c r="N142" s="98"/>
    </row>
    <row r="143" spans="1:23" s="1" customFormat="1" ht="18" customHeight="1">
      <c r="A143" s="129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4</v>
      </c>
      <c r="H143" s="143" t="s">
        <v>63</v>
      </c>
      <c r="I143" s="130">
        <f>$J$123-92</f>
        <v>2458</v>
      </c>
      <c r="J143" s="131">
        <f t="shared" si="6"/>
        <v>4</v>
      </c>
      <c r="N143" s="98"/>
    </row>
    <row r="144" spans="1:23" s="1" customFormat="1" ht="18" customHeight="1">
      <c r="A144" s="129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496</v>
      </c>
      <c r="G144" s="143">
        <v>1</v>
      </c>
      <c r="H144" s="143" t="s">
        <v>63</v>
      </c>
      <c r="I144" s="130">
        <f>$J$123-92</f>
        <v>2458</v>
      </c>
      <c r="J144" s="131">
        <f t="shared" si="6"/>
        <v>1</v>
      </c>
      <c r="N144" s="98"/>
    </row>
    <row r="145" spans="1:14" s="1" customFormat="1" ht="18" customHeight="1">
      <c r="A145" s="129">
        <f t="shared" si="1"/>
        <v>13</v>
      </c>
      <c r="B145" s="140" t="s">
        <v>116</v>
      </c>
      <c r="C145" s="140" t="s">
        <v>99</v>
      </c>
      <c r="D145" s="139" t="s">
        <v>50</v>
      </c>
      <c r="E145" s="143">
        <v>1.1060000000000001</v>
      </c>
      <c r="F145" s="139" t="s">
        <v>507</v>
      </c>
      <c r="G145" s="143">
        <v>1</v>
      </c>
      <c r="H145" s="143" t="s">
        <v>63</v>
      </c>
      <c r="I145" s="130">
        <f>$J$123-92</f>
        <v>2458</v>
      </c>
      <c r="J145" s="131">
        <f t="shared" si="6"/>
        <v>1</v>
      </c>
      <c r="N145" s="98"/>
    </row>
    <row r="146" spans="1:14" s="1" customFormat="1" ht="18" customHeight="1">
      <c r="A146" s="129">
        <f t="shared" si="1"/>
        <v>14</v>
      </c>
      <c r="B146" s="127" t="str">
        <f t="shared" ref="B146:I146" si="7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27" t="str">
        <f t="shared" si="7"/>
        <v>5-6mm GLAZING BEAD HORIZONTAL</v>
      </c>
      <c r="D146" s="140" t="str">
        <f t="shared" si="7"/>
        <v>B24008</v>
      </c>
      <c r="E146" s="140">
        <f t="shared" si="7"/>
        <v>0.23100000000000001</v>
      </c>
      <c r="F146" s="140" t="str">
        <f t="shared" si="7"/>
        <v>B24008-001</v>
      </c>
      <c r="G146" s="129">
        <f t="shared" si="7"/>
        <v>6</v>
      </c>
      <c r="H146" s="129" t="str">
        <f t="shared" si="7"/>
        <v>(W-182-(113.25 × 2))/3</v>
      </c>
      <c r="I146" s="178">
        <f t="shared" si="7"/>
        <v>687.16666666666663</v>
      </c>
      <c r="J146" s="131">
        <f t="shared" si="6"/>
        <v>6</v>
      </c>
      <c r="N146" s="98"/>
    </row>
    <row r="147" spans="1:14" s="1" customFormat="1" ht="18" customHeight="1">
      <c r="A147" s="129">
        <f t="shared" si="1"/>
        <v>15</v>
      </c>
      <c r="B147" s="127" t="str">
        <f t="shared" ref="B147:I147" si="8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27" t="str">
        <f t="shared" si="8"/>
        <v>5-6mm GLAZING BEAD VERTICAL</v>
      </c>
      <c r="D147" s="127" t="str">
        <f t="shared" si="8"/>
        <v>B24008</v>
      </c>
      <c r="E147" s="127">
        <f t="shared" si="8"/>
        <v>0.23100000000000001</v>
      </c>
      <c r="F147" s="127" t="str">
        <f t="shared" si="8"/>
        <v>B24008-002</v>
      </c>
      <c r="G147" s="129">
        <f t="shared" si="8"/>
        <v>6</v>
      </c>
      <c r="H147" s="129" t="str">
        <f t="shared" si="8"/>
        <v>H-242</v>
      </c>
      <c r="I147" s="144">
        <f t="shared" si="8"/>
        <v>2308</v>
      </c>
      <c r="J147" s="131">
        <f t="shared" si="6"/>
        <v>6</v>
      </c>
      <c r="N147" s="98"/>
    </row>
    <row r="148" spans="1:14" s="1" customFormat="1" ht="18" customHeight="1">
      <c r="A148" s="129" t="str">
        <f t="shared" si="1"/>
        <v/>
      </c>
      <c r="B148" s="127"/>
      <c r="C148" s="127"/>
      <c r="D148" s="128"/>
      <c r="E148" s="129"/>
      <c r="F148" s="128"/>
      <c r="G148" s="129"/>
      <c r="H148" s="129"/>
      <c r="I148" s="130"/>
      <c r="J148" s="131">
        <f t="shared" si="0"/>
        <v>0</v>
      </c>
      <c r="N148" s="98"/>
    </row>
    <row r="149" spans="1:14" s="1" customFormat="1" ht="18" customHeight="1">
      <c r="A149" s="129" t="str">
        <f t="shared" si="1"/>
        <v/>
      </c>
      <c r="B149" s="127"/>
      <c r="C149" s="127"/>
      <c r="D149" s="128"/>
      <c r="E149" s="129"/>
      <c r="F149" s="128"/>
      <c r="G149" s="129"/>
      <c r="H149" s="129"/>
      <c r="I149" s="130"/>
      <c r="J149" s="131"/>
      <c r="N149" s="98"/>
    </row>
    <row r="150" spans="1:14" s="1" customFormat="1" ht="18" customHeight="1">
      <c r="A150" s="129" t="str">
        <f t="shared" si="1"/>
        <v/>
      </c>
      <c r="B150" s="127"/>
      <c r="C150" s="127"/>
      <c r="D150" s="128"/>
      <c r="E150" s="129"/>
      <c r="F150" s="128"/>
      <c r="G150" s="129"/>
      <c r="H150" s="129"/>
      <c r="I150" s="130"/>
      <c r="J150" s="131"/>
      <c r="N150" s="98"/>
    </row>
    <row r="151" spans="1:14" s="1" customFormat="1" ht="18" customHeight="1">
      <c r="A151" s="129" t="str">
        <f t="shared" si="1"/>
        <v/>
      </c>
      <c r="B151" s="127"/>
      <c r="C151" s="127"/>
      <c r="D151" s="128"/>
      <c r="E151" s="129"/>
      <c r="F151" s="128"/>
      <c r="G151" s="129"/>
      <c r="H151" s="129"/>
      <c r="I151" s="130"/>
      <c r="J151" s="131"/>
      <c r="N151" s="98"/>
    </row>
    <row r="152" spans="1:14" s="1" customFormat="1" ht="18" customHeight="1" thickBot="1">
      <c r="A152" s="129" t="str">
        <f>IF(B152="","",+#REF!+1)</f>
        <v/>
      </c>
      <c r="B152" s="167"/>
      <c r="C152" s="167"/>
      <c r="D152" s="168"/>
      <c r="E152" s="166"/>
      <c r="F152" s="168"/>
      <c r="G152" s="166"/>
      <c r="H152" s="166"/>
      <c r="I152" s="171"/>
      <c r="J152" s="172">
        <f>$J$120*G152</f>
        <v>0</v>
      </c>
    </row>
    <row r="153" spans="1:14" s="1" customFormat="1" ht="27" outlineLevel="1" thickBot="1">
      <c r="A153" s="169" t="s">
        <v>2</v>
      </c>
      <c r="B153" s="169" t="s">
        <v>29</v>
      </c>
      <c r="C153" s="169" t="s">
        <v>3</v>
      </c>
      <c r="D153" s="169" t="s">
        <v>4</v>
      </c>
      <c r="E153" s="169" t="s">
        <v>5</v>
      </c>
      <c r="F153" s="177" t="s">
        <v>85</v>
      </c>
      <c r="G153" s="169" t="s">
        <v>22</v>
      </c>
      <c r="H153" s="170" t="s">
        <v>23</v>
      </c>
      <c r="I153" s="540"/>
      <c r="J153" s="541"/>
    </row>
    <row r="154" spans="1:14" s="1" customFormat="1" ht="15" customHeight="1" outlineLevel="1">
      <c r="A154" s="21">
        <f>IF(B154="","",1)</f>
        <v>1</v>
      </c>
      <c r="B154" s="173" t="str">
        <f t="shared" ref="B154:C160" si="9">B133</f>
        <v>เฟรมบน</v>
      </c>
      <c r="C154" s="173" t="str">
        <f t="shared" si="9"/>
        <v>HEAD</v>
      </c>
      <c r="D154" s="174" t="str">
        <f>VLOOKUP(C154,$C$133:$H$152,2,0)</f>
        <v>B24001</v>
      </c>
      <c r="E154" s="175">
        <f t="shared" ref="E154:E160" si="10">VLOOKUP(C154,$C$133:$H$152,3,0)</f>
        <v>1.603</v>
      </c>
      <c r="F154" s="175">
        <f>VLOOKUP(C154,$C$133:$J$152,7,0)</f>
        <v>2410</v>
      </c>
      <c r="G154" s="175">
        <f t="shared" ref="G154:G160" si="11">VLOOKUP(C154,$C$133:$J$152,8,0)</f>
        <v>1</v>
      </c>
      <c r="H154" s="176">
        <f>ROUNDUP((F154*G154)/6400,0)</f>
        <v>1</v>
      </c>
      <c r="I154" s="500"/>
      <c r="J154" s="501"/>
    </row>
    <row r="155" spans="1:14" s="1" customFormat="1" ht="15" customHeight="1" outlineLevel="1">
      <c r="A155" s="18">
        <f t="shared" ref="A155:A160" si="12">IF(B155="","",+A154+1)</f>
        <v>2</v>
      </c>
      <c r="B155" s="173" t="str">
        <f t="shared" ref="B155:B160" si="13">B134</f>
        <v>บังใบบน</v>
      </c>
      <c r="C155" s="173" t="str">
        <f t="shared" si="9"/>
        <v>DOOR STOP HEAD</v>
      </c>
      <c r="D155" s="174" t="str">
        <f>VLOOKUP(C155,$C$133:$H$152,2,0)</f>
        <v>B24002</v>
      </c>
      <c r="E155" s="175">
        <f t="shared" si="10"/>
        <v>0.27800000000000002</v>
      </c>
      <c r="F155" s="175">
        <f t="shared" ref="F155:F160" si="14">VLOOKUP(C155,$C$133:$I$152,7,0)</f>
        <v>2384</v>
      </c>
      <c r="G155" s="175">
        <f t="shared" si="11"/>
        <v>1</v>
      </c>
      <c r="H155" s="176">
        <f>ROUNDUP((F155*G155)/6400,0)</f>
        <v>1</v>
      </c>
      <c r="I155" s="500"/>
      <c r="J155" s="501"/>
    </row>
    <row r="156" spans="1:14" s="1" customFormat="1" ht="15" customHeight="1" outlineLevel="1">
      <c r="A156" s="18">
        <f t="shared" si="12"/>
        <v>3</v>
      </c>
      <c r="B156" s="173" t="str">
        <f t="shared" si="13"/>
        <v xml:space="preserve">เฟรมล่าง </v>
      </c>
      <c r="C156" s="173" t="str">
        <f t="shared" si="9"/>
        <v>SILL</v>
      </c>
      <c r="D156" s="174" t="str">
        <f>VLOOKUP(C156,$C$133:$H$152,2,0)</f>
        <v>B24003</v>
      </c>
      <c r="E156" s="175">
        <f t="shared" si="10"/>
        <v>1.603</v>
      </c>
      <c r="F156" s="175">
        <f t="shared" si="14"/>
        <v>2410</v>
      </c>
      <c r="G156" s="175">
        <f t="shared" si="11"/>
        <v>1</v>
      </c>
      <c r="H156" s="176">
        <f t="shared" ref="H156:H157" si="15">ROUNDUP((F156*G156)/6400,0)</f>
        <v>1</v>
      </c>
      <c r="I156" s="500"/>
      <c r="J156" s="501"/>
    </row>
    <row r="157" spans="1:14" s="1" customFormat="1" ht="15" customHeight="1" outlineLevel="1">
      <c r="A157" s="18">
        <f t="shared" si="12"/>
        <v>4</v>
      </c>
      <c r="B157" s="173" t="str">
        <f t="shared" si="13"/>
        <v>ตัวตับธรณี</v>
      </c>
      <c r="C157" s="173" t="str">
        <f t="shared" si="9"/>
        <v>DOOR STOP SILL</v>
      </c>
      <c r="D157" s="174" t="str">
        <f>VLOOKUP(C157,$C$133:$H$152,2,0)</f>
        <v>B24004</v>
      </c>
      <c r="E157" s="175">
        <f t="shared" si="10"/>
        <v>0.51600000000000001</v>
      </c>
      <c r="F157" s="175">
        <f t="shared" si="14"/>
        <v>2410</v>
      </c>
      <c r="G157" s="175">
        <f t="shared" si="11"/>
        <v>1</v>
      </c>
      <c r="H157" s="176">
        <f t="shared" si="15"/>
        <v>1</v>
      </c>
      <c r="I157" s="500"/>
      <c r="J157" s="501"/>
    </row>
    <row r="158" spans="1:14" s="1" customFormat="1" ht="15" customHeight="1" outlineLevel="1">
      <c r="A158" s="18">
        <f t="shared" si="12"/>
        <v>5</v>
      </c>
      <c r="B158" s="173" t="str">
        <f t="shared" si="13"/>
        <v>เฟรมข้าง (ซ้าย)</v>
      </c>
      <c r="C158" s="173" t="str">
        <f t="shared" si="9"/>
        <v>JAMB (L)</v>
      </c>
      <c r="D158" s="508" t="str">
        <f>VLOOKUP(C158,$C$133:$H$152,2,0)</f>
        <v>B24005</v>
      </c>
      <c r="E158" s="175">
        <f t="shared" si="10"/>
        <v>0.89300000000000002</v>
      </c>
      <c r="F158" s="175">
        <f t="shared" si="14"/>
        <v>2550</v>
      </c>
      <c r="G158" s="175">
        <f t="shared" si="11"/>
        <v>1</v>
      </c>
      <c r="H158" s="516">
        <f>ROUNDUP(((F158*G158)+(F159*G159))/6400,0)</f>
        <v>1</v>
      </c>
      <c r="I158" s="506"/>
      <c r="J158" s="506"/>
    </row>
    <row r="159" spans="1:14" s="1" customFormat="1" ht="15" customHeight="1" outlineLevel="1">
      <c r="A159" s="18">
        <f t="shared" si="12"/>
        <v>6</v>
      </c>
      <c r="B159" s="173" t="str">
        <f t="shared" si="13"/>
        <v>เฟรมข้าง (ขวา)</v>
      </c>
      <c r="C159" s="173" t="str">
        <f t="shared" si="9"/>
        <v>JAMB (R)</v>
      </c>
      <c r="D159" s="509"/>
      <c r="E159" s="175">
        <f t="shared" si="10"/>
        <v>0.89300000000000002</v>
      </c>
      <c r="F159" s="175">
        <f t="shared" si="14"/>
        <v>2550</v>
      </c>
      <c r="G159" s="175">
        <f t="shared" si="11"/>
        <v>1</v>
      </c>
      <c r="H159" s="516"/>
      <c r="I159" s="506"/>
      <c r="J159" s="506"/>
    </row>
    <row r="160" spans="1:14" s="1" customFormat="1" ht="15" customHeight="1" outlineLevel="1">
      <c r="A160" s="18">
        <f t="shared" si="12"/>
        <v>7</v>
      </c>
      <c r="B160" s="173" t="str">
        <f t="shared" si="13"/>
        <v>บังใบข้าง (ซ้าย)</v>
      </c>
      <c r="C160" s="173" t="str">
        <f t="shared" si="9"/>
        <v>DOOR STOP JAMB (L)</v>
      </c>
      <c r="D160" s="508" t="str">
        <f>VLOOKUP(C160,$C$133:$H$152,2,0)</f>
        <v>B24006</v>
      </c>
      <c r="E160" s="175">
        <f t="shared" si="10"/>
        <v>0.23499999999999999</v>
      </c>
      <c r="F160" s="175">
        <f t="shared" si="14"/>
        <v>2454</v>
      </c>
      <c r="G160" s="175">
        <f t="shared" si="11"/>
        <v>1</v>
      </c>
      <c r="H160" s="516">
        <f>ROUNDUP(((F160*G160)+(F161*G161))/6400,0)</f>
        <v>1</v>
      </c>
      <c r="I160" s="500"/>
      <c r="J160" s="501"/>
    </row>
    <row r="161" spans="1:36" s="1" customFormat="1" ht="15" customHeight="1" outlineLevel="1">
      <c r="A161" s="18">
        <f t="shared" ref="A161:A168" si="16">IF(B161="","",+A160+1)</f>
        <v>8</v>
      </c>
      <c r="B161" s="173" t="str">
        <f t="shared" ref="B161:C161" si="17">B140</f>
        <v>บังใบข้าง (ขวา)</v>
      </c>
      <c r="C161" s="173" t="str">
        <f t="shared" si="17"/>
        <v>DOOR STOP JAMB (R)</v>
      </c>
      <c r="D161" s="509"/>
      <c r="E161" s="175">
        <f t="shared" ref="E161:E168" si="18">VLOOKUP(C161,$C$133:$H$152,3,0)</f>
        <v>0.23499999999999999</v>
      </c>
      <c r="F161" s="175">
        <f t="shared" ref="F161:F168" si="19">VLOOKUP(C161,$C$133:$I$152,7,0)</f>
        <v>2454</v>
      </c>
      <c r="G161" s="175">
        <f t="shared" ref="G161:G168" si="20">VLOOKUP(C161,$C$133:$J$152,8,0)</f>
        <v>1</v>
      </c>
      <c r="H161" s="516"/>
      <c r="I161" s="533"/>
      <c r="J161" s="506"/>
    </row>
    <row r="162" spans="1:36" s="1" customFormat="1" ht="13.8" outlineLevel="1">
      <c r="A162" s="18">
        <f t="shared" si="16"/>
        <v>9</v>
      </c>
      <c r="B162" s="173" t="str">
        <f t="shared" ref="B162:C162" si="21">B141</f>
        <v>ขวางบน</v>
      </c>
      <c r="C162" s="173" t="str">
        <f t="shared" si="21"/>
        <v>SASH (Hor) (T)</v>
      </c>
      <c r="D162" s="508" t="str">
        <f t="shared" ref="D162:D167" si="22">VLOOKUP(C162,$C$133:$H$152,2,0)</f>
        <v>B24007</v>
      </c>
      <c r="E162" s="175">
        <f t="shared" si="18"/>
        <v>1.1060000000000001</v>
      </c>
      <c r="F162" s="175">
        <f t="shared" si="19"/>
        <v>687.16666666666663</v>
      </c>
      <c r="G162" s="175">
        <f t="shared" si="20"/>
        <v>3</v>
      </c>
      <c r="H162" s="512">
        <f>ROUNDUP(((F162*G162)+(F163*G163)+(F164*G164)+(F165*G165)+(F166*G166))/6400,0)</f>
        <v>3</v>
      </c>
      <c r="I162" s="533"/>
      <c r="J162" s="506"/>
    </row>
    <row r="163" spans="1:36" s="1" customFormat="1" ht="13.8" outlineLevel="1">
      <c r="A163" s="18">
        <f t="shared" si="16"/>
        <v>10</v>
      </c>
      <c r="B163" s="173" t="str">
        <f t="shared" ref="B163:C163" si="23">B142</f>
        <v>ขวางล่าง</v>
      </c>
      <c r="C163" s="173" t="str">
        <f t="shared" si="23"/>
        <v>SASH (Hor) (B)</v>
      </c>
      <c r="D163" s="510"/>
      <c r="E163" s="175">
        <f t="shared" si="18"/>
        <v>1.1060000000000001</v>
      </c>
      <c r="F163" s="175">
        <f t="shared" si="19"/>
        <v>687.16666666666663</v>
      </c>
      <c r="G163" s="175">
        <f t="shared" si="20"/>
        <v>3</v>
      </c>
      <c r="H163" s="514"/>
      <c r="I163" s="533"/>
      <c r="J163" s="506"/>
    </row>
    <row r="164" spans="1:36" s="1" customFormat="1" ht="13.8" outlineLevel="1">
      <c r="A164" s="18">
        <f t="shared" si="16"/>
        <v>11</v>
      </c>
      <c r="B164" s="173" t="str">
        <f t="shared" ref="B164:C164" si="24">B143</f>
        <v>เสา</v>
      </c>
      <c r="C164" s="173" t="str">
        <f t="shared" si="24"/>
        <v xml:space="preserve">SASH (Ver) </v>
      </c>
      <c r="D164" s="510"/>
      <c r="E164" s="175">
        <f t="shared" si="18"/>
        <v>1.1060000000000001</v>
      </c>
      <c r="F164" s="175">
        <f t="shared" si="19"/>
        <v>2458</v>
      </c>
      <c r="G164" s="175">
        <f t="shared" si="20"/>
        <v>4</v>
      </c>
      <c r="H164" s="514"/>
      <c r="I164" s="533"/>
      <c r="J164" s="506"/>
    </row>
    <row r="165" spans="1:36" s="1" customFormat="1" ht="13.8" outlineLevel="1">
      <c r="A165" s="18">
        <f t="shared" si="16"/>
        <v>12</v>
      </c>
      <c r="B165" s="173" t="str">
        <f t="shared" ref="B165:C165" si="25">B144</f>
        <v>เสากุญแจ</v>
      </c>
      <c r="C165" s="173" t="str">
        <f t="shared" si="25"/>
        <v xml:space="preserve">SASH (Ver) LOCK </v>
      </c>
      <c r="D165" s="510"/>
      <c r="E165" s="175">
        <f t="shared" si="18"/>
        <v>1.1060000000000001</v>
      </c>
      <c r="F165" s="175">
        <f t="shared" si="19"/>
        <v>2458</v>
      </c>
      <c r="G165" s="175">
        <f t="shared" si="20"/>
        <v>1</v>
      </c>
      <c r="H165" s="514"/>
      <c r="I165" s="533"/>
      <c r="J165" s="506"/>
    </row>
    <row r="166" spans="1:36" s="1" customFormat="1" ht="13.8" outlineLevel="1">
      <c r="A166" s="18">
        <f t="shared" si="16"/>
        <v>13</v>
      </c>
      <c r="B166" s="173" t="str">
        <f t="shared" ref="B166:C166" si="26">B145</f>
        <v>เสากุญแจมือจับ</v>
      </c>
      <c r="C166" s="173" t="str">
        <f t="shared" si="26"/>
        <v>SASH (Ver) LOCK HANDLE</v>
      </c>
      <c r="D166" s="509"/>
      <c r="E166" s="175">
        <f t="shared" si="18"/>
        <v>1.1060000000000001</v>
      </c>
      <c r="F166" s="175">
        <f t="shared" si="19"/>
        <v>2458</v>
      </c>
      <c r="G166" s="175">
        <f t="shared" si="20"/>
        <v>1</v>
      </c>
      <c r="H166" s="515"/>
      <c r="I166" s="533"/>
      <c r="J166" s="506"/>
    </row>
    <row r="167" spans="1:36" s="1" customFormat="1" ht="13.8" outlineLevel="1">
      <c r="A167" s="18">
        <f t="shared" si="16"/>
        <v>14</v>
      </c>
      <c r="B167" s="173" t="str">
        <f t="shared" ref="B167:C167" si="27">B146</f>
        <v>5-6mm คิ้วตบกระจกแนวนอน</v>
      </c>
      <c r="C167" s="173" t="str">
        <f t="shared" si="27"/>
        <v>5-6mm GLAZING BEAD HORIZONTAL</v>
      </c>
      <c r="D167" s="508" t="str">
        <f t="shared" si="22"/>
        <v>B24008</v>
      </c>
      <c r="E167" s="175">
        <f t="shared" si="18"/>
        <v>0.23100000000000001</v>
      </c>
      <c r="F167" s="175">
        <f t="shared" si="19"/>
        <v>687.16666666666663</v>
      </c>
      <c r="G167" s="175">
        <f t="shared" si="20"/>
        <v>6</v>
      </c>
      <c r="H167" s="516">
        <f>ROUNDUP(((F167*G167)+(F168*G168))/6400,0)</f>
        <v>3</v>
      </c>
      <c r="I167" s="500"/>
      <c r="J167" s="501"/>
    </row>
    <row r="168" spans="1:36" s="23" customFormat="1" ht="15" customHeight="1" outlineLevel="1" thickBot="1">
      <c r="A168" s="18">
        <f t="shared" si="16"/>
        <v>15</v>
      </c>
      <c r="B168" s="173" t="str">
        <f t="shared" ref="B168:C168" si="28">B147</f>
        <v>5-6mm คิ้วตบกระจกแนวตั้ง</v>
      </c>
      <c r="C168" s="173" t="str">
        <f t="shared" si="28"/>
        <v>5-6mm GLAZING BEAD VERTICAL</v>
      </c>
      <c r="D168" s="511"/>
      <c r="E168" s="175">
        <f t="shared" si="18"/>
        <v>0.23100000000000001</v>
      </c>
      <c r="F168" s="175">
        <f t="shared" si="19"/>
        <v>2308</v>
      </c>
      <c r="G168" s="175">
        <f t="shared" si="20"/>
        <v>6</v>
      </c>
      <c r="H168" s="516"/>
      <c r="I168" s="500"/>
      <c r="J168" s="50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s="1" customFormat="1" ht="24.9" customHeight="1" thickBot="1">
      <c r="A169" s="529" t="s">
        <v>9</v>
      </c>
      <c r="B169" s="530"/>
      <c r="C169" s="530"/>
      <c r="D169" s="530"/>
      <c r="E169" s="530"/>
      <c r="F169" s="530"/>
      <c r="G169" s="530"/>
      <c r="H169" s="530"/>
      <c r="I169" s="530"/>
      <c r="J169" s="531"/>
    </row>
    <row r="170" spans="1:36" s="1" customFormat="1" ht="35.1" customHeight="1" thickBot="1">
      <c r="A170" s="102" t="s">
        <v>2</v>
      </c>
      <c r="B170" s="103" t="s">
        <v>29</v>
      </c>
      <c r="C170" s="103" t="s">
        <v>3</v>
      </c>
      <c r="D170" s="103" t="s">
        <v>199</v>
      </c>
      <c r="E170" s="103" t="s">
        <v>5</v>
      </c>
      <c r="F170" s="104" t="s">
        <v>28</v>
      </c>
      <c r="G170" s="103" t="s">
        <v>19</v>
      </c>
      <c r="H170" s="104" t="s">
        <v>200</v>
      </c>
      <c r="I170" s="104" t="s">
        <v>20</v>
      </c>
      <c r="J170" s="115" t="s">
        <v>201</v>
      </c>
      <c r="N170" s="101" t="s">
        <v>191</v>
      </c>
      <c r="O170" s="246" t="s">
        <v>29</v>
      </c>
      <c r="P170" s="246" t="s">
        <v>3</v>
      </c>
      <c r="Q170" s="246" t="s">
        <v>199</v>
      </c>
      <c r="R170" s="246" t="s">
        <v>5</v>
      </c>
      <c r="S170" s="246" t="s">
        <v>28</v>
      </c>
      <c r="T170" s="246" t="s">
        <v>19</v>
      </c>
      <c r="U170" s="246" t="s">
        <v>200</v>
      </c>
      <c r="V170" s="246" t="s">
        <v>20</v>
      </c>
      <c r="W170" s="246" t="s">
        <v>201</v>
      </c>
    </row>
    <row r="171" spans="1:36" s="1" customFormat="1" ht="18" customHeight="1">
      <c r="A171" s="120">
        <f>IF(B171="","",1)</f>
        <v>1</v>
      </c>
      <c r="B171" s="140" t="s">
        <v>110</v>
      </c>
      <c r="C171" s="140" t="s">
        <v>66</v>
      </c>
      <c r="D171" s="139" t="s">
        <v>73</v>
      </c>
      <c r="E171" s="143"/>
      <c r="F171" s="143" t="s">
        <v>73</v>
      </c>
      <c r="G171" s="239" t="s">
        <v>202</v>
      </c>
      <c r="H171" s="143">
        <v>1</v>
      </c>
      <c r="I171" s="130"/>
      <c r="J171" s="131">
        <f>$J$120*H171</f>
        <v>1</v>
      </c>
      <c r="N171" s="101" t="s">
        <v>226</v>
      </c>
      <c r="O171" s="280" t="s">
        <v>252</v>
      </c>
      <c r="P171" s="290" t="s">
        <v>248</v>
      </c>
      <c r="Q171" s="280" t="s">
        <v>69</v>
      </c>
      <c r="R171" s="213"/>
      <c r="S171" s="213" t="s">
        <v>69</v>
      </c>
      <c r="T171" s="213" t="s">
        <v>198</v>
      </c>
      <c r="U171" s="291">
        <f>((($I$141*$G$141)+($I$142*$G$142)+($I$143*$G$143)+($I$144*$G$144))/1000)*$J$120</f>
        <v>16.413</v>
      </c>
      <c r="V171" s="291">
        <v>100</v>
      </c>
      <c r="W171" s="292">
        <f>ROUNDUP((U171)/100,0)</f>
        <v>1</v>
      </c>
    </row>
    <row r="172" spans="1:36" s="1" customFormat="1" ht="18" customHeight="1">
      <c r="A172" s="126">
        <f>IF(B172="","",+A171+1)</f>
        <v>2</v>
      </c>
      <c r="B172" s="140" t="s">
        <v>111</v>
      </c>
      <c r="C172" s="140" t="s">
        <v>67</v>
      </c>
      <c r="D172" s="139" t="s">
        <v>74</v>
      </c>
      <c r="E172" s="143"/>
      <c r="F172" s="143" t="s">
        <v>74</v>
      </c>
      <c r="G172" s="143" t="s">
        <v>202</v>
      </c>
      <c r="H172" s="143">
        <v>6</v>
      </c>
      <c r="I172" s="130"/>
      <c r="J172" s="131">
        <f t="shared" ref="J172:J183" si="29">$J$120*H172</f>
        <v>6</v>
      </c>
      <c r="N172" s="101" t="s">
        <v>230</v>
      </c>
      <c r="O172" s="280" t="s">
        <v>253</v>
      </c>
      <c r="P172" s="290" t="s">
        <v>249</v>
      </c>
      <c r="Q172" s="280" t="s">
        <v>188</v>
      </c>
      <c r="R172" s="213"/>
      <c r="S172" s="213" t="s">
        <v>188</v>
      </c>
      <c r="T172" s="213" t="s">
        <v>198</v>
      </c>
      <c r="U172" s="291">
        <f>((($I$141*$G$141)+($I$142*$G$142)+($I$143*$G$143)+($I$144*$G$144))/1000)*$J$120</f>
        <v>16.413</v>
      </c>
      <c r="V172" s="291">
        <v>100</v>
      </c>
      <c r="W172" s="292">
        <f t="shared" ref="W172:W174" si="30">ROUNDUP((U172)/100,0)</f>
        <v>1</v>
      </c>
    </row>
    <row r="173" spans="1:36" s="1" customFormat="1" ht="18" customHeight="1">
      <c r="A173" s="126">
        <f t="shared" ref="A173:A189" si="31">IF(B173="","",+A172+1)</f>
        <v>3</v>
      </c>
      <c r="B173" s="140" t="s">
        <v>106</v>
      </c>
      <c r="C173" s="140" t="s">
        <v>503</v>
      </c>
      <c r="D173" s="139" t="s">
        <v>75</v>
      </c>
      <c r="E173" s="143"/>
      <c r="F173" s="143" t="s">
        <v>75</v>
      </c>
      <c r="G173" s="143" t="s">
        <v>202</v>
      </c>
      <c r="H173" s="143">
        <v>2</v>
      </c>
      <c r="I173" s="130"/>
      <c r="J173" s="131">
        <f t="shared" si="29"/>
        <v>2</v>
      </c>
      <c r="N173" s="101" t="s">
        <v>229</v>
      </c>
      <c r="O173" s="290" t="s">
        <v>254</v>
      </c>
      <c r="P173" s="290" t="s">
        <v>250</v>
      </c>
      <c r="Q173" s="280" t="s">
        <v>70</v>
      </c>
      <c r="R173" s="213"/>
      <c r="S173" s="213" t="s">
        <v>70</v>
      </c>
      <c r="T173" s="213" t="s">
        <v>198</v>
      </c>
      <c r="U173" s="291">
        <f>((($I$141*$G$141)+($I$142*$G$142)+($I$143*$G$143)+($I$144*$G$144))/1000)*$J$120</f>
        <v>16.413</v>
      </c>
      <c r="V173" s="291">
        <v>100</v>
      </c>
      <c r="W173" s="292">
        <f t="shared" si="30"/>
        <v>1</v>
      </c>
    </row>
    <row r="174" spans="1:36" s="1" customFormat="1" ht="18" customHeight="1">
      <c r="A174" s="126">
        <f t="shared" si="31"/>
        <v>4</v>
      </c>
      <c r="B174" s="140" t="s">
        <v>107</v>
      </c>
      <c r="C174" s="140" t="s">
        <v>504</v>
      </c>
      <c r="D174" s="139" t="s">
        <v>76</v>
      </c>
      <c r="E174" s="143"/>
      <c r="F174" s="143" t="s">
        <v>76</v>
      </c>
      <c r="G174" s="143" t="s">
        <v>202</v>
      </c>
      <c r="H174" s="143">
        <v>2</v>
      </c>
      <c r="I174" s="130"/>
      <c r="J174" s="131">
        <f t="shared" si="29"/>
        <v>2</v>
      </c>
      <c r="N174" s="101" t="s">
        <v>231</v>
      </c>
      <c r="O174" s="290" t="s">
        <v>255</v>
      </c>
      <c r="P174" s="290" t="s">
        <v>251</v>
      </c>
      <c r="Q174" s="280" t="s">
        <v>189</v>
      </c>
      <c r="R174" s="213"/>
      <c r="S174" s="213" t="s">
        <v>189</v>
      </c>
      <c r="T174" s="213" t="s">
        <v>198</v>
      </c>
      <c r="U174" s="291">
        <f>((($I$141*$G$141)+($I$142*$G$142)+($I$143*$G$143)+($I$144*$G$144))/1000)*$J$120</f>
        <v>16.413</v>
      </c>
      <c r="V174" s="291">
        <v>100</v>
      </c>
      <c r="W174" s="292">
        <f t="shared" si="30"/>
        <v>1</v>
      </c>
    </row>
    <row r="175" spans="1:36" s="1" customFormat="1" ht="18" customHeight="1">
      <c r="A175" s="126">
        <f t="shared" si="31"/>
        <v>5</v>
      </c>
      <c r="B175" s="140" t="s">
        <v>108</v>
      </c>
      <c r="C175" s="140" t="s">
        <v>10</v>
      </c>
      <c r="D175" s="139">
        <v>9</v>
      </c>
      <c r="E175" s="143"/>
      <c r="F175" s="143">
        <v>9</v>
      </c>
      <c r="G175" s="143" t="s">
        <v>202</v>
      </c>
      <c r="H175" s="143">
        <v>24</v>
      </c>
      <c r="I175" s="130"/>
      <c r="J175" s="131">
        <f t="shared" si="29"/>
        <v>24</v>
      </c>
      <c r="N175" s="101" t="s">
        <v>232</v>
      </c>
      <c r="O175" s="290" t="s">
        <v>256</v>
      </c>
      <c r="P175" s="290" t="s">
        <v>247</v>
      </c>
      <c r="Q175" s="280" t="s">
        <v>233</v>
      </c>
      <c r="R175" s="213"/>
      <c r="S175" s="213" t="s">
        <v>233</v>
      </c>
      <c r="T175" s="213" t="s">
        <v>198</v>
      </c>
      <c r="U175" s="291">
        <f>((($I$141*$G$141)+($I$142*$G$142)+($I$143*$G$143)+($I$144*$G$144))/1000)*$J$120</f>
        <v>16.413</v>
      </c>
      <c r="V175" s="291">
        <v>100</v>
      </c>
      <c r="W175" s="292">
        <f>ROUNDUP((U175)/100,0)</f>
        <v>1</v>
      </c>
    </row>
    <row r="176" spans="1:36" s="1" customFormat="1" ht="18" customHeight="1">
      <c r="A176" s="126">
        <f t="shared" si="31"/>
        <v>6</v>
      </c>
      <c r="B176" s="140" t="s">
        <v>109</v>
      </c>
      <c r="C176" s="140" t="s">
        <v>68</v>
      </c>
      <c r="D176" s="139">
        <v>9</v>
      </c>
      <c r="E176" s="143"/>
      <c r="F176" s="143">
        <v>9</v>
      </c>
      <c r="G176" s="143" t="s">
        <v>202</v>
      </c>
      <c r="H176" s="143">
        <v>48</v>
      </c>
      <c r="I176" s="130"/>
      <c r="J176" s="131">
        <f t="shared" si="29"/>
        <v>48</v>
      </c>
    </row>
    <row r="177" spans="1:36" s="1" customFormat="1" ht="18" customHeight="1">
      <c r="A177" s="126">
        <f t="shared" si="31"/>
        <v>7</v>
      </c>
      <c r="B177" s="140" t="s">
        <v>120</v>
      </c>
      <c r="C177" s="140" t="s">
        <v>94</v>
      </c>
      <c r="D177" s="139" t="s">
        <v>96</v>
      </c>
      <c r="E177" s="143"/>
      <c r="F177" s="143" t="s">
        <v>96</v>
      </c>
      <c r="G177" s="143" t="s">
        <v>185</v>
      </c>
      <c r="H177" s="143">
        <v>1</v>
      </c>
      <c r="I177" s="130"/>
      <c r="J177" s="131">
        <f t="shared" si="29"/>
        <v>1</v>
      </c>
    </row>
    <row r="178" spans="1:36" s="1" customFormat="1" ht="18" customHeight="1">
      <c r="A178" s="126">
        <f t="shared" si="31"/>
        <v>8</v>
      </c>
      <c r="B178" s="140" t="s">
        <v>131</v>
      </c>
      <c r="C178" s="140" t="s">
        <v>100</v>
      </c>
      <c r="D178" s="139" t="s">
        <v>102</v>
      </c>
      <c r="E178" s="143"/>
      <c r="F178" s="143" t="s">
        <v>102</v>
      </c>
      <c r="G178" s="143" t="s">
        <v>185</v>
      </c>
      <c r="H178" s="143">
        <v>1</v>
      </c>
      <c r="I178" s="130"/>
      <c r="J178" s="131">
        <f t="shared" si="29"/>
        <v>1</v>
      </c>
    </row>
    <row r="179" spans="1:36" s="1" customFormat="1" ht="18" customHeight="1">
      <c r="A179" s="126">
        <f t="shared" si="31"/>
        <v>9</v>
      </c>
      <c r="B179" s="140" t="s">
        <v>143</v>
      </c>
      <c r="C179" s="140" t="s">
        <v>121</v>
      </c>
      <c r="D179" s="139" t="s">
        <v>103</v>
      </c>
      <c r="E179" s="143"/>
      <c r="F179" s="143" t="s">
        <v>103</v>
      </c>
      <c r="G179" s="143" t="s">
        <v>185</v>
      </c>
      <c r="H179" s="143">
        <v>1</v>
      </c>
      <c r="I179" s="130"/>
      <c r="J179" s="131">
        <f t="shared" si="29"/>
        <v>1</v>
      </c>
    </row>
    <row r="180" spans="1:36" s="1" customFormat="1" ht="18" customHeight="1">
      <c r="A180" s="126">
        <f t="shared" si="31"/>
        <v>10</v>
      </c>
      <c r="B180" s="140" t="s">
        <v>113</v>
      </c>
      <c r="C180" s="140" t="s">
        <v>502</v>
      </c>
      <c r="D180" s="139" t="s">
        <v>83</v>
      </c>
      <c r="E180" s="143"/>
      <c r="F180" s="143" t="s">
        <v>83</v>
      </c>
      <c r="G180" s="143" t="s">
        <v>185</v>
      </c>
      <c r="H180" s="143">
        <v>1</v>
      </c>
      <c r="I180" s="130"/>
      <c r="J180" s="131">
        <f t="shared" si="29"/>
        <v>1</v>
      </c>
      <c r="N180" s="56"/>
      <c r="O180" s="56"/>
      <c r="P180" s="56"/>
      <c r="Q180" s="289"/>
      <c r="R180" s="289"/>
      <c r="S180" s="289"/>
      <c r="T180" s="17"/>
      <c r="U180" s="17"/>
      <c r="V180" s="17"/>
      <c r="W180" s="56"/>
    </row>
    <row r="181" spans="1:36" s="1" customFormat="1" ht="18" customHeight="1">
      <c r="A181" s="126">
        <f t="shared" si="31"/>
        <v>11</v>
      </c>
      <c r="B181" s="140" t="s">
        <v>122</v>
      </c>
      <c r="C181" s="140" t="s">
        <v>101</v>
      </c>
      <c r="D181" s="139" t="s">
        <v>104</v>
      </c>
      <c r="E181" s="143"/>
      <c r="F181" s="143" t="s">
        <v>104</v>
      </c>
      <c r="G181" s="143" t="s">
        <v>185</v>
      </c>
      <c r="H181" s="143">
        <v>1</v>
      </c>
      <c r="I181" s="144"/>
      <c r="J181" s="131">
        <f t="shared" si="29"/>
        <v>1</v>
      </c>
      <c r="N181" s="101" t="s">
        <v>227</v>
      </c>
      <c r="O181" s="246" t="s">
        <v>29</v>
      </c>
      <c r="P181" s="246" t="s">
        <v>3</v>
      </c>
      <c r="Q181" s="246" t="s">
        <v>199</v>
      </c>
      <c r="R181" s="246" t="s">
        <v>5</v>
      </c>
      <c r="S181" s="246" t="s">
        <v>28</v>
      </c>
      <c r="T181" s="246" t="s">
        <v>19</v>
      </c>
      <c r="U181" s="246" t="s">
        <v>200</v>
      </c>
      <c r="V181" s="246" t="s">
        <v>20</v>
      </c>
      <c r="W181" s="246" t="s">
        <v>201</v>
      </c>
    </row>
    <row r="182" spans="1:36" s="1" customFormat="1" ht="18" customHeight="1">
      <c r="A182" s="126">
        <f t="shared" si="31"/>
        <v>12</v>
      </c>
      <c r="B182" s="140" t="s">
        <v>112</v>
      </c>
      <c r="C182" s="140" t="s">
        <v>114</v>
      </c>
      <c r="D182" s="128" t="s">
        <v>520</v>
      </c>
      <c r="E182" s="129"/>
      <c r="F182" s="129" t="s">
        <v>520</v>
      </c>
      <c r="G182" s="143" t="s">
        <v>202</v>
      </c>
      <c r="H182" s="143">
        <v>2</v>
      </c>
      <c r="I182" s="144"/>
      <c r="J182" s="131">
        <f t="shared" si="29"/>
        <v>2</v>
      </c>
      <c r="N182" s="101" t="s">
        <v>240</v>
      </c>
      <c r="O182" s="290" t="s">
        <v>234</v>
      </c>
      <c r="P182" s="290" t="s">
        <v>236</v>
      </c>
      <c r="Q182" s="280" t="s">
        <v>190</v>
      </c>
      <c r="R182" s="213"/>
      <c r="S182" s="213" t="s">
        <v>190</v>
      </c>
      <c r="T182" s="213" t="s">
        <v>198</v>
      </c>
      <c r="U182" s="291">
        <f>((($I$134*$G$134)+($I$136*$G$136)+($I$139*$G$139))/1000)*$J$120</f>
        <v>7.2480000000000002</v>
      </c>
      <c r="V182" s="291">
        <v>300</v>
      </c>
      <c r="W182" s="292">
        <f>ROUNDUP((U182)/V182,0)</f>
        <v>1</v>
      </c>
    </row>
    <row r="183" spans="1:36" s="1" customFormat="1" ht="18" customHeight="1">
      <c r="A183" s="126">
        <f t="shared" si="31"/>
        <v>13</v>
      </c>
      <c r="B183" s="140" t="s">
        <v>115</v>
      </c>
      <c r="C183" s="140" t="s">
        <v>45</v>
      </c>
      <c r="D183" s="139" t="s">
        <v>84</v>
      </c>
      <c r="E183" s="143"/>
      <c r="F183" s="143" t="s">
        <v>84</v>
      </c>
      <c r="G183" s="143" t="s">
        <v>202</v>
      </c>
      <c r="H183" s="143">
        <v>1</v>
      </c>
      <c r="I183" s="144"/>
      <c r="J183" s="131">
        <f t="shared" si="29"/>
        <v>1</v>
      </c>
      <c r="N183" s="101" t="s">
        <v>241</v>
      </c>
      <c r="O183" s="290" t="s">
        <v>235</v>
      </c>
      <c r="P183" s="290" t="s">
        <v>238</v>
      </c>
      <c r="Q183" s="280" t="s">
        <v>71</v>
      </c>
      <c r="R183" s="213"/>
      <c r="S183" s="213" t="s">
        <v>71</v>
      </c>
      <c r="T183" s="213" t="s">
        <v>198</v>
      </c>
      <c r="U183" s="291">
        <f>((($I$134*$G$134)+($I$136*$G$136)+($I$139*$G$139))/1000)*$J$120</f>
        <v>7.2480000000000002</v>
      </c>
      <c r="V183" s="291">
        <v>100</v>
      </c>
      <c r="W183" s="292">
        <f t="shared" ref="W183:W185" si="32">ROUNDUP((U183)/V183,0)</f>
        <v>1</v>
      </c>
    </row>
    <row r="184" spans="1:36" s="1" customFormat="1" ht="18" customHeight="1">
      <c r="A184" s="126">
        <f t="shared" si="31"/>
        <v>14</v>
      </c>
      <c r="B184" s="139" t="str">
        <f>IF($D$129="Standard",$O$182,IF($D$129="Soumdproof",$O$183,))</f>
        <v>ยางเฟรมกันน้ำ (ธรรมดา)</v>
      </c>
      <c r="C184" s="139" t="str">
        <f>IF($D$129="Standard",$P$182,IF($D$129="Soumdproof",$P$183,))</f>
        <v>FRAME SEAL (Standard)</v>
      </c>
      <c r="D184" s="139" t="str">
        <f>IF($D$129="Standard",$Q$182,IF($D$129="Soumdproof",$Q$183,))</f>
        <v>02-026</v>
      </c>
      <c r="E184" s="143">
        <f t="shared" ref="E184" si="33">IF($D$129="Standard",R183,IF($D$129="Soumdproof",R184,))</f>
        <v>0</v>
      </c>
      <c r="F184" s="143" t="str">
        <f>IF($D$129="Standard",$S$182,IF($D$129="Soumdproof",$S$183,))</f>
        <v>02-026</v>
      </c>
      <c r="G184" s="143" t="str">
        <f>IF($D$129="Standard",$T$182,IF($D$129="Soumdproof",$T$183,))</f>
        <v>M</v>
      </c>
      <c r="H184" s="261">
        <f>IF($D$129="Standard",$U$182,IF($D$129="Soumdproof",$U$183,))</f>
        <v>7.2480000000000002</v>
      </c>
      <c r="I184" s="258">
        <f>IF($D$129="Standard",$V$182,IF($D$129="Soumdproof",$V$183,))</f>
        <v>300</v>
      </c>
      <c r="J184" s="267">
        <f>ROUNDUP((H184)/100,0)</f>
        <v>1</v>
      </c>
      <c r="N184" s="101" t="s">
        <v>240</v>
      </c>
      <c r="O184" s="290" t="s">
        <v>245</v>
      </c>
      <c r="P184" s="290" t="s">
        <v>237</v>
      </c>
      <c r="Q184" s="280" t="s">
        <v>72</v>
      </c>
      <c r="R184" s="213"/>
      <c r="S184" s="213" t="s">
        <v>72</v>
      </c>
      <c r="T184" s="213" t="s">
        <v>198</v>
      </c>
      <c r="U184" s="291">
        <f>((($I$143*$G$143*2)+($I$144*$G$144*2)+($I$141*$G$141*2))/1000)*$J$120</f>
        <v>28.702999999999999</v>
      </c>
      <c r="V184" s="291">
        <v>350</v>
      </c>
      <c r="W184" s="292">
        <f t="shared" si="32"/>
        <v>1</v>
      </c>
    </row>
    <row r="185" spans="1:36" s="1" customFormat="1" ht="18" customHeight="1">
      <c r="A185" s="126">
        <f t="shared" si="31"/>
        <v>15</v>
      </c>
      <c r="B185" s="139" t="str">
        <f>IF($D$129="Standard",$O$184,IF($D$129="Soumdproof",$O$185,))</f>
        <v>ยางแซชกันน้ำ (ธรรมดา)</v>
      </c>
      <c r="C185" s="139" t="str">
        <f>IF($D$129="Standard",$P$184,IF($D$129="Soumdproof",$P$185,))</f>
        <v>SASH SEAL FOAM (Standard)</v>
      </c>
      <c r="D185" s="139" t="str">
        <f>IF($D$129="Standard",$Q$184,IF($D$129="Soumdproof",$Q$185,))</f>
        <v>02-031</v>
      </c>
      <c r="E185" s="143">
        <f t="shared" ref="E185" si="34">IF($D$129="Standard",R185,IF($D$129="Soumdproof",R186,))</f>
        <v>0</v>
      </c>
      <c r="F185" s="143" t="str">
        <f>IF($D$129="Standard",$S$184,IF($D$129="Soumdproof",$S$185,))</f>
        <v>02-031</v>
      </c>
      <c r="G185" s="143" t="str">
        <f>IF($D$129="Standard",$T$184,IF($D$129="Soumdproof",$T$185,))</f>
        <v>M</v>
      </c>
      <c r="H185" s="261">
        <f>IF($D$129="Standard",$U$184,IF($D$129="Soumdproof",$U$185,))</f>
        <v>28.702999999999999</v>
      </c>
      <c r="I185" s="258">
        <f>IF($D$129="Standard",$V$184,IF($D$129="Soumdproof",$V$185,))</f>
        <v>350</v>
      </c>
      <c r="J185" s="267">
        <f>ROUNDUP((H185)/100,0)</f>
        <v>1</v>
      </c>
      <c r="N185" s="101" t="s">
        <v>241</v>
      </c>
      <c r="O185" s="290" t="s">
        <v>246</v>
      </c>
      <c r="P185" s="290" t="s">
        <v>239</v>
      </c>
      <c r="Q185" s="280" t="s">
        <v>193</v>
      </c>
      <c r="R185" s="213"/>
      <c r="S185" s="213" t="s">
        <v>193</v>
      </c>
      <c r="T185" s="213" t="s">
        <v>198</v>
      </c>
      <c r="U185" s="291">
        <f>((($I$143*$G$143*2)+($I$144*$G$144*2)+($I$141*$G$141*2))/1000)*$J$120</f>
        <v>28.702999999999999</v>
      </c>
      <c r="V185" s="291">
        <v>100</v>
      </c>
      <c r="W185" s="292">
        <f t="shared" si="32"/>
        <v>1</v>
      </c>
    </row>
    <row r="186" spans="1:36" s="1" customFormat="1" ht="18" customHeight="1">
      <c r="A186" s="126">
        <f t="shared" si="31"/>
        <v>16</v>
      </c>
      <c r="B186" s="241" t="str">
        <f>IF($D$127=5,$O$173,IF($D$127=6,$O$174,IF($D$127=8,$O$175,IF($D$127=10,$O$173,IF($D$127=12,$O$173,IF($D$127=14,$O$175,IF($D$127=18,$O$173,IF($D$127=20,$O$174,IF($D$127=22,"")))))))))</f>
        <v>6,20 mm ยางอัดกระจก</v>
      </c>
      <c r="C186" s="241" t="str">
        <f>IF($D$127=5,$P$173,IF($D$127=6,$P$174,IF($D$127=8,$P$175,IF($D$127=10,$P$173,IF($D$127=12,$P$173,IF($D$127=14,$P$175,IF($D$127=18,$P$173,IF($D$127=20,$P$174,IF($D$127=22,"")))))))))</f>
        <v>6,20 mm ROLL IN WEDGE</v>
      </c>
      <c r="D186" s="241" t="str">
        <f>IF($D$127=5,$Q$173,IF($D$127=6,$Q$174,IF($D$127=8,$Q$175,IF($D$127=10,$Q$173,IF($D$127=12,$Q$173,IF($D$127=14,$Q$175,IF($D$127=18,$Q$173,IF($D$127=20,$Q$174,IF($D$127=22,"")))))))))</f>
        <v>02-034</v>
      </c>
      <c r="E186" s="241">
        <f t="shared" ref="E186" si="35">IF($D$127=5,R174,IF($D$127=6,R175,IF($D$127=8,R176,IF($D$127=10,R174,IF($D$127=12,R174,IF($D$127=14,R176,IF($D$127=18,R174,IF($D$127=20,R175,IF($D$127=22,"",)))))))))</f>
        <v>0</v>
      </c>
      <c r="F186" s="242" t="str">
        <f>IF($D$127=5,$S$173,IF($D$127=6,$S$174,IF($D$127=8,$S$175,IF($D$127=10,$S$173,IF($D$127=12,$S$173,IF($D$127=14,$S$175,IF($D$127=18,$S$173,IF($D$127=20,$S$174,IF($D$127=22,"")))))))))</f>
        <v>02-034</v>
      </c>
      <c r="G186" s="242" t="str">
        <f>IF($D$127=5,$T$173,IF($D$127=6,$T$174,IF($D$127=8,$T$175,IF($D$127=10,$T$173,IF($D$127=12,$T$173,IF($D$127=14,$T$175,IF($D$127=18,$T$173,IF($D$127=20,$T$174,IF($D$127=22,"")))))))))</f>
        <v>M</v>
      </c>
      <c r="H186" s="261">
        <f>IF($D$127=5,$U$173,IF($D$127=6,$U$174,IF($D$127=8,$U$175,IF($D$127=10,$U$173*2,IF($D$127=12,$U$173,IF($D$127=14,$U$175*2,IF($D$127=18,$U$173,IF($D$127=20,$U$174,IF($D$127=22,"")))))))))</f>
        <v>16.413</v>
      </c>
      <c r="I186" s="258">
        <f>IF($D$127=5,$V$173,IF($D$127=6,$V$174,IF($D$127=8,$V$175,IF($D$127=10,$V$173,IF($D$127=12,$V$173,IF($D$127=14,$V$175,IF($D$127=18,$V$173,IF($D$127=20,$V$174,IF($D$127=22,"")))))))))</f>
        <v>100</v>
      </c>
      <c r="J186" s="267">
        <f t="shared" ref="J186:J187" si="36">ROUNDUP((H186)/100,0)</f>
        <v>1</v>
      </c>
    </row>
    <row r="187" spans="1:36" s="1" customFormat="1" ht="18" customHeight="1">
      <c r="A187" s="126">
        <f t="shared" si="31"/>
        <v>17</v>
      </c>
      <c r="B187" s="241" t="str">
        <f>IF($D$127=5,$O$171,IF($D$127=6,$O$171,IF($D$127=8,$O$173,IF($D$127=10,"",IF($D$127=12,$O$172,IF($D$127=14,"",IF($D$127=18,$O$171,IF($D$127=20,$O$172,IF($D$127=22,"",)))))))))</f>
        <v>5,6,18 mm ยางรองกระจก</v>
      </c>
      <c r="C187" s="241" t="str">
        <f>IF($D$127=5,$P$171,IF($D$127=6,$P$171,IF($D$127=8,$P$173,IF($D$127=10,"",IF($D$127=12,$P$172,IF($D$127=14,"",IF($D$127=18,$P$171,IF($D$127=20,$P$172,IF($D$127=22,"",)))))))))</f>
        <v>5,6,18 mm CAPTIVE WEDGE</v>
      </c>
      <c r="D187" s="241" t="str">
        <f>IF($D$127=5,$Q$171,IF($D$127=6,$Q$171,IF($D$127=8,$Q$173,IF($D$127=10,"",IF($D$127=12,$Q$172,IF($D$127=14,"",IF($D$127=18,$Q$171,IF($D$127=20,$Q$172,IF($D$127=22,"",)))))))))</f>
        <v>02-022</v>
      </c>
      <c r="E187" s="241">
        <f t="shared" ref="E187" si="37">IF($D$127=5,R172,IF($D$127=6,R172,IF($D$127=8,R174,IF($D$127=10,"",IF($D$127=12,R173,IF($D$127=14,"",IF($D$127=18,R172,IF($D$127=20,R173,IF($D$127=22,"",)))))))))</f>
        <v>0</v>
      </c>
      <c r="F187" s="242" t="str">
        <f>IF($D$127=5,$S$171,IF($D$127=6,$S$171,IF($D$127=8,$S$173,IF($D$127=10,"",IF($D$127=12,$S$172,IF($D$127=14,"",IF($D$127=18,$S$171,IF($D$127=20,$S$172,IF($D$127=22,"",)))))))))</f>
        <v>02-022</v>
      </c>
      <c r="G187" s="242" t="str">
        <f>IF($D$127=5,$T$171,IF($D$127=6,$T$171,IF($D$127=8,$T$173,IF($D$127=10,"",IF($D$127=12,$T$172,IF($D$127=14,"",IF($D$127=18,$T$171,IF($D$127=20,$T$172,IF($D$127=22,"",)))))))))</f>
        <v>M</v>
      </c>
      <c r="H187" s="261">
        <f>IF($D$127=5,$U$171,IF($D$127=6,$U$171,IF($D$127=8,$U$173,IF($D$127=10,"",IF($D$127=12,$U$172,IF($D$127=14,"",IF($D$127=18,$U$171,IF($D$127=20,$U$172,IF($D$127=22,"")))))))))</f>
        <v>16.413</v>
      </c>
      <c r="I187" s="258">
        <f>IF($D$127=5,$V$171,IF($D$127=6,$V$171,IF($D$127=8,$V$173,IF($D$127=10,"",IF($D$127=12,$V$172,IF($D$127=14,"",IF($D$127=18,$V$171,IF($D$127=20,$V$172,IF($D$127=22,"",)))))))))</f>
        <v>100</v>
      </c>
      <c r="J187" s="267">
        <f t="shared" si="36"/>
        <v>1</v>
      </c>
    </row>
    <row r="188" spans="1:36" s="1" customFormat="1" ht="18" customHeight="1">
      <c r="A188" s="126" t="str">
        <f t="shared" si="31"/>
        <v/>
      </c>
      <c r="B188" s="140"/>
      <c r="C188" s="140"/>
      <c r="D188" s="139"/>
      <c r="E188" s="143"/>
      <c r="F188" s="143"/>
      <c r="G188" s="143"/>
      <c r="H188" s="143"/>
      <c r="I188" s="144"/>
      <c r="J188" s="131">
        <f t="shared" ref="J188:J189" si="38">$J$120*G188</f>
        <v>0</v>
      </c>
    </row>
    <row r="189" spans="1:36" s="1" customFormat="1" ht="18" customHeight="1">
      <c r="A189" s="126" t="str">
        <f t="shared" si="31"/>
        <v/>
      </c>
      <c r="B189" s="140"/>
      <c r="C189" s="140"/>
      <c r="D189" s="139"/>
      <c r="E189" s="143"/>
      <c r="F189" s="143"/>
      <c r="G189" s="143"/>
      <c r="H189" s="143"/>
      <c r="I189" s="130"/>
      <c r="J189" s="131">
        <f t="shared" si="38"/>
        <v>0</v>
      </c>
    </row>
    <row r="190" spans="1:36" s="1" customFormat="1" ht="18" customHeight="1">
      <c r="A190" s="126" t="str">
        <f t="shared" ref="A190:A204" si="39">IF(B190="","",+A189+1)</f>
        <v/>
      </c>
      <c r="B190" s="140"/>
      <c r="C190" s="140"/>
      <c r="D190" s="139"/>
      <c r="E190" s="143"/>
      <c r="F190" s="143"/>
      <c r="G190" s="143"/>
      <c r="H190" s="143"/>
      <c r="I190" s="130"/>
      <c r="J190" s="131">
        <f t="shared" ref="J190:J195" si="40">$J$120*G190</f>
        <v>0</v>
      </c>
    </row>
    <row r="191" spans="1:36" ht="18" customHeight="1">
      <c r="A191" s="126" t="str">
        <f t="shared" si="39"/>
        <v/>
      </c>
      <c r="B191" s="140"/>
      <c r="C191" s="140"/>
      <c r="D191" s="139"/>
      <c r="E191" s="143"/>
      <c r="F191" s="143"/>
      <c r="G191" s="143"/>
      <c r="H191" s="143"/>
      <c r="I191" s="130"/>
      <c r="J191" s="131">
        <f t="shared" si="40"/>
        <v>0</v>
      </c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s="1" customFormat="1" ht="18" customHeight="1">
      <c r="A192" s="126" t="str">
        <f t="shared" si="39"/>
        <v/>
      </c>
      <c r="B192" s="140"/>
      <c r="C192" s="140"/>
      <c r="D192" s="139"/>
      <c r="E192" s="143"/>
      <c r="F192" s="143"/>
      <c r="G192" s="143"/>
      <c r="H192" s="143"/>
      <c r="I192" s="130"/>
      <c r="J192" s="131">
        <f t="shared" si="40"/>
        <v>0</v>
      </c>
    </row>
    <row r="193" spans="1:14" s="1" customFormat="1" ht="18" customHeight="1">
      <c r="A193" s="126" t="str">
        <f t="shared" si="39"/>
        <v/>
      </c>
      <c r="B193" s="140"/>
      <c r="C193" s="140"/>
      <c r="D193" s="139"/>
      <c r="E193" s="143"/>
      <c r="F193" s="143"/>
      <c r="G193" s="143"/>
      <c r="H193" s="143"/>
      <c r="I193" s="130"/>
      <c r="J193" s="131">
        <f t="shared" si="40"/>
        <v>0</v>
      </c>
    </row>
    <row r="194" spans="1:14" s="1" customFormat="1" ht="18" customHeight="1">
      <c r="A194" s="126" t="str">
        <f t="shared" si="39"/>
        <v/>
      </c>
      <c r="B194" s="140"/>
      <c r="C194" s="140"/>
      <c r="D194" s="139"/>
      <c r="E194" s="143"/>
      <c r="F194" s="143"/>
      <c r="G194" s="143"/>
      <c r="H194" s="143"/>
      <c r="I194" s="130"/>
      <c r="J194" s="131">
        <f t="shared" si="40"/>
        <v>0</v>
      </c>
    </row>
    <row r="195" spans="1:14" s="1" customFormat="1" ht="18" customHeight="1">
      <c r="A195" s="126" t="str">
        <f t="shared" si="39"/>
        <v/>
      </c>
      <c r="B195" s="140"/>
      <c r="C195" s="140"/>
      <c r="D195" s="139"/>
      <c r="E195" s="143"/>
      <c r="F195" s="143"/>
      <c r="G195" s="143"/>
      <c r="H195" s="143"/>
      <c r="I195" s="130"/>
      <c r="J195" s="131">
        <f t="shared" si="40"/>
        <v>0</v>
      </c>
    </row>
    <row r="196" spans="1:14" s="1" customFormat="1" ht="18" customHeight="1">
      <c r="A196" s="126"/>
      <c r="B196" s="140"/>
      <c r="C196" s="140"/>
      <c r="D196" s="139"/>
      <c r="E196" s="143"/>
      <c r="F196" s="143"/>
      <c r="G196" s="143"/>
      <c r="H196" s="143"/>
      <c r="I196" s="130"/>
      <c r="J196" s="131"/>
    </row>
    <row r="197" spans="1:14" s="1" customFormat="1" ht="18" customHeight="1">
      <c r="A197" s="126" t="str">
        <f>IF(B197="","",+#REF!+1)</f>
        <v/>
      </c>
      <c r="B197" s="140"/>
      <c r="C197" s="140"/>
      <c r="D197" s="139"/>
      <c r="E197" s="143"/>
      <c r="F197" s="143"/>
      <c r="G197" s="143"/>
      <c r="H197" s="143"/>
      <c r="I197" s="130"/>
      <c r="J197" s="131">
        <f t="shared" ref="J197:J201" si="41">$J$120*G197</f>
        <v>0</v>
      </c>
    </row>
    <row r="198" spans="1:14" s="1" customFormat="1" ht="18" customHeight="1">
      <c r="A198" s="126" t="str">
        <f>IF(B198="","",+A197+1)</f>
        <v/>
      </c>
      <c r="B198" s="140"/>
      <c r="C198" s="140"/>
      <c r="D198" s="139"/>
      <c r="E198" s="143"/>
      <c r="F198" s="143"/>
      <c r="G198" s="143"/>
      <c r="H198" s="143"/>
      <c r="I198" s="130"/>
      <c r="J198" s="131">
        <f t="shared" si="41"/>
        <v>0</v>
      </c>
    </row>
    <row r="199" spans="1:14" s="1" customFormat="1" ht="18" customHeight="1">
      <c r="A199" s="126" t="str">
        <f>IF(B199="","",+#REF!+1)</f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 t="shared" si="41"/>
        <v>0</v>
      </c>
    </row>
    <row r="200" spans="1:14" s="1" customFormat="1" ht="18" customHeight="1">
      <c r="A200" s="126" t="str">
        <f>IF(B200="","",+A199+1)</f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si="41"/>
        <v>0</v>
      </c>
    </row>
    <row r="201" spans="1:14" s="1" customFormat="1" ht="18" customHeight="1">
      <c r="A201" s="126" t="str">
        <f>IF(B201="","",+#REF!+1)</f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si="41"/>
        <v>0</v>
      </c>
    </row>
    <row r="202" spans="1:14" s="1" customFormat="1" ht="18" customHeight="1">
      <c r="A202" s="126" t="str">
        <f>IF(B202="","",+#REF!+1)</f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>$J$120*G202</f>
        <v>0</v>
      </c>
    </row>
    <row r="203" spans="1:14" s="1" customFormat="1" ht="18" customHeight="1">
      <c r="A203" s="126" t="str">
        <f t="shared" si="39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>$J$120*G203</f>
        <v>0</v>
      </c>
    </row>
    <row r="204" spans="1:14" s="1" customFormat="1" ht="18" customHeight="1">
      <c r="A204" s="132" t="str">
        <f t="shared" si="39"/>
        <v/>
      </c>
      <c r="B204" s="142"/>
      <c r="C204" s="142"/>
      <c r="D204" s="141"/>
      <c r="E204" s="240"/>
      <c r="F204" s="240"/>
      <c r="G204" s="240"/>
      <c r="H204" s="240"/>
      <c r="I204" s="136"/>
      <c r="J204" s="293">
        <f>$J$120*G204</f>
        <v>0</v>
      </c>
    </row>
    <row r="205" spans="1:14" s="1" customFormat="1" ht="18" customHeight="1">
      <c r="A205" s="25"/>
      <c r="B205" s="33"/>
      <c r="C205" s="33"/>
      <c r="D205" s="161"/>
      <c r="E205" s="109"/>
      <c r="F205" s="109"/>
      <c r="G205" s="109"/>
      <c r="H205" s="109"/>
      <c r="I205" s="24"/>
      <c r="J205" s="318"/>
    </row>
    <row r="206" spans="1:14" ht="18" customHeight="1">
      <c r="A206" s="17"/>
      <c r="B206" s="56"/>
      <c r="C206" s="56"/>
      <c r="D206" s="30"/>
      <c r="E206" s="17"/>
      <c r="F206" s="17"/>
      <c r="G206" s="17"/>
      <c r="H206" s="17"/>
      <c r="J206" s="99" t="str">
        <f>LEFT($J$111,10)&amp;"-02"</f>
        <v>FG-240-3PR-02</v>
      </c>
    </row>
    <row r="207" spans="1:14" ht="12.75" customHeight="1">
      <c r="K207" s="7"/>
      <c r="L207" s="7"/>
      <c r="M207" s="2"/>
      <c r="N207" s="2"/>
    </row>
    <row r="208" spans="1:14" ht="30" customHeight="1">
      <c r="B208" s="182"/>
      <c r="C208" s="5"/>
      <c r="D208" s="95"/>
      <c r="E208" s="95"/>
      <c r="F208" s="95"/>
      <c r="G208" s="95"/>
      <c r="H208" s="95"/>
      <c r="I208" s="95"/>
      <c r="J208" s="90" t="str">
        <f>$J$2</f>
        <v>HOMELIFE</v>
      </c>
      <c r="K208" s="11"/>
      <c r="L208" s="11"/>
      <c r="M208" s="2"/>
      <c r="N208" s="2"/>
    </row>
    <row r="209" spans="1:14" ht="24.9" customHeight="1">
      <c r="B209" s="182"/>
      <c r="C209" s="28"/>
      <c r="D209" s="28"/>
      <c r="E209" s="28"/>
      <c r="F209" s="28"/>
      <c r="G209" s="28"/>
      <c r="H209" s="28"/>
      <c r="I209" s="28"/>
      <c r="J209" s="91" t="str">
        <f>$J$3</f>
        <v>Fabricators Guide</v>
      </c>
      <c r="K209" s="11"/>
      <c r="L209" s="11"/>
      <c r="M209" s="2"/>
      <c r="N209" s="2"/>
    </row>
    <row r="210" spans="1:14" ht="24.9" customHeight="1">
      <c r="B210" s="8"/>
      <c r="C210" s="28"/>
      <c r="D210" s="28"/>
      <c r="E210" s="28"/>
      <c r="F210" s="28"/>
      <c r="G210" s="28"/>
      <c r="H210" s="28"/>
      <c r="I210" s="28"/>
      <c r="J210" s="91" t="str">
        <f>$J$4</f>
        <v xml:space="preserve">240 Series Bi Fold Door </v>
      </c>
      <c r="K210" s="48"/>
      <c r="L210" s="48"/>
      <c r="M210" s="4"/>
      <c r="N210" s="4"/>
    </row>
    <row r="211" spans="1:14" s="1" customFormat="1" ht="15" customHeight="1" thickBot="1">
      <c r="A211" s="78"/>
      <c r="B211" s="78"/>
      <c r="C211" s="78"/>
      <c r="D211" s="82"/>
      <c r="E211" s="78"/>
      <c r="F211" s="78"/>
      <c r="G211" s="78"/>
      <c r="H211" s="78"/>
      <c r="I211" s="78"/>
      <c r="J211" s="113"/>
      <c r="K211" s="4"/>
      <c r="L211" s="4"/>
      <c r="M211" s="4"/>
      <c r="N211" s="4"/>
    </row>
    <row r="212" spans="1:14" s="1" customFormat="1" ht="24.9" customHeight="1" thickBot="1">
      <c r="A212" s="502" t="s">
        <v>30</v>
      </c>
      <c r="B212" s="503"/>
      <c r="C212" s="503"/>
      <c r="D212" s="503"/>
      <c r="E212" s="503"/>
      <c r="F212" s="503"/>
      <c r="G212" s="503"/>
      <c r="H212" s="503"/>
      <c r="I212" s="503"/>
      <c r="J212" s="504"/>
      <c r="K212" s="56"/>
      <c r="L212" s="56"/>
      <c r="M212" s="56"/>
      <c r="N212" s="56"/>
    </row>
    <row r="214" spans="1:14" s="1" customFormat="1" ht="15" customHeight="1">
      <c r="A214" s="93"/>
      <c r="B214" s="93"/>
      <c r="C214" s="56"/>
      <c r="D214" s="30"/>
      <c r="E214" s="29"/>
      <c r="F214" s="160"/>
      <c r="G214" s="160"/>
      <c r="H214" s="160"/>
      <c r="I214" s="160"/>
      <c r="J214" s="116"/>
    </row>
    <row r="215" spans="1:14" s="1" customFormat="1" ht="15" customHeight="1">
      <c r="A215" s="17"/>
      <c r="B215" s="56"/>
      <c r="C215" s="89"/>
      <c r="D215" s="30"/>
      <c r="E215" s="29"/>
      <c r="F215" s="30"/>
      <c r="J215" s="17"/>
    </row>
    <row r="216" spans="1:14" s="1" customFormat="1" ht="15" customHeight="1">
      <c r="A216" s="17"/>
      <c r="B216" s="56"/>
      <c r="C216" s="328"/>
      <c r="D216" s="30"/>
      <c r="E216" s="29"/>
      <c r="F216" s="30"/>
      <c r="J216" s="17"/>
    </row>
    <row r="217" spans="1:14" s="1" customFormat="1" ht="15.6">
      <c r="A217" s="109"/>
      <c r="B217" s="33"/>
      <c r="C217" s="327"/>
      <c r="D217" s="161"/>
      <c r="E217" s="109"/>
      <c r="F217" s="161"/>
      <c r="H217" s="328"/>
      <c r="J217" s="109"/>
    </row>
    <row r="218" spans="1:14" s="1" customFormat="1" ht="15" customHeight="1">
      <c r="A218" s="93"/>
      <c r="B218" s="93"/>
      <c r="C218" s="56"/>
      <c r="D218" s="30"/>
      <c r="E218" s="29"/>
      <c r="F218" s="160"/>
      <c r="H218" s="328"/>
      <c r="I218" s="109"/>
      <c r="J218" s="109"/>
    </row>
    <row r="219" spans="1:14" s="1" customFormat="1" ht="15" customHeight="1">
      <c r="A219" s="17"/>
      <c r="B219" s="56"/>
      <c r="C219" s="89" t="s">
        <v>368</v>
      </c>
      <c r="D219" s="30"/>
      <c r="E219" s="29"/>
      <c r="F219" s="30"/>
      <c r="I219" s="109"/>
      <c r="J219" s="109"/>
    </row>
    <row r="220" spans="1:14" s="1" customFormat="1" ht="15" customHeight="1">
      <c r="A220" s="17"/>
      <c r="B220" s="56"/>
      <c r="C220" s="328" t="s">
        <v>275</v>
      </c>
      <c r="D220" s="30"/>
      <c r="E220" s="29"/>
      <c r="F220" s="30"/>
      <c r="H220" s="89"/>
      <c r="J220" s="12"/>
    </row>
    <row r="221" spans="1:14" s="1" customFormat="1" ht="15" customHeight="1">
      <c r="A221" s="109"/>
      <c r="B221" s="33"/>
      <c r="C221" s="327" t="s">
        <v>273</v>
      </c>
      <c r="D221" s="161"/>
      <c r="E221" s="109"/>
      <c r="F221" s="161"/>
      <c r="J221" s="12"/>
    </row>
    <row r="222" spans="1:14" s="1" customFormat="1" ht="15" customHeight="1">
      <c r="A222" s="109"/>
      <c r="B222" s="33"/>
      <c r="C222" s="374">
        <f>$I$133</f>
        <v>2410</v>
      </c>
      <c r="D222" s="161"/>
      <c r="E222" s="35"/>
      <c r="F222" s="161"/>
      <c r="G222" s="68"/>
      <c r="J222" s="12"/>
    </row>
    <row r="223" spans="1:14" s="1" customFormat="1" ht="15" customHeight="1">
      <c r="A223" s="109"/>
      <c r="B223" s="33"/>
      <c r="C223" s="363">
        <f>$J$133</f>
        <v>1</v>
      </c>
      <c r="D223" s="161"/>
      <c r="E223" s="35"/>
      <c r="F223" s="161"/>
      <c r="G223" s="326"/>
      <c r="I223" s="109"/>
      <c r="J223" s="109"/>
    </row>
    <row r="224" spans="1:14" s="1" customFormat="1" ht="15" customHeight="1">
      <c r="A224" s="109"/>
      <c r="B224" s="33"/>
      <c r="D224" s="161"/>
      <c r="E224" s="109"/>
      <c r="F224" s="161"/>
      <c r="G224" s="326"/>
      <c r="I224" s="109"/>
      <c r="J224" s="109"/>
    </row>
    <row r="225" spans="1:10" s="1" customFormat="1" ht="15.9" customHeight="1">
      <c r="A225" s="92"/>
      <c r="B225" s="92"/>
      <c r="C225" s="13"/>
      <c r="D225" s="161"/>
      <c r="E225" s="109"/>
      <c r="F225" s="161"/>
      <c r="G225" s="68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H226" s="109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32"/>
      <c r="J227" s="40"/>
    </row>
    <row r="228" spans="1:10" s="1" customFormat="1" ht="15.9" customHeight="1">
      <c r="A228" s="92"/>
      <c r="B228" s="92"/>
      <c r="C228" s="327"/>
      <c r="D228" s="161"/>
      <c r="E228" s="109"/>
      <c r="F228" s="161"/>
      <c r="H228" s="109"/>
      <c r="I228" s="319"/>
      <c r="J228" s="117"/>
    </row>
    <row r="229" spans="1:10" s="1" customFormat="1" ht="15.9" customHeight="1">
      <c r="A229" s="92"/>
      <c r="B229" s="92"/>
      <c r="C229" s="340"/>
      <c r="D229" s="161"/>
      <c r="E229" s="109"/>
      <c r="F229" s="161"/>
      <c r="H229" s="109"/>
      <c r="I229" s="328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319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319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319"/>
      <c r="J232" s="117"/>
    </row>
    <row r="233" spans="1:10" s="1" customFormat="1" ht="15.9" customHeight="1">
      <c r="A233" s="44"/>
      <c r="B233" s="44"/>
      <c r="C233" s="89" t="s">
        <v>381</v>
      </c>
      <c r="D233" s="84"/>
      <c r="E233" s="44"/>
      <c r="F233" s="44"/>
      <c r="G233" s="109"/>
      <c r="H233" s="109"/>
      <c r="I233" s="319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2384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319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319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328"/>
      <c r="J240" s="117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109"/>
      <c r="I241" s="328"/>
      <c r="J241" s="117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36"/>
      <c r="I242" s="24"/>
      <c r="J242" s="24"/>
    </row>
    <row r="243" spans="1:10" s="1" customFormat="1" ht="15.9" customHeight="1">
      <c r="A243" s="109"/>
      <c r="B243" s="33"/>
      <c r="D243" s="161"/>
      <c r="E243" s="109"/>
      <c r="F243" s="161"/>
      <c r="G243" s="109"/>
      <c r="H243" s="109"/>
      <c r="I243" s="109"/>
      <c r="J243" s="24"/>
    </row>
    <row r="244" spans="1:10" s="1" customFormat="1" ht="15.9" customHeight="1">
      <c r="A244" s="109"/>
      <c r="B244" s="33"/>
      <c r="C244" s="89" t="s">
        <v>370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.9" customHeight="1">
      <c r="A245" s="109"/>
      <c r="B245" s="33"/>
      <c r="C245" s="328" t="s">
        <v>275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" customHeight="1">
      <c r="A246" s="109"/>
      <c r="B246" s="33"/>
      <c r="C246" s="327" t="s">
        <v>273</v>
      </c>
      <c r="D246" s="161"/>
      <c r="E246" s="109"/>
      <c r="F246" s="161"/>
      <c r="G246" s="109"/>
      <c r="H246" s="109"/>
      <c r="I246" s="24"/>
      <c r="J246" s="24"/>
    </row>
    <row r="247" spans="1:10" s="1" customFormat="1" ht="15.9" customHeight="1">
      <c r="A247" s="109"/>
      <c r="B247" s="33"/>
      <c r="C247" s="374">
        <f>$I$135</f>
        <v>2410</v>
      </c>
      <c r="D247" s="161"/>
      <c r="E247" s="109"/>
      <c r="F247" s="161"/>
      <c r="G247" s="109"/>
      <c r="H247" s="109"/>
      <c r="I247" s="44"/>
      <c r="J247" s="119"/>
    </row>
    <row r="248" spans="1:10" s="1" customFormat="1" ht="15.9" customHeight="1">
      <c r="A248" s="109"/>
      <c r="B248" s="33"/>
      <c r="C248" s="363">
        <f>$J$135</f>
        <v>1</v>
      </c>
      <c r="D248" s="161"/>
      <c r="E248" s="109"/>
      <c r="F248" s="161"/>
      <c r="G248" s="109"/>
      <c r="H248" s="109"/>
      <c r="I248" s="32"/>
      <c r="J248" s="40"/>
    </row>
    <row r="249" spans="1:10" s="1" customFormat="1" ht="15.9" customHeight="1">
      <c r="A249" s="109"/>
      <c r="B249" s="33"/>
      <c r="C249" s="161"/>
      <c r="D249" s="161"/>
      <c r="E249" s="109"/>
      <c r="F249" s="161"/>
      <c r="G249" s="109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4"/>
      <c r="H251" s="109"/>
      <c r="J251" s="12"/>
    </row>
    <row r="252" spans="1:10" s="1" customFormat="1" ht="15.9" customHeight="1">
      <c r="A252" s="109"/>
      <c r="B252" s="33"/>
      <c r="C252" s="33"/>
      <c r="D252" s="161"/>
      <c r="E252" s="109"/>
      <c r="F252" s="109"/>
      <c r="G252" s="44"/>
      <c r="H252" s="109"/>
      <c r="J252" s="12"/>
    </row>
    <row r="253" spans="1:10" s="1" customFormat="1" ht="15.9" customHeight="1">
      <c r="A253" s="109"/>
      <c r="B253" s="33"/>
      <c r="C253" s="33"/>
      <c r="D253" s="161"/>
      <c r="E253" s="109"/>
      <c r="F253" s="109"/>
      <c r="G253" s="40"/>
      <c r="H253" s="109"/>
      <c r="I253" s="24"/>
      <c r="J253" s="24"/>
    </row>
    <row r="254" spans="1:10" s="1" customFormat="1" ht="15.9" customHeight="1">
      <c r="A254" s="109"/>
      <c r="B254" s="33"/>
      <c r="D254" s="161"/>
      <c r="E254" s="109"/>
      <c r="F254" s="109"/>
      <c r="G254" s="109"/>
      <c r="H254" s="109"/>
      <c r="I254" s="24"/>
      <c r="J254" s="24"/>
    </row>
    <row r="255" spans="1:10" s="1" customFormat="1" ht="15.9" customHeight="1">
      <c r="A255" s="44"/>
      <c r="B255" s="44"/>
      <c r="D255" s="84"/>
      <c r="E255" s="44"/>
      <c r="F255" s="44"/>
      <c r="G255" s="109"/>
      <c r="H255" s="109"/>
      <c r="I255" s="24"/>
      <c r="J255" s="24"/>
    </row>
    <row r="256" spans="1:10" s="1" customFormat="1" ht="15.9" customHeight="1">
      <c r="A256" s="40"/>
      <c r="B256" s="40"/>
      <c r="C256" s="89" t="s">
        <v>382</v>
      </c>
      <c r="D256" s="85"/>
      <c r="E256" s="40"/>
      <c r="F256" s="32"/>
      <c r="G256" s="109"/>
      <c r="I256" s="24"/>
      <c r="J256" s="24"/>
    </row>
    <row r="257" spans="1:10" s="1" customFormat="1" ht="15.9" customHeight="1">
      <c r="A257" s="27"/>
      <c r="B257" s="33"/>
      <c r="C257" s="328" t="s">
        <v>275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27" t="s">
        <v>273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74">
        <f>$I$136</f>
        <v>2410</v>
      </c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63">
        <f>$J$136</f>
        <v>1</v>
      </c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33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33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33"/>
      <c r="D264" s="161"/>
      <c r="E264" s="109"/>
      <c r="F264" s="109"/>
      <c r="G264" s="109"/>
      <c r="I264" s="24"/>
      <c r="J264" s="24"/>
    </row>
    <row r="265" spans="1:10" s="1" customFormat="1" ht="15.9" customHeight="1">
      <c r="A265" s="27"/>
      <c r="B265" s="33"/>
      <c r="C265" s="161"/>
      <c r="D265" s="161"/>
      <c r="E265" s="109"/>
      <c r="F265" s="109"/>
      <c r="G265" s="109"/>
      <c r="I265" s="24"/>
      <c r="J265" s="24"/>
    </row>
    <row r="266" spans="1:10" s="1" customFormat="1" ht="15.9" customHeight="1">
      <c r="A266" s="27"/>
      <c r="B266" s="33"/>
      <c r="C266" s="33"/>
      <c r="D266" s="161"/>
      <c r="E266" s="109"/>
      <c r="F266" s="109"/>
      <c r="G266" s="109"/>
      <c r="I266" s="24"/>
      <c r="J266" s="24"/>
    </row>
    <row r="267" spans="1:10" s="1" customFormat="1" ht="15.9" customHeight="1">
      <c r="A267" s="27"/>
      <c r="B267" s="33"/>
      <c r="C267" s="89" t="s">
        <v>380</v>
      </c>
      <c r="D267" s="161"/>
      <c r="E267" s="109"/>
      <c r="F267" s="109"/>
      <c r="G267" s="109"/>
      <c r="H267" s="109"/>
      <c r="I267" s="24"/>
      <c r="J267" s="24"/>
    </row>
    <row r="268" spans="1:10" s="1" customFormat="1" ht="15.9" customHeight="1">
      <c r="A268" s="27"/>
      <c r="B268" s="33"/>
      <c r="C268" s="328" t="s">
        <v>379</v>
      </c>
      <c r="D268" s="328"/>
      <c r="E268" s="328"/>
      <c r="F268" s="109"/>
      <c r="G268" s="109"/>
      <c r="H268" s="109"/>
      <c r="I268" s="24"/>
      <c r="J268" s="24"/>
    </row>
    <row r="269" spans="1:10" s="1" customFormat="1" ht="15.9" customHeight="1">
      <c r="A269" s="27"/>
      <c r="B269" s="33"/>
      <c r="C269" s="327" t="s">
        <v>279</v>
      </c>
      <c r="D269" s="327"/>
      <c r="E269" s="327"/>
      <c r="F269" s="109"/>
      <c r="G269" s="109"/>
      <c r="H269" s="109"/>
      <c r="J269" s="12"/>
    </row>
    <row r="270" spans="1:10" s="1" customFormat="1" ht="15.9" customHeight="1">
      <c r="A270" s="27"/>
      <c r="B270" s="33"/>
      <c r="C270" s="374">
        <f>$I$137</f>
        <v>2550</v>
      </c>
      <c r="D270" s="161"/>
      <c r="E270" s="109"/>
      <c r="F270" s="109"/>
      <c r="G270" s="33"/>
      <c r="H270" s="33"/>
      <c r="J270" s="12"/>
    </row>
    <row r="271" spans="1:10" s="1" customFormat="1" ht="15.9" customHeight="1">
      <c r="A271" s="27"/>
      <c r="B271" s="33"/>
      <c r="C271" s="363">
        <f>$J$137+$J$138</f>
        <v>2</v>
      </c>
      <c r="D271" s="161"/>
      <c r="E271" s="109"/>
      <c r="F271" s="109"/>
      <c r="G271" s="109"/>
      <c r="H271" s="109"/>
      <c r="J271" s="12"/>
    </row>
    <row r="272" spans="1:10" s="1" customFormat="1" ht="15.9" customHeight="1">
      <c r="A272" s="27"/>
      <c r="B272" s="33"/>
      <c r="D272" s="89"/>
      <c r="E272" s="89"/>
      <c r="F272" s="109"/>
      <c r="G272" s="109"/>
      <c r="H272" s="109"/>
      <c r="J272" s="12"/>
    </row>
    <row r="273" spans="1:10" s="1" customFormat="1" ht="15.9" customHeight="1">
      <c r="A273" s="27"/>
      <c r="B273" s="33"/>
      <c r="D273" s="89"/>
      <c r="E273" s="89"/>
      <c r="F273" s="109"/>
      <c r="G273" s="109"/>
      <c r="H273" s="109"/>
      <c r="J273" s="12"/>
    </row>
    <row r="274" spans="1:10" s="1" customFormat="1" ht="15.9" customHeight="1">
      <c r="A274" s="27"/>
      <c r="D274" s="328"/>
      <c r="E274" s="328"/>
      <c r="F274" s="109"/>
      <c r="G274" s="109"/>
      <c r="H274" s="109"/>
      <c r="J274" s="12"/>
    </row>
    <row r="275" spans="1:10" s="1" customFormat="1" ht="15.9" customHeight="1">
      <c r="A275" s="27"/>
      <c r="D275" s="328"/>
      <c r="E275" s="328"/>
      <c r="F275" s="109"/>
      <c r="G275" s="109"/>
      <c r="H275" s="109"/>
      <c r="J275" s="12"/>
    </row>
    <row r="276" spans="1:10" s="1" customFormat="1" ht="15.9" customHeight="1">
      <c r="A276" s="27"/>
      <c r="B276" s="33"/>
      <c r="D276" s="328"/>
      <c r="E276" s="328"/>
      <c r="F276" s="109"/>
      <c r="G276" s="109"/>
      <c r="I276" s="24"/>
      <c r="J276" s="24"/>
    </row>
    <row r="277" spans="1:10" s="1" customFormat="1" ht="15.9" customHeight="1">
      <c r="A277" s="27"/>
      <c r="B277" s="33"/>
      <c r="C277" s="33"/>
      <c r="D277" s="161"/>
      <c r="E277" s="109"/>
      <c r="F277" s="109"/>
      <c r="G277" s="109"/>
      <c r="I277" s="24"/>
      <c r="J277" s="24"/>
    </row>
    <row r="278" spans="1:10" s="1" customFormat="1" ht="15.9" customHeight="1">
      <c r="A278" s="27"/>
      <c r="B278" s="33"/>
      <c r="C278" s="89" t="s">
        <v>374</v>
      </c>
      <c r="D278" s="162"/>
      <c r="E278" s="24"/>
      <c r="F278" s="109"/>
      <c r="G278" s="109"/>
      <c r="I278" s="24"/>
      <c r="J278" s="24"/>
    </row>
    <row r="279" spans="1:10" s="1" customFormat="1" ht="15.9" customHeight="1">
      <c r="A279" s="27"/>
      <c r="B279" s="33"/>
      <c r="C279" s="328" t="s">
        <v>649</v>
      </c>
      <c r="D279" s="328"/>
      <c r="E279" s="328"/>
      <c r="F279" s="109"/>
      <c r="G279" s="109"/>
      <c r="I279" s="109"/>
      <c r="J279" s="24"/>
    </row>
    <row r="280" spans="1:10" s="1" customFormat="1" ht="15.9" customHeight="1">
      <c r="A280" s="27"/>
      <c r="B280" s="33"/>
      <c r="C280" s="433" t="s">
        <v>650</v>
      </c>
      <c r="D280" s="327"/>
      <c r="E280" s="327"/>
      <c r="F280" s="109"/>
      <c r="G280" s="109"/>
      <c r="I280" s="109"/>
      <c r="J280" s="24"/>
    </row>
    <row r="281" spans="1:10" s="1" customFormat="1" ht="15.9" customHeight="1">
      <c r="A281" s="27"/>
      <c r="B281" s="33"/>
      <c r="C281" s="374">
        <f>$I$139</f>
        <v>2454</v>
      </c>
      <c r="F281" s="109"/>
      <c r="G281" s="109"/>
      <c r="I281" s="109"/>
      <c r="J281" s="24"/>
    </row>
    <row r="282" spans="1:10" s="1" customFormat="1" ht="15.9" customHeight="1">
      <c r="A282" s="27"/>
      <c r="B282" s="33"/>
      <c r="C282" s="363">
        <f>$J$139+$J$140</f>
        <v>2</v>
      </c>
      <c r="F282" s="109"/>
      <c r="G282" s="109"/>
      <c r="I282" s="109"/>
      <c r="J282" s="24"/>
    </row>
    <row r="283" spans="1:10" s="1" customFormat="1" ht="15.9" customHeight="1">
      <c r="A283" s="27"/>
      <c r="B283" s="33"/>
      <c r="F283" s="109"/>
      <c r="G283" s="109"/>
      <c r="H283" s="109"/>
      <c r="J283" s="12"/>
    </row>
    <row r="284" spans="1:10" s="1" customFormat="1" ht="15.9" customHeight="1">
      <c r="A284" s="27"/>
      <c r="B284" s="33"/>
      <c r="F284" s="109"/>
      <c r="G284" s="109"/>
      <c r="H284" s="109"/>
      <c r="J284" s="12"/>
    </row>
    <row r="285" spans="1:10" s="1" customFormat="1" ht="15.9" customHeight="1">
      <c r="A285" s="27"/>
      <c r="B285" s="33"/>
      <c r="C285" s="33"/>
      <c r="D285" s="161"/>
      <c r="E285" s="109"/>
      <c r="F285" s="109"/>
      <c r="G285" s="109"/>
      <c r="H285" s="109"/>
      <c r="J285" s="12"/>
    </row>
    <row r="286" spans="1:10" s="1" customFormat="1" ht="15.9" customHeight="1">
      <c r="A286" s="27"/>
      <c r="B286" s="33"/>
      <c r="F286" s="109"/>
      <c r="G286" s="109"/>
      <c r="H286" s="109"/>
      <c r="J286" s="12"/>
    </row>
    <row r="287" spans="1:10" s="1" customFormat="1" ht="15.9" customHeight="1">
      <c r="A287" s="27"/>
      <c r="B287" s="33"/>
      <c r="F287" s="109"/>
      <c r="G287" s="109"/>
      <c r="H287" s="109"/>
      <c r="I287" s="162"/>
      <c r="J287" s="24"/>
    </row>
    <row r="288" spans="1:10" s="1" customFormat="1" ht="15.9" customHeight="1">
      <c r="A288" s="27"/>
      <c r="B288" s="33"/>
      <c r="C288" s="89" t="s">
        <v>375</v>
      </c>
      <c r="F288" s="109"/>
      <c r="G288" s="109"/>
      <c r="H288" s="109"/>
      <c r="I288" s="109"/>
      <c r="J288" s="24"/>
    </row>
    <row r="289" spans="1:10" s="1" customFormat="1" ht="15.9" customHeight="1">
      <c r="A289" s="27"/>
      <c r="B289" s="33"/>
      <c r="C289" s="94" t="s">
        <v>459</v>
      </c>
      <c r="D289" s="161"/>
      <c r="E289" s="109"/>
      <c r="F289" s="109"/>
      <c r="G289" s="109"/>
      <c r="H289" s="109"/>
      <c r="I289" s="24"/>
      <c r="J289" s="24"/>
    </row>
    <row r="290" spans="1:10" s="1" customFormat="1" ht="15.9" customHeight="1">
      <c r="A290" s="27"/>
      <c r="B290" s="33"/>
      <c r="C290" s="327" t="s">
        <v>461</v>
      </c>
      <c r="D290" s="161"/>
      <c r="E290" s="109"/>
      <c r="F290" s="109"/>
      <c r="G290" s="109"/>
      <c r="H290" s="109"/>
      <c r="I290" s="24"/>
      <c r="J290" s="24"/>
    </row>
    <row r="291" spans="1:10" s="1" customFormat="1" ht="15.9" customHeight="1">
      <c r="A291" s="27"/>
      <c r="B291" s="33"/>
      <c r="C291" s="328" t="s">
        <v>281</v>
      </c>
      <c r="D291" s="328"/>
      <c r="E291" s="328"/>
      <c r="F291" s="109"/>
      <c r="G291" s="109"/>
      <c r="I291" s="24"/>
      <c r="J291" s="24"/>
    </row>
    <row r="292" spans="1:10" s="23" customFormat="1" ht="15.9" customHeight="1">
      <c r="A292" s="27"/>
      <c r="B292" s="33"/>
      <c r="C292" s="327" t="s">
        <v>282</v>
      </c>
      <c r="D292" s="327"/>
      <c r="E292" s="327"/>
      <c r="F292" s="109"/>
      <c r="G292" s="109"/>
      <c r="H292" s="1"/>
      <c r="I292" s="109"/>
      <c r="J292" s="109"/>
    </row>
    <row r="293" spans="1:10" s="1" customFormat="1" ht="15.9" customHeight="1">
      <c r="A293" s="27"/>
      <c r="B293" s="33"/>
      <c r="C293" s="374">
        <f>$I$141</f>
        <v>687.16666666666663</v>
      </c>
      <c r="F293" s="109"/>
      <c r="G293" s="109"/>
      <c r="I293" s="44"/>
      <c r="J293" s="119"/>
    </row>
    <row r="294" spans="1:10" s="1" customFormat="1" ht="15.9" customHeight="1">
      <c r="A294" s="27"/>
      <c r="B294" s="33"/>
      <c r="C294" s="363">
        <f>$J$141+$J$142</f>
        <v>6</v>
      </c>
      <c r="D294" s="161"/>
      <c r="E294" s="109"/>
      <c r="F294" s="109"/>
      <c r="G294" s="109"/>
      <c r="H294" s="161"/>
      <c r="I294" s="32"/>
      <c r="J294" s="40"/>
    </row>
    <row r="295" spans="1:10" s="1" customFormat="1" ht="15.9" customHeight="1">
      <c r="A295" s="27"/>
      <c r="B295" s="33"/>
      <c r="C295" s="374">
        <f>$I$143</f>
        <v>2458</v>
      </c>
      <c r="D295" s="161"/>
      <c r="E295" s="109"/>
      <c r="F295" s="109"/>
      <c r="G295" s="109"/>
      <c r="H295" s="109"/>
      <c r="I295" s="24"/>
      <c r="J295" s="24"/>
    </row>
    <row r="296" spans="1:10" s="1" customFormat="1" ht="15.9" customHeight="1">
      <c r="A296" s="27"/>
      <c r="B296" s="33"/>
      <c r="C296" s="363">
        <f>$J$143+$J$144+$J$145</f>
        <v>6</v>
      </c>
      <c r="D296" s="161"/>
      <c r="E296" s="109"/>
      <c r="F296" s="109"/>
      <c r="G296" s="109"/>
      <c r="H296" s="109"/>
      <c r="I296" s="24"/>
      <c r="J296" s="24"/>
    </row>
    <row r="297" spans="1:10" s="1" customFormat="1" ht="15.9" customHeight="1">
      <c r="A297" s="27"/>
      <c r="B297" s="33"/>
      <c r="D297" s="161"/>
      <c r="E297" s="109"/>
      <c r="F297" s="109"/>
      <c r="G297" s="109"/>
      <c r="H297" s="109"/>
      <c r="I297" s="24"/>
      <c r="J297" s="24"/>
    </row>
    <row r="298" spans="1:10" s="1" customFormat="1" ht="15.9" customHeight="1">
      <c r="A298" s="27"/>
      <c r="B298" s="33"/>
      <c r="D298" s="161"/>
      <c r="E298" s="109"/>
      <c r="F298" s="109"/>
      <c r="G298" s="109"/>
      <c r="H298" s="109"/>
      <c r="I298" s="24"/>
      <c r="J298" s="24"/>
    </row>
    <row r="299" spans="1:10" s="1" customFormat="1" ht="15.9" customHeight="1">
      <c r="A299" s="27"/>
      <c r="B299" s="33"/>
      <c r="D299" s="161"/>
      <c r="E299" s="109"/>
      <c r="F299" s="109"/>
      <c r="G299" s="109"/>
      <c r="H299" s="109"/>
      <c r="I299" s="24"/>
      <c r="J299" s="24"/>
    </row>
    <row r="300" spans="1:10" s="1" customFormat="1" ht="15.9" customHeight="1">
      <c r="A300" s="27"/>
      <c r="B300" s="33"/>
      <c r="C300" s="33"/>
      <c r="D300" s="161"/>
      <c r="E300" s="109"/>
      <c r="F300" s="109"/>
      <c r="G300" s="109"/>
      <c r="H300" s="109"/>
      <c r="I300" s="109"/>
      <c r="J300" s="24"/>
    </row>
    <row r="301" spans="1:10" s="1" customFormat="1" ht="15.9" customHeight="1">
      <c r="A301" s="27"/>
      <c r="B301" s="33"/>
      <c r="C301" s="23"/>
      <c r="D301" s="161"/>
      <c r="E301" s="109"/>
      <c r="F301" s="109"/>
      <c r="G301" s="109"/>
      <c r="H301" s="109"/>
      <c r="I301" s="109"/>
      <c r="J301" s="24"/>
    </row>
    <row r="302" spans="1:10" s="1" customFormat="1" ht="15.9" customHeight="1">
      <c r="A302" s="27"/>
      <c r="B302" s="33"/>
      <c r="C302" s="89" t="s">
        <v>376</v>
      </c>
      <c r="D302" s="161"/>
      <c r="E302" s="109"/>
      <c r="F302" s="109"/>
      <c r="G302" s="109"/>
      <c r="H302" s="109"/>
      <c r="I302" s="109"/>
      <c r="J302" s="24"/>
    </row>
    <row r="303" spans="1:10" s="1" customFormat="1" ht="15.9" customHeight="1">
      <c r="A303" s="27"/>
      <c r="B303" s="33"/>
      <c r="C303" s="94" t="s">
        <v>459</v>
      </c>
      <c r="D303" s="161"/>
      <c r="E303" s="109"/>
      <c r="F303" s="109"/>
      <c r="G303" s="44"/>
      <c r="H303" s="44"/>
      <c r="I303" s="109"/>
      <c r="J303" s="24"/>
    </row>
    <row r="304" spans="1:10" s="1" customFormat="1" ht="15.9" customHeight="1">
      <c r="A304" s="27"/>
      <c r="B304" s="33"/>
      <c r="C304" s="327" t="s">
        <v>461</v>
      </c>
      <c r="D304" s="328"/>
      <c r="E304" s="328"/>
      <c r="F304" s="109"/>
      <c r="G304" s="40"/>
      <c r="H304" s="32"/>
      <c r="I304" s="109"/>
      <c r="J304" s="24"/>
    </row>
    <row r="305" spans="1:14" s="1" customFormat="1" ht="15.9" customHeight="1">
      <c r="A305" s="41"/>
      <c r="B305" s="33"/>
      <c r="C305" s="328" t="s">
        <v>286</v>
      </c>
      <c r="D305" s="327"/>
      <c r="E305" s="327"/>
      <c r="F305" s="109"/>
      <c r="G305" s="109"/>
      <c r="H305" s="109"/>
      <c r="I305" s="109"/>
      <c r="J305" s="24"/>
    </row>
    <row r="306" spans="1:14" s="1" customFormat="1" ht="15.9" customHeight="1">
      <c r="A306" s="44"/>
      <c r="B306" s="44"/>
      <c r="C306" s="327" t="s">
        <v>285</v>
      </c>
      <c r="D306" s="86"/>
      <c r="E306" s="79"/>
      <c r="F306" s="44"/>
      <c r="G306" s="109"/>
      <c r="H306" s="109"/>
      <c r="I306" s="109"/>
      <c r="J306" s="24"/>
    </row>
    <row r="307" spans="1:14" s="1" customFormat="1" ht="15.9" customHeight="1">
      <c r="A307" s="40"/>
      <c r="B307" s="40"/>
      <c r="C307" s="374">
        <f>$I$146</f>
        <v>687.16666666666663</v>
      </c>
      <c r="D307" s="87"/>
      <c r="E307" s="80"/>
      <c r="F307" s="32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363">
        <f>$J$146</f>
        <v>6</v>
      </c>
      <c r="D308" s="15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74">
        <f>$I$147</f>
        <v>2308</v>
      </c>
      <c r="D309" s="15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63">
        <f>$J$147</f>
        <v>6</v>
      </c>
      <c r="D310" s="15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C311" s="89"/>
      <c r="D311" s="161"/>
      <c r="E311" s="109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C312" s="328"/>
      <c r="D312" s="328"/>
      <c r="E312" s="328"/>
      <c r="F312" s="109"/>
      <c r="G312" s="109"/>
      <c r="H312" s="109"/>
      <c r="I312" s="109"/>
      <c r="J312" s="24"/>
    </row>
    <row r="313" spans="1:14" s="1" customFormat="1" ht="15.9" customHeight="1">
      <c r="A313" s="25"/>
      <c r="B313" s="26"/>
      <c r="C313" s="26"/>
      <c r="D313" s="83"/>
      <c r="E313" s="25"/>
      <c r="F313" s="25"/>
      <c r="G313" s="25"/>
      <c r="H313" s="25"/>
      <c r="I313" s="27"/>
      <c r="J313" s="99" t="str">
        <f>LEFT($J$111,10)&amp;"-03"</f>
        <v>FG-240-3PR-03</v>
      </c>
    </row>
    <row r="314" spans="1:14" ht="12.75" customHeight="1">
      <c r="A314" s="17"/>
      <c r="B314" s="56"/>
      <c r="C314" s="56"/>
      <c r="D314" s="30"/>
      <c r="E314" s="17"/>
      <c r="F314" s="17"/>
      <c r="G314" s="17"/>
      <c r="H314" s="17"/>
      <c r="I314" s="179"/>
      <c r="J314" s="179"/>
    </row>
    <row r="315" spans="1:14" ht="30" customHeight="1">
      <c r="B315" s="182"/>
      <c r="C315" s="5"/>
      <c r="D315" s="95"/>
      <c r="E315" s="95"/>
      <c r="F315" s="95"/>
      <c r="G315" s="95"/>
      <c r="H315" s="95"/>
      <c r="I315" s="95"/>
      <c r="J315" s="90" t="str">
        <f>$J$2</f>
        <v>HOMELIFE</v>
      </c>
      <c r="K315" s="11"/>
      <c r="L315" s="11"/>
      <c r="M315" s="2"/>
      <c r="N315" s="2"/>
    </row>
    <row r="316" spans="1:14" ht="24.9" customHeight="1">
      <c r="B316" s="182"/>
      <c r="C316" s="28"/>
      <c r="D316" s="28"/>
      <c r="E316" s="28"/>
      <c r="F316" s="28"/>
      <c r="G316" s="28"/>
      <c r="H316" s="28"/>
      <c r="I316" s="28"/>
      <c r="J316" s="91" t="str">
        <f>$J$3</f>
        <v>Fabricators Guide</v>
      </c>
      <c r="K316" s="11"/>
      <c r="L316" s="11"/>
      <c r="M316" s="2"/>
      <c r="N316" s="2"/>
    </row>
    <row r="317" spans="1:14" ht="24.9" customHeight="1">
      <c r="B317" s="8"/>
      <c r="C317" s="28"/>
      <c r="D317" s="28"/>
      <c r="E317" s="28"/>
      <c r="F317" s="28"/>
      <c r="G317" s="28"/>
      <c r="H317" s="28"/>
      <c r="I317" s="28"/>
      <c r="J317" s="91" t="str">
        <f>$J$4</f>
        <v xml:space="preserve">240 Series Bi Fold Door </v>
      </c>
      <c r="K317" s="48"/>
      <c r="L317" s="48"/>
      <c r="M317" s="4"/>
      <c r="N317" s="4"/>
    </row>
    <row r="318" spans="1:14" ht="15" thickBot="1"/>
    <row r="319" spans="1:14" s="1" customFormat="1" ht="24.9" customHeight="1" thickBot="1">
      <c r="A319" s="502" t="s">
        <v>33</v>
      </c>
      <c r="B319" s="503"/>
      <c r="C319" s="503"/>
      <c r="D319" s="503"/>
      <c r="E319" s="503"/>
      <c r="F319" s="503"/>
      <c r="G319" s="503"/>
      <c r="H319" s="503"/>
      <c r="I319" s="503"/>
      <c r="J319" s="504"/>
    </row>
    <row r="320" spans="1:14" s="1" customFormat="1" ht="15" customHeight="1">
      <c r="A320" s="17"/>
      <c r="B320" s="56"/>
      <c r="C320" s="56"/>
      <c r="D320" s="30"/>
      <c r="E320" s="29"/>
      <c r="F320" s="30"/>
      <c r="G320" s="31"/>
      <c r="H320" s="31"/>
      <c r="I320" s="31"/>
      <c r="J320" s="17"/>
    </row>
    <row r="321" spans="1:10" s="1" customFormat="1" ht="15" customHeight="1">
      <c r="A321" s="17"/>
      <c r="B321" s="56"/>
      <c r="C321" s="56"/>
      <c r="D321" s="30"/>
      <c r="E321" s="29"/>
      <c r="F321" s="30"/>
      <c r="G321" s="31"/>
      <c r="H321" s="31"/>
      <c r="I321" s="31"/>
      <c r="J321" s="17"/>
    </row>
    <row r="322" spans="1:10" s="1" customFormat="1" ht="15" customHeight="1">
      <c r="A322" s="17"/>
      <c r="B322" s="56"/>
      <c r="C322" s="30"/>
      <c r="D322" s="30"/>
      <c r="E322" s="29"/>
      <c r="F322" s="30"/>
      <c r="G322" s="17"/>
      <c r="H322" s="31"/>
      <c r="I322" s="17"/>
      <c r="J322" s="17"/>
    </row>
    <row r="323" spans="1:10" s="1" customFormat="1" ht="15" customHeight="1">
      <c r="A323" s="17"/>
      <c r="B323" s="56"/>
      <c r="C323" s="30"/>
      <c r="D323" s="30"/>
      <c r="E323" s="29"/>
      <c r="F323" s="30"/>
      <c r="G323" s="17"/>
      <c r="H323" s="31"/>
      <c r="I323" s="17"/>
      <c r="J323" s="17"/>
    </row>
    <row r="324" spans="1:10" s="1" customFormat="1" ht="15" customHeight="1">
      <c r="A324" s="17"/>
      <c r="B324" s="56"/>
      <c r="C324" s="30"/>
      <c r="D324" s="30"/>
      <c r="E324" s="29"/>
      <c r="F324" s="30"/>
      <c r="G324" s="17"/>
      <c r="H324" s="31"/>
      <c r="I324" s="17"/>
      <c r="J324" s="17"/>
    </row>
    <row r="325" spans="1:10" s="1" customFormat="1" ht="15" customHeight="1">
      <c r="A325" s="109"/>
      <c r="B325" s="33"/>
      <c r="C325" s="161"/>
      <c r="D325" s="161"/>
      <c r="E325" s="109"/>
      <c r="F325" s="161"/>
      <c r="G325" s="109"/>
      <c r="H325" s="34"/>
      <c r="I325" s="109"/>
      <c r="J325" s="109"/>
    </row>
    <row r="326" spans="1:10" s="1" customFormat="1" ht="15" customHeight="1">
      <c r="A326" s="109"/>
      <c r="B326" s="33"/>
      <c r="C326" s="161"/>
      <c r="D326" s="161"/>
      <c r="E326" s="35"/>
      <c r="F326" s="163"/>
      <c r="G326" s="109"/>
      <c r="H326" s="34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35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42"/>
      <c r="D328" s="161"/>
      <c r="E328" s="109"/>
      <c r="F328" s="505"/>
      <c r="G328" s="505"/>
      <c r="H328" s="180"/>
      <c r="I328" s="42"/>
      <c r="J328" s="109"/>
    </row>
    <row r="329" spans="1:10" s="1" customFormat="1" ht="15" customHeight="1">
      <c r="A329" s="39"/>
      <c r="B329" s="39"/>
      <c r="C329" s="163"/>
      <c r="D329" s="161"/>
      <c r="E329" s="109"/>
      <c r="F329" s="507"/>
      <c r="G329" s="507"/>
      <c r="H329" s="180"/>
      <c r="I329" s="163"/>
      <c r="J329" s="109"/>
    </row>
    <row r="330" spans="1:10" s="1" customFormat="1" ht="15" customHeight="1">
      <c r="A330" s="92"/>
      <c r="B330" s="92"/>
      <c r="C330" s="161"/>
      <c r="D330" s="161"/>
      <c r="E330" s="109"/>
      <c r="F330" s="180"/>
      <c r="G330" s="180"/>
      <c r="H330" s="180"/>
      <c r="I330" s="161"/>
      <c r="J330" s="109"/>
    </row>
    <row r="331" spans="1:10" s="1" customFormat="1" ht="15" customHeight="1">
      <c r="A331" s="64" t="str">
        <f>A18</f>
        <v>240-3 Panel (R)</v>
      </c>
      <c r="B331" s="92"/>
      <c r="C331" s="161"/>
      <c r="D331" s="161"/>
      <c r="E331" s="109"/>
      <c r="F331" s="180"/>
      <c r="G331" s="180"/>
      <c r="H331" s="180"/>
      <c r="I331" s="109"/>
      <c r="J331" s="109"/>
    </row>
    <row r="332" spans="1:10" s="1" customFormat="1" ht="15" customHeight="1">
      <c r="A332" s="76" t="str">
        <f>A19</f>
        <v xml:space="preserve">Outside Bi Fold Door </v>
      </c>
      <c r="B332" s="45"/>
      <c r="C332" s="42"/>
      <c r="D332" s="161"/>
      <c r="E332" s="109"/>
      <c r="F332" s="507"/>
      <c r="G332" s="507"/>
      <c r="H332" s="180"/>
      <c r="I332" s="109"/>
      <c r="J332" s="109"/>
    </row>
    <row r="333" spans="1:10" s="1" customFormat="1" ht="15.9" customHeight="1">
      <c r="A333" s="109"/>
      <c r="B333" s="109"/>
      <c r="C333" s="161"/>
      <c r="D333" s="161"/>
      <c r="E333" s="109"/>
      <c r="F333" s="37"/>
      <c r="G333" s="38"/>
      <c r="H333" s="109"/>
      <c r="I333" s="109"/>
      <c r="J333" s="109"/>
    </row>
    <row r="334" spans="1:10" s="1" customFormat="1" ht="15.9" customHeight="1">
      <c r="A334" s="39"/>
      <c r="C334" s="43"/>
      <c r="D334" s="161"/>
      <c r="E334" s="109"/>
      <c r="F334" s="109"/>
      <c r="G334" s="109"/>
      <c r="H334" s="109"/>
      <c r="I334" s="109"/>
      <c r="J334" s="109"/>
    </row>
    <row r="335" spans="1:10" s="1" customFormat="1" ht="15.9" customHeight="1">
      <c r="A335" s="44"/>
      <c r="C335" s="44"/>
      <c r="D335" s="84"/>
      <c r="E335" s="44"/>
      <c r="F335" s="44"/>
      <c r="G335" s="44"/>
      <c r="H335" s="44"/>
      <c r="I335" s="44"/>
      <c r="J335" s="119"/>
    </row>
    <row r="336" spans="1:10" s="1" customFormat="1" ht="15.9" customHeight="1">
      <c r="A336" s="40"/>
      <c r="C336" s="161"/>
      <c r="D336" s="85"/>
      <c r="E336" s="40"/>
      <c r="F336" s="32"/>
      <c r="G336" s="40"/>
      <c r="H336" s="32"/>
      <c r="I336" s="32"/>
      <c r="J336" s="40"/>
    </row>
    <row r="337" spans="1:10" s="1" customFormat="1" ht="15.9" customHeight="1">
      <c r="A337" s="109"/>
      <c r="C337" s="163"/>
      <c r="D337" s="161"/>
      <c r="E337" s="109"/>
      <c r="F337" s="161"/>
      <c r="G337" s="109"/>
      <c r="H337" s="109"/>
      <c r="I337" s="24"/>
      <c r="J337" s="24"/>
    </row>
    <row r="338" spans="1:10" s="1" customFormat="1" ht="15.9" customHeight="1">
      <c r="A338" s="109"/>
      <c r="B338" s="33"/>
      <c r="C338" s="161"/>
      <c r="D338" s="161"/>
      <c r="E338" s="109"/>
      <c r="F338" s="161"/>
      <c r="G338" s="109"/>
      <c r="H338" s="109"/>
      <c r="I338" s="24"/>
      <c r="J338" s="24"/>
    </row>
    <row r="339" spans="1:10" s="1" customFormat="1" ht="15.9" customHeight="1">
      <c r="A339" s="109"/>
      <c r="B339" s="33"/>
      <c r="C339" s="44"/>
      <c r="D339" s="161"/>
      <c r="E339" s="109"/>
      <c r="F339" s="161"/>
      <c r="G339" s="109"/>
      <c r="H339" s="162"/>
      <c r="I339" s="162"/>
      <c r="J339" s="162"/>
    </row>
    <row r="340" spans="1:10" s="1" customFormat="1" ht="15.9" customHeight="1">
      <c r="A340" s="109"/>
      <c r="B340" s="33"/>
      <c r="C340" s="42"/>
      <c r="D340" s="161"/>
      <c r="E340" s="109"/>
      <c r="F340" s="161"/>
      <c r="G340" s="109"/>
      <c r="H340" s="161"/>
      <c r="I340" s="161"/>
      <c r="J340" s="161"/>
    </row>
    <row r="341" spans="1:10" s="1" customFormat="1" ht="15.9" customHeight="1">
      <c r="A341" s="109"/>
      <c r="B341" s="33"/>
      <c r="C341" s="163"/>
      <c r="D341" s="161"/>
      <c r="E341" s="109"/>
      <c r="F341" s="161"/>
      <c r="G341" s="109"/>
      <c r="H341" s="161"/>
      <c r="I341" s="161"/>
      <c r="J341" s="161"/>
    </row>
    <row r="342" spans="1:10" s="1" customFormat="1" ht="15.9" customHeight="1">
      <c r="A342" s="109"/>
      <c r="B342" s="33"/>
      <c r="C342" s="161"/>
      <c r="D342" s="161"/>
      <c r="E342" s="109"/>
      <c r="F342" s="161"/>
      <c r="G342" s="109"/>
      <c r="H342" s="109"/>
      <c r="I342" s="109"/>
      <c r="J342" s="24"/>
    </row>
    <row r="343" spans="1:10" s="1" customFormat="1" ht="15.9" customHeight="1">
      <c r="A343" s="109"/>
      <c r="B343" s="33"/>
      <c r="C343" s="33"/>
      <c r="D343" s="161"/>
      <c r="E343" s="109"/>
      <c r="F343" s="161"/>
      <c r="G343" s="109"/>
      <c r="H343" s="109"/>
      <c r="I343" s="24"/>
      <c r="J343" s="24"/>
    </row>
    <row r="344" spans="1:10" s="1" customFormat="1" ht="15.9" customHeight="1">
      <c r="A344" s="109"/>
      <c r="B344" s="33"/>
      <c r="C344" s="33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44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161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163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109"/>
      <c r="J349" s="24"/>
    </row>
    <row r="350" spans="1:10" s="1" customFormat="1" ht="15.9" customHeight="1">
      <c r="A350" s="109"/>
      <c r="B350" s="33"/>
      <c r="C350" s="33"/>
      <c r="D350" s="161"/>
      <c r="E350" s="109"/>
      <c r="F350" s="109"/>
      <c r="G350" s="109"/>
      <c r="H350" s="109"/>
      <c r="I350" s="24"/>
      <c r="J350" s="24"/>
    </row>
    <row r="351" spans="1:10" s="1" customFormat="1" ht="15.9" customHeight="1">
      <c r="A351" s="109"/>
      <c r="B351" s="33"/>
      <c r="C351" s="33"/>
      <c r="D351" s="161"/>
      <c r="E351" s="109"/>
      <c r="F351" s="109"/>
      <c r="G351" s="109"/>
      <c r="H351" s="107"/>
      <c r="I351" s="24"/>
      <c r="J351" s="24"/>
    </row>
    <row r="352" spans="1:10" s="1" customFormat="1" ht="15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23" customFormat="1" ht="15.9" customHeight="1">
      <c r="A353" s="109"/>
      <c r="B353" s="33"/>
      <c r="C353" s="33"/>
      <c r="D353" s="161"/>
      <c r="E353" s="109"/>
      <c r="F353" s="109"/>
      <c r="G353" s="109"/>
      <c r="H353" s="109"/>
      <c r="I353" s="109"/>
      <c r="J353" s="109"/>
    </row>
    <row r="354" spans="1:10" s="1" customFormat="1" ht="15.9" customHeight="1">
      <c r="A354" s="44"/>
      <c r="B354" s="44"/>
      <c r="C354" s="44"/>
      <c r="D354" s="84"/>
      <c r="E354" s="44"/>
      <c r="F354" s="44"/>
      <c r="G354" s="44"/>
      <c r="H354" s="44"/>
      <c r="I354" s="44"/>
      <c r="J354" s="119"/>
    </row>
    <row r="355" spans="1:10" s="1" customFormat="1" ht="15.9" customHeight="1">
      <c r="A355" s="40"/>
      <c r="B355" s="40"/>
      <c r="C355" s="44"/>
      <c r="D355" s="85"/>
      <c r="E355" s="40"/>
      <c r="F355" s="32"/>
      <c r="G355" s="40"/>
      <c r="H355" s="32"/>
      <c r="I355" s="32"/>
      <c r="J355" s="40"/>
    </row>
    <row r="356" spans="1:10" s="1" customFormat="1" ht="15.9" customHeight="1">
      <c r="A356" s="27"/>
      <c r="B356" s="33"/>
      <c r="C356" s="42"/>
      <c r="D356" s="161"/>
      <c r="E356" s="109"/>
      <c r="F356" s="109"/>
      <c r="G356" s="109"/>
      <c r="H356" s="42"/>
      <c r="I356" s="24"/>
      <c r="J356" s="24"/>
    </row>
    <row r="357" spans="1:10" s="1" customFormat="1" ht="15.9" customHeight="1">
      <c r="A357" s="27"/>
      <c r="B357" s="33"/>
      <c r="C357" s="163"/>
      <c r="D357" s="161"/>
      <c r="E357" s="109"/>
      <c r="F357" s="109"/>
      <c r="G357" s="109"/>
      <c r="H357" s="163"/>
      <c r="I357" s="163"/>
      <c r="J357" s="163"/>
    </row>
    <row r="358" spans="1:10" s="1" customFormat="1" ht="15.9" customHeight="1">
      <c r="A358" s="27"/>
      <c r="B358" s="33"/>
      <c r="C358" s="161"/>
      <c r="D358" s="161"/>
      <c r="E358" s="109"/>
      <c r="F358" s="109"/>
      <c r="G358" s="109"/>
      <c r="H358" s="161"/>
      <c r="I358" s="161"/>
      <c r="J358" s="161"/>
    </row>
    <row r="359" spans="1:10" s="1" customFormat="1" ht="15.9" customHeight="1">
      <c r="A359" s="27"/>
      <c r="B359" s="33"/>
      <c r="C359" s="33"/>
      <c r="D359" s="161"/>
      <c r="E359" s="109"/>
      <c r="F359" s="109"/>
      <c r="G359" s="109"/>
      <c r="H359" s="109"/>
      <c r="I359" s="24"/>
      <c r="J359" s="24"/>
    </row>
    <row r="360" spans="1:10" s="1" customFormat="1" ht="15.9" customHeight="1">
      <c r="A360" s="27"/>
      <c r="B360" s="33"/>
      <c r="C360" s="33"/>
      <c r="D360" s="161"/>
      <c r="E360" s="109"/>
      <c r="F360" s="109"/>
      <c r="G360" s="109"/>
      <c r="H360" s="109"/>
      <c r="I360" s="24"/>
      <c r="J360" s="24"/>
    </row>
    <row r="361" spans="1:10" s="1" customFormat="1" ht="15.9" customHeight="1">
      <c r="A361" s="27"/>
      <c r="B361" s="33"/>
      <c r="C361" s="46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161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33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33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B369" s="33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D370" s="161"/>
      <c r="E370" s="109"/>
      <c r="F370" s="109"/>
      <c r="G370" s="33"/>
      <c r="H370" s="33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B372" s="33"/>
      <c r="C372" s="33"/>
      <c r="D372" s="161"/>
      <c r="E372" s="109"/>
      <c r="F372" s="109"/>
      <c r="G372" s="109"/>
      <c r="H372" s="109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42"/>
      <c r="I374" s="24"/>
      <c r="J374" s="24"/>
    </row>
    <row r="375" spans="1:10" s="1" customFormat="1" ht="15.9" customHeight="1">
      <c r="A375" s="27"/>
      <c r="B375" s="33"/>
      <c r="C375" s="47"/>
      <c r="D375" s="161"/>
      <c r="E375" s="109"/>
      <c r="F375" s="109"/>
      <c r="G375" s="109"/>
      <c r="H375" s="163"/>
      <c r="I375" s="163"/>
      <c r="J375" s="163"/>
    </row>
    <row r="376" spans="1:10" s="1" customFormat="1" ht="15.9" customHeight="1">
      <c r="A376" s="27"/>
      <c r="B376" s="33"/>
      <c r="C376" s="46"/>
      <c r="D376" s="161"/>
      <c r="E376" s="109"/>
      <c r="F376" s="109"/>
      <c r="G376" s="109"/>
      <c r="H376" s="161"/>
      <c r="I376" s="161"/>
      <c r="J376" s="161"/>
    </row>
    <row r="377" spans="1:10" s="1" customFormat="1" ht="15.9" customHeight="1">
      <c r="A377" s="27"/>
      <c r="B377" s="33"/>
      <c r="C377" s="161"/>
      <c r="D377" s="161"/>
      <c r="E377" s="109"/>
      <c r="F377" s="109"/>
      <c r="G377" s="109"/>
      <c r="H377" s="42"/>
      <c r="I377" s="24"/>
      <c r="J377" s="24"/>
    </row>
    <row r="378" spans="1:10" s="1" customFormat="1" ht="15.9" customHeight="1">
      <c r="A378" s="27"/>
      <c r="B378" s="33"/>
      <c r="C378" s="33"/>
      <c r="D378" s="161"/>
      <c r="E378" s="109"/>
      <c r="F378" s="109"/>
      <c r="G378" s="109"/>
      <c r="H378" s="163"/>
      <c r="I378" s="163"/>
      <c r="J378" s="163"/>
    </row>
    <row r="379" spans="1:10" s="1" customFormat="1" ht="15.9" customHeight="1">
      <c r="A379" s="27"/>
      <c r="B379" s="33"/>
      <c r="C379" s="33"/>
      <c r="D379" s="161"/>
      <c r="E379" s="109"/>
      <c r="F379" s="109"/>
      <c r="G379" s="109"/>
      <c r="H379" s="161"/>
      <c r="I379" s="161"/>
      <c r="J379" s="161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09"/>
      <c r="I380" s="24"/>
      <c r="J380" s="24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09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109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64"/>
      <c r="I387" s="164"/>
      <c r="J387" s="16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65"/>
      <c r="I388" s="165"/>
      <c r="J388" s="165"/>
    </row>
    <row r="389" spans="1:10" s="1" customFormat="1" ht="15.9" customHeight="1">
      <c r="A389" s="27"/>
      <c r="B389" s="33"/>
      <c r="C389" s="47"/>
      <c r="D389" s="161"/>
      <c r="E389" s="109"/>
      <c r="F389" s="109"/>
      <c r="G389" s="109"/>
      <c r="H389" s="161"/>
      <c r="I389" s="161"/>
      <c r="J389" s="161"/>
    </row>
    <row r="390" spans="1:10" s="1" customFormat="1" ht="15.9" customHeight="1">
      <c r="A390" s="27"/>
      <c r="B390" s="33"/>
      <c r="C390" s="46"/>
      <c r="D390" s="161"/>
      <c r="E390" s="109"/>
      <c r="F390" s="109"/>
      <c r="G390" s="109"/>
      <c r="H390" s="109"/>
      <c r="I390" s="24"/>
      <c r="J390" s="24"/>
    </row>
    <row r="391" spans="1:10" s="1" customFormat="1" ht="15.9" customHeight="1">
      <c r="A391" s="27"/>
      <c r="B391" s="33"/>
      <c r="C391" s="161"/>
      <c r="D391" s="161"/>
      <c r="E391" s="109"/>
      <c r="F391" s="109"/>
      <c r="G391" s="109"/>
      <c r="H391" s="109"/>
      <c r="I391" s="109"/>
      <c r="J391" s="24"/>
    </row>
    <row r="392" spans="1:10" s="1" customFormat="1" ht="15.9" customHeight="1">
      <c r="A392" s="27"/>
      <c r="B392" s="33"/>
      <c r="C392" s="33"/>
      <c r="D392" s="161"/>
      <c r="E392" s="109"/>
      <c r="F392" s="109"/>
      <c r="G392" s="109"/>
      <c r="H392" s="109"/>
      <c r="I392" s="24"/>
      <c r="J392" s="24"/>
    </row>
    <row r="393" spans="1:10" s="1" customFormat="1" ht="15.9" customHeight="1">
      <c r="A393" s="27"/>
      <c r="B393" s="33"/>
      <c r="C393" s="33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41"/>
      <c r="B395" s="33"/>
      <c r="C395" s="33"/>
      <c r="D395" s="161"/>
      <c r="E395" s="109"/>
      <c r="F395" s="109"/>
      <c r="G395" s="109"/>
      <c r="H395" s="109"/>
      <c r="I395" s="109"/>
      <c r="J395" s="109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23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1" customFormat="1" ht="15.9" customHeight="1">
      <c r="A404" s="44"/>
      <c r="B404" s="44"/>
      <c r="C404" s="44"/>
      <c r="D404" s="84"/>
      <c r="E404" s="44"/>
      <c r="F404" s="44"/>
      <c r="G404" s="44"/>
      <c r="H404" s="44"/>
      <c r="I404" s="44"/>
      <c r="J404" s="119"/>
    </row>
    <row r="405" spans="1:10" s="1" customFormat="1" ht="15.9" customHeight="1">
      <c r="A405" s="44"/>
      <c r="B405" s="44"/>
      <c r="C405" s="44"/>
      <c r="D405" s="84"/>
      <c r="E405" s="44"/>
      <c r="F405" s="44"/>
      <c r="G405" s="44"/>
      <c r="H405" s="44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109"/>
      <c r="B418" s="33"/>
      <c r="C418" s="33"/>
      <c r="D418" s="161"/>
      <c r="E418" s="109"/>
      <c r="F418" s="109"/>
      <c r="G418" s="109"/>
      <c r="H418" s="109"/>
      <c r="I418" s="24"/>
      <c r="J418" s="24"/>
      <c r="K418" s="71"/>
    </row>
    <row r="419" spans="1:14" s="1" customFormat="1" ht="15.9" customHeight="1">
      <c r="A419" s="109"/>
      <c r="B419" s="33"/>
      <c r="C419" s="33"/>
      <c r="D419" s="161"/>
      <c r="E419" s="109"/>
      <c r="F419" s="109"/>
      <c r="G419" s="109"/>
      <c r="H419" s="109"/>
      <c r="I419" s="24"/>
    </row>
    <row r="420" spans="1:14" ht="18">
      <c r="A420" s="109"/>
      <c r="B420" s="33"/>
      <c r="C420" s="33"/>
      <c r="D420" s="161"/>
      <c r="E420" s="109"/>
      <c r="F420" s="109"/>
      <c r="G420" s="109"/>
      <c r="H420" s="109"/>
      <c r="I420" s="109"/>
      <c r="J420" s="99" t="str">
        <f>LEFT($J$111,10)&amp;"-04"</f>
        <v>FG-240-3PR-04</v>
      </c>
      <c r="K420" s="7"/>
      <c r="L420" s="7"/>
      <c r="M420" s="2"/>
      <c r="N420" s="2"/>
    </row>
    <row r="421" spans="1:14" ht="12.75" customHeight="1">
      <c r="A421" s="109"/>
      <c r="B421" s="33"/>
      <c r="C421" s="33"/>
      <c r="D421" s="161"/>
      <c r="E421" s="109"/>
      <c r="F421" s="109"/>
      <c r="G421" s="109"/>
      <c r="H421" s="109"/>
      <c r="I421" s="109"/>
      <c r="J421" s="114"/>
      <c r="K421" s="7"/>
      <c r="L421" s="7"/>
      <c r="M421" s="2"/>
      <c r="N421" s="2"/>
    </row>
    <row r="422" spans="1:14" ht="30" customHeight="1">
      <c r="B422" s="182"/>
      <c r="C422" s="5"/>
      <c r="D422" s="95"/>
      <c r="E422" s="95"/>
      <c r="F422" s="95"/>
      <c r="G422" s="95"/>
      <c r="H422" s="95"/>
      <c r="I422" s="95"/>
      <c r="J422" s="90" t="str">
        <f>J2</f>
        <v>HOMELIFE</v>
      </c>
      <c r="K422" s="11"/>
      <c r="L422" s="11"/>
      <c r="M422" s="2"/>
      <c r="N422" s="2"/>
    </row>
    <row r="423" spans="1:14" ht="24.9" customHeight="1">
      <c r="B423" s="182"/>
      <c r="C423" s="28"/>
      <c r="D423" s="28"/>
      <c r="E423" s="28"/>
      <c r="F423" s="28"/>
      <c r="G423" s="28"/>
      <c r="H423" s="28"/>
      <c r="I423" s="28"/>
      <c r="J423" s="91" t="str">
        <f>J3</f>
        <v>Fabricators Guide</v>
      </c>
      <c r="K423" s="11"/>
      <c r="L423" s="11"/>
      <c r="M423" s="2"/>
      <c r="N423" s="2"/>
    </row>
    <row r="424" spans="1:14" ht="24.9" customHeight="1">
      <c r="B424" s="8"/>
      <c r="C424" s="28"/>
      <c r="D424" s="28"/>
      <c r="E424" s="28"/>
      <c r="F424" s="28"/>
      <c r="G424" s="28"/>
      <c r="H424" s="28"/>
      <c r="I424" s="28"/>
      <c r="J424" s="91" t="str">
        <f>J4</f>
        <v xml:space="preserve">240 Series Bi Fold Door </v>
      </c>
      <c r="K424" s="48"/>
      <c r="L424" s="48"/>
      <c r="M424" s="4"/>
      <c r="N424" s="4"/>
    </row>
    <row r="425" spans="1:14" s="1" customFormat="1" ht="15" customHeight="1" thickBot="1">
      <c r="A425" s="78"/>
      <c r="B425" s="78"/>
      <c r="C425" s="78"/>
      <c r="D425" s="82"/>
      <c r="E425" s="78"/>
      <c r="F425" s="78"/>
      <c r="G425" s="78"/>
      <c r="H425" s="78"/>
      <c r="I425" s="78"/>
      <c r="J425" s="100"/>
      <c r="K425" s="4"/>
      <c r="L425" s="4"/>
      <c r="M425" s="4"/>
      <c r="N425" s="4"/>
    </row>
    <row r="426" spans="1:14" s="1" customFormat="1" ht="24.9" customHeight="1" thickBot="1">
      <c r="A426" s="502" t="s">
        <v>34</v>
      </c>
      <c r="B426" s="503"/>
      <c r="C426" s="503"/>
      <c r="D426" s="503"/>
      <c r="E426" s="503"/>
      <c r="F426" s="503"/>
      <c r="G426" s="503"/>
      <c r="H426" s="503"/>
      <c r="I426" s="503"/>
      <c r="J426" s="504"/>
    </row>
    <row r="427" spans="1:14" s="1" customFormat="1" ht="15" customHeight="1">
      <c r="A427" s="17"/>
      <c r="B427" s="56"/>
      <c r="C427" s="56"/>
      <c r="D427" s="30"/>
      <c r="E427" s="29"/>
      <c r="F427" s="30"/>
      <c r="H427" s="44"/>
      <c r="I427" s="44"/>
      <c r="J427" s="119"/>
    </row>
    <row r="428" spans="1:14" s="1" customFormat="1" ht="15" customHeight="1">
      <c r="A428" s="17"/>
      <c r="B428" s="56"/>
      <c r="C428" s="56"/>
      <c r="D428" s="30"/>
      <c r="E428" s="29"/>
      <c r="F428" s="30"/>
      <c r="H428" s="44"/>
      <c r="I428" s="44"/>
      <c r="J428" s="119"/>
    </row>
    <row r="429" spans="1:14" s="1" customFormat="1" ht="15" customHeight="1">
      <c r="A429" s="109"/>
      <c r="B429" s="33"/>
      <c r="C429" s="161"/>
      <c r="D429" s="161"/>
      <c r="E429" s="109"/>
      <c r="F429" s="161"/>
      <c r="H429" s="44"/>
      <c r="I429" s="44"/>
      <c r="J429" s="119"/>
    </row>
    <row r="430" spans="1:14" s="1" customFormat="1" ht="15" customHeight="1">
      <c r="A430" s="109"/>
      <c r="B430" s="33"/>
      <c r="C430" s="161"/>
      <c r="D430" s="161"/>
      <c r="E430" s="35"/>
      <c r="F430" s="163"/>
      <c r="H430" s="44"/>
      <c r="I430" s="44"/>
      <c r="J430" s="119"/>
    </row>
    <row r="431" spans="1:14" s="1" customFormat="1" ht="15" customHeight="1">
      <c r="A431" s="109"/>
      <c r="B431" s="33"/>
      <c r="C431" s="161"/>
      <c r="D431" s="161"/>
      <c r="E431" s="35"/>
      <c r="F431" s="161"/>
      <c r="H431" s="44"/>
      <c r="I431" s="44"/>
      <c r="J431" s="119"/>
    </row>
    <row r="432" spans="1:14" s="1" customFormat="1" ht="15" customHeight="1">
      <c r="A432" s="109"/>
      <c r="B432" s="33"/>
      <c r="C432" s="161"/>
      <c r="D432" s="161"/>
      <c r="E432" s="35"/>
      <c r="F432" s="161"/>
      <c r="H432" s="44"/>
      <c r="I432" s="44"/>
      <c r="J432" s="119"/>
    </row>
    <row r="433" spans="1:10" s="1" customFormat="1" ht="15" customHeight="1">
      <c r="A433" s="109"/>
      <c r="B433" s="33"/>
      <c r="C433" s="42"/>
      <c r="D433" s="161"/>
      <c r="E433" s="109"/>
      <c r="F433" s="69"/>
      <c r="H433" s="44"/>
      <c r="I433" s="44"/>
      <c r="J433" s="119"/>
    </row>
    <row r="434" spans="1:10" s="1" customFormat="1" ht="15" customHeight="1">
      <c r="A434" s="39"/>
      <c r="B434" s="39"/>
      <c r="C434" s="163"/>
      <c r="D434" s="161"/>
      <c r="E434" s="109"/>
      <c r="F434" s="68"/>
      <c r="H434" s="44"/>
      <c r="I434" s="44"/>
      <c r="J434" s="119"/>
    </row>
    <row r="435" spans="1:10" s="1" customFormat="1" ht="15" customHeight="1">
      <c r="A435" s="92"/>
      <c r="B435" s="92"/>
      <c r="C435" s="161"/>
      <c r="D435" s="161"/>
      <c r="E435" s="109"/>
      <c r="F435" s="180"/>
      <c r="H435" s="44"/>
      <c r="I435" s="44"/>
      <c r="J435" s="119"/>
    </row>
    <row r="436" spans="1:10" s="1" customFormat="1" ht="15" customHeight="1">
      <c r="B436" s="92"/>
      <c r="C436" s="161"/>
      <c r="D436" s="161"/>
      <c r="E436" s="109"/>
      <c r="F436" s="180"/>
      <c r="H436" s="44"/>
      <c r="I436" s="44"/>
      <c r="J436" s="119"/>
    </row>
    <row r="437" spans="1:10" s="1" customFormat="1" ht="15" customHeight="1">
      <c r="A437" s="64" t="str">
        <f>A18</f>
        <v>240-3 Panel (R)</v>
      </c>
      <c r="C437" s="42"/>
      <c r="D437" s="161"/>
      <c r="E437" s="109"/>
      <c r="F437" s="68"/>
      <c r="H437" s="44"/>
      <c r="I437" s="44"/>
      <c r="J437" s="119"/>
    </row>
    <row r="438" spans="1:10" s="1" customFormat="1" ht="15.9" customHeight="1">
      <c r="A438" s="76" t="str">
        <f>A19</f>
        <v xml:space="preserve">Outside Bi Fold Door </v>
      </c>
      <c r="C438" s="161"/>
      <c r="D438" s="161"/>
      <c r="E438" s="109"/>
      <c r="F438" s="37"/>
      <c r="H438" s="44"/>
      <c r="I438" s="44"/>
      <c r="J438" s="119"/>
    </row>
    <row r="439" spans="1:10" s="1" customFormat="1" ht="15.9" customHeight="1">
      <c r="A439" s="39"/>
      <c r="B439" s="38"/>
      <c r="C439" s="43"/>
      <c r="D439" s="161"/>
      <c r="E439" s="109"/>
      <c r="F439" s="109"/>
      <c r="H439" s="44"/>
      <c r="I439" s="44"/>
      <c r="J439" s="119"/>
    </row>
    <row r="440" spans="1:10" s="1" customFormat="1" ht="15.9" customHeight="1">
      <c r="A440" s="44"/>
      <c r="C440" s="44"/>
      <c r="D440" s="84"/>
      <c r="E440" s="44"/>
      <c r="F440" s="44"/>
      <c r="H440" s="44"/>
      <c r="I440" s="44"/>
      <c r="J440" s="119"/>
    </row>
    <row r="441" spans="1:10" s="1" customFormat="1" ht="15.9" customHeight="1">
      <c r="A441" s="40"/>
      <c r="C441" s="161"/>
      <c r="D441" s="85"/>
      <c r="E441" s="40"/>
      <c r="F441" s="32"/>
      <c r="H441" s="44"/>
      <c r="I441" s="44"/>
      <c r="J441" s="119"/>
    </row>
    <row r="447" spans="1:10" s="1" customFormat="1" ht="15.9" customHeight="1">
      <c r="A447" s="109"/>
      <c r="B447" s="33"/>
      <c r="C447" s="33"/>
      <c r="D447" s="161"/>
      <c r="E447" s="109"/>
      <c r="F447" s="161"/>
      <c r="G447" s="109"/>
      <c r="H447" s="109"/>
      <c r="I447" s="24"/>
      <c r="J447" s="24"/>
    </row>
    <row r="448" spans="1:10" s="1" customFormat="1" ht="15.9" customHeight="1">
      <c r="A448" s="109"/>
      <c r="B448" s="33"/>
      <c r="C448" s="33"/>
      <c r="D448" s="161"/>
      <c r="E448" s="109"/>
      <c r="F448" s="161"/>
      <c r="G448" s="109"/>
      <c r="H448" s="109"/>
      <c r="I448" s="24"/>
      <c r="J448" s="24"/>
    </row>
    <row r="449" spans="1:10" s="1" customFormat="1" ht="15.9" customHeight="1">
      <c r="A449" s="109"/>
      <c r="B449" s="33"/>
      <c r="C449" s="33"/>
      <c r="D449" s="161"/>
      <c r="E449" s="109"/>
      <c r="F449" s="161"/>
      <c r="G449" s="109"/>
      <c r="H449" s="109"/>
      <c r="I449" s="24"/>
      <c r="J449" s="24"/>
    </row>
    <row r="450" spans="1:10" s="1" customFormat="1" ht="15.9" customHeight="1">
      <c r="A450" s="109"/>
      <c r="B450" s="33"/>
      <c r="C450" s="44"/>
      <c r="D450" s="161"/>
      <c r="E450" s="109"/>
      <c r="F450" s="161"/>
      <c r="G450" s="109"/>
      <c r="H450" s="109"/>
      <c r="I450" s="24"/>
      <c r="J450" s="24"/>
    </row>
    <row r="451" spans="1:10" s="1" customFormat="1" ht="15.9" customHeight="1">
      <c r="A451" s="109"/>
      <c r="B451" s="33"/>
      <c r="C451" s="161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16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161"/>
      <c r="D453" s="161"/>
      <c r="E453" s="109"/>
      <c r="F453" s="161"/>
      <c r="G453" s="109"/>
      <c r="H453" s="109"/>
      <c r="I453" s="109"/>
      <c r="J453" s="24"/>
    </row>
    <row r="454" spans="1:10" s="1" customFormat="1" ht="15.9" customHeight="1">
      <c r="A454" s="109"/>
      <c r="B454" s="33"/>
      <c r="C454" s="33"/>
      <c r="D454" s="161"/>
      <c r="E454" s="109"/>
      <c r="F454" s="109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33"/>
      <c r="D455" s="161"/>
      <c r="E455" s="109"/>
      <c r="F455" s="109"/>
      <c r="G455" s="109"/>
      <c r="H455" s="107"/>
      <c r="I455" s="24"/>
      <c r="J455" s="24"/>
    </row>
    <row r="456" spans="1:10" s="1" customFormat="1" ht="15" customHeight="1">
      <c r="A456" s="109"/>
      <c r="B456" s="33"/>
      <c r="C456" s="33"/>
      <c r="D456" s="161"/>
      <c r="E456" s="109"/>
      <c r="F456" s="109"/>
      <c r="G456" s="109"/>
      <c r="H456" s="109"/>
      <c r="I456" s="24"/>
      <c r="J456" s="24"/>
    </row>
    <row r="457" spans="1:10" s="1" customFormat="1" ht="15" customHeight="1">
      <c r="A457" s="109"/>
      <c r="B457" s="33"/>
      <c r="C457" s="33"/>
      <c r="D457" s="161"/>
      <c r="E457" s="109"/>
      <c r="F457" s="109"/>
      <c r="G457" s="109"/>
      <c r="H457" s="109"/>
      <c r="I457" s="24"/>
      <c r="J457" s="24"/>
    </row>
    <row r="458" spans="1:10" s="1" customFormat="1" ht="15" customHeight="1">
      <c r="A458" s="109"/>
      <c r="B458" s="33"/>
      <c r="C458" s="33"/>
      <c r="D458" s="161"/>
      <c r="E458" s="109"/>
      <c r="F458" s="109"/>
      <c r="G458" s="109"/>
      <c r="H458" s="109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9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23" customFormat="1" ht="15.9" customHeight="1">
      <c r="A474" s="109"/>
      <c r="B474" s="33"/>
      <c r="C474" s="33"/>
      <c r="D474" s="161"/>
      <c r="E474" s="109"/>
      <c r="F474" s="109"/>
      <c r="G474" s="109"/>
      <c r="H474" s="109"/>
      <c r="I474" s="109"/>
      <c r="J474" s="109"/>
    </row>
    <row r="475" spans="1:10" s="1" customFormat="1" ht="15.9" customHeight="1">
      <c r="A475" s="44"/>
      <c r="B475" s="44"/>
      <c r="C475" s="44"/>
      <c r="D475" s="84"/>
      <c r="E475" s="44"/>
      <c r="F475" s="44"/>
      <c r="G475" s="44"/>
      <c r="H475" s="44"/>
      <c r="I475" s="44"/>
      <c r="J475" s="119"/>
    </row>
    <row r="476" spans="1:10" s="1" customFormat="1" ht="15.9" customHeight="1">
      <c r="A476" s="40"/>
      <c r="B476" s="40"/>
      <c r="C476" s="44"/>
      <c r="D476" s="85"/>
      <c r="E476" s="40"/>
      <c r="F476" s="32"/>
      <c r="G476" s="40"/>
      <c r="H476" s="32"/>
      <c r="I476" s="32"/>
      <c r="J476" s="40"/>
    </row>
    <row r="477" spans="1:10" s="1" customFormat="1" ht="15.9" customHeight="1">
      <c r="A477" s="27"/>
      <c r="B477" s="33"/>
      <c r="C477" s="42"/>
      <c r="D477" s="161"/>
      <c r="E477" s="109"/>
      <c r="F477" s="109"/>
      <c r="G477" s="109"/>
      <c r="H477" s="42"/>
      <c r="I477" s="24"/>
      <c r="J477" s="24"/>
    </row>
    <row r="478" spans="1:10" s="1" customFormat="1" ht="15.9" customHeight="1">
      <c r="A478" s="27"/>
      <c r="B478" s="33"/>
      <c r="C478" s="163"/>
      <c r="D478" s="161"/>
      <c r="E478" s="109"/>
      <c r="F478" s="109"/>
      <c r="G478" s="109"/>
      <c r="H478" s="67"/>
      <c r="I478" s="67"/>
      <c r="J478" s="165"/>
    </row>
    <row r="479" spans="1:10" s="1" customFormat="1" ht="15.9" customHeight="1">
      <c r="A479" s="27"/>
      <c r="B479" s="33"/>
      <c r="C479" s="161"/>
      <c r="D479" s="161"/>
      <c r="E479" s="109"/>
      <c r="F479" s="109"/>
      <c r="G479" s="109"/>
      <c r="H479" s="38"/>
      <c r="I479" s="38"/>
      <c r="J479" s="109"/>
    </row>
    <row r="480" spans="1:10" s="1" customFormat="1" ht="15.9" customHeight="1">
      <c r="A480" s="27"/>
      <c r="B480" s="33"/>
      <c r="C480" s="33"/>
      <c r="D480" s="161"/>
      <c r="E480" s="109"/>
      <c r="F480" s="109"/>
      <c r="G480" s="109"/>
      <c r="H480" s="109"/>
      <c r="I480" s="24"/>
      <c r="J480" s="24"/>
    </row>
    <row r="481" spans="1:10" s="1" customFormat="1" ht="15.9" customHeight="1">
      <c r="A481" s="27"/>
      <c r="B481" s="33"/>
      <c r="C481" s="33"/>
      <c r="D481" s="161"/>
      <c r="E481" s="109"/>
      <c r="F481" s="109"/>
      <c r="G481" s="109"/>
      <c r="H481" s="109"/>
      <c r="I481" s="24"/>
      <c r="J481" s="24"/>
    </row>
    <row r="482" spans="1:10" s="1" customFormat="1" ht="15.9" customHeight="1">
      <c r="A482" s="27"/>
      <c r="B482" s="33"/>
      <c r="C482" s="46"/>
      <c r="D482" s="161"/>
      <c r="E482" s="109"/>
      <c r="F482" s="109"/>
      <c r="G482" s="109"/>
      <c r="H482" s="109"/>
      <c r="I482" s="24"/>
      <c r="J482" s="24"/>
    </row>
    <row r="483" spans="1:10" s="1" customFormat="1" ht="15.9" customHeight="1">
      <c r="A483" s="27"/>
      <c r="B483" s="33"/>
      <c r="C483" s="161"/>
      <c r="D483" s="161"/>
      <c r="E483" s="109"/>
      <c r="F483" s="109"/>
      <c r="G483" s="109"/>
      <c r="H483" s="109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33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33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D491" s="161"/>
      <c r="E491" s="109"/>
      <c r="F491" s="109"/>
      <c r="G491" s="33"/>
      <c r="H491" s="33"/>
      <c r="I491" s="24"/>
      <c r="J491" s="24"/>
    </row>
    <row r="492" spans="1:10" s="1" customFormat="1" ht="15.9" customHeight="1">
      <c r="A492" s="27"/>
      <c r="B492" s="33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B495" s="33"/>
      <c r="C495" s="33"/>
      <c r="D495" s="161"/>
      <c r="E495" s="109"/>
      <c r="F495" s="109"/>
      <c r="G495" s="109"/>
      <c r="H495" s="42"/>
      <c r="I495" s="24"/>
      <c r="J495" s="24"/>
    </row>
    <row r="496" spans="1:10" s="1" customFormat="1" ht="15.9" customHeight="1">
      <c r="A496" s="27"/>
      <c r="B496" s="33"/>
      <c r="C496" s="47"/>
      <c r="D496" s="161"/>
      <c r="E496" s="109"/>
      <c r="F496" s="109"/>
      <c r="G496" s="109"/>
      <c r="H496" s="67"/>
      <c r="I496" s="67"/>
      <c r="J496" s="165"/>
    </row>
    <row r="497" spans="1:10" s="1" customFormat="1" ht="15.9" customHeight="1">
      <c r="A497" s="27"/>
      <c r="B497" s="33"/>
      <c r="C497" s="46"/>
      <c r="D497" s="161"/>
      <c r="E497" s="109"/>
      <c r="F497" s="109"/>
      <c r="G497" s="109"/>
      <c r="H497" s="38"/>
      <c r="I497" s="38"/>
      <c r="J497" s="109"/>
    </row>
    <row r="498" spans="1:10" s="1" customFormat="1" ht="15.9" customHeight="1">
      <c r="A498" s="27"/>
      <c r="B498" s="33"/>
      <c r="C498" s="161"/>
      <c r="D498" s="161"/>
      <c r="E498" s="109"/>
      <c r="F498" s="109"/>
      <c r="G498" s="109"/>
      <c r="H498" s="42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67"/>
      <c r="I499" s="67"/>
      <c r="J499" s="165"/>
    </row>
    <row r="500" spans="1:10" s="1" customFormat="1" ht="15.9" customHeight="1">
      <c r="A500" s="27"/>
      <c r="B500" s="33"/>
      <c r="C500" s="33"/>
      <c r="D500" s="161"/>
      <c r="E500" s="109"/>
      <c r="F500" s="109"/>
      <c r="G500" s="109"/>
      <c r="H500" s="38"/>
      <c r="I500" s="38"/>
      <c r="J500" s="109"/>
    </row>
    <row r="501" spans="1:10" s="1" customFormat="1" ht="15.9" customHeight="1">
      <c r="A501" s="27"/>
      <c r="B501" s="33"/>
      <c r="C501" s="33"/>
      <c r="D501" s="161"/>
      <c r="E501" s="109"/>
      <c r="F501" s="109"/>
      <c r="G501" s="109"/>
      <c r="H501" s="109"/>
      <c r="I501" s="24"/>
      <c r="J501" s="24"/>
    </row>
    <row r="502" spans="1:10" s="1" customFormat="1" ht="15.9" customHeight="1">
      <c r="A502" s="27"/>
      <c r="B502" s="33"/>
      <c r="C502" s="33"/>
      <c r="D502" s="161"/>
      <c r="E502" s="109"/>
      <c r="F502" s="109"/>
      <c r="G502" s="109"/>
      <c r="H502" s="109"/>
      <c r="I502" s="24"/>
      <c r="J502" s="24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109"/>
      <c r="I503" s="24"/>
      <c r="J503" s="24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109"/>
      <c r="I504" s="109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109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109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66"/>
      <c r="I511" s="43"/>
      <c r="J511" s="107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67"/>
      <c r="I512" s="38"/>
      <c r="J512" s="109"/>
    </row>
    <row r="513" spans="1:15" s="1" customFormat="1" ht="15.9" customHeight="1">
      <c r="A513" s="44"/>
      <c r="B513" s="44"/>
      <c r="C513" s="44"/>
      <c r="D513" s="84"/>
      <c r="E513" s="44"/>
      <c r="F513" s="44"/>
      <c r="G513" s="44"/>
      <c r="H513" s="44"/>
      <c r="I513" s="44"/>
      <c r="J513" s="119"/>
    </row>
    <row r="514" spans="1:15" s="1" customFormat="1" ht="15.9" customHeight="1">
      <c r="A514" s="44"/>
      <c r="B514" s="44"/>
      <c r="C514" s="44"/>
      <c r="D514" s="84"/>
      <c r="E514" s="44"/>
      <c r="F514" s="44"/>
      <c r="G514" s="44"/>
      <c r="H514" s="44"/>
      <c r="I514" s="44"/>
      <c r="J514" s="119"/>
    </row>
    <row r="515" spans="1:15" s="1" customFormat="1" ht="15.9" customHeight="1">
      <c r="A515" s="44"/>
      <c r="B515" s="44"/>
      <c r="C515" s="44"/>
      <c r="D515" s="84"/>
      <c r="E515" s="44"/>
      <c r="F515" s="44"/>
      <c r="G515" s="44"/>
      <c r="H515" s="44"/>
      <c r="I515" s="44"/>
      <c r="J515" s="119"/>
    </row>
    <row r="516" spans="1:15" s="1" customFormat="1" ht="15.9" customHeight="1">
      <c r="A516" s="44"/>
      <c r="B516" s="44"/>
      <c r="C516" s="44"/>
      <c r="D516" s="84"/>
      <c r="E516" s="44"/>
      <c r="F516" s="44"/>
      <c r="G516" s="44"/>
      <c r="H516" s="44"/>
      <c r="I516" s="44"/>
      <c r="J516" s="119"/>
    </row>
    <row r="517" spans="1:15" s="1" customFormat="1" ht="15.9" customHeight="1"/>
    <row r="518" spans="1:15" s="1" customFormat="1" ht="15.9" customHeight="1" thickBot="1"/>
    <row r="519" spans="1:15" s="1" customFormat="1" ht="24.9" customHeight="1" thickBot="1">
      <c r="A519" s="502" t="s">
        <v>401</v>
      </c>
      <c r="B519" s="503"/>
      <c r="C519" s="503"/>
      <c r="D519" s="503"/>
      <c r="E519" s="503"/>
      <c r="F519" s="503"/>
      <c r="G519" s="503"/>
      <c r="H519" s="503"/>
      <c r="I519" s="503"/>
      <c r="J519" s="504"/>
    </row>
    <row r="520" spans="1:15" s="1" customFormat="1" ht="35.1" customHeight="1" thickBot="1">
      <c r="A520" s="102" t="s">
        <v>2</v>
      </c>
      <c r="B520" s="103" t="s">
        <v>3</v>
      </c>
      <c r="C520" s="103" t="s">
        <v>3</v>
      </c>
      <c r="D520" s="104" t="s">
        <v>35</v>
      </c>
      <c r="E520" s="103" t="s">
        <v>5</v>
      </c>
      <c r="F520" s="339" t="s">
        <v>27</v>
      </c>
      <c r="G520" s="305"/>
      <c r="H520" s="104" t="s">
        <v>27</v>
      </c>
      <c r="I520" s="104" t="s">
        <v>26</v>
      </c>
      <c r="J520" s="115" t="s">
        <v>6</v>
      </c>
      <c r="N520" s="249" t="s">
        <v>3</v>
      </c>
      <c r="O520" s="249" t="s">
        <v>3</v>
      </c>
    </row>
    <row r="521" spans="1:15" s="1" customFormat="1" ht="15.9" customHeight="1">
      <c r="A521" s="123">
        <f>IF(C521="","",1)</f>
        <v>1</v>
      </c>
      <c r="B521" s="121" t="str">
        <f>IF($D$127=5,N521,IF($D$127=6,N522,IF($D$127=8,N523,IF($D$127=10,N524,IF($D$127=12,N525,IF($D$127=14,N526,IF($D$127=18,N527,IF($D$127=20,N528,IF($D$127=22,N529,)))))))))</f>
        <v>กระจก 6 mm (สูง) (กว้าง)</v>
      </c>
      <c r="C521" s="121" t="str">
        <f>IF($D$127=5,O521,IF($D$127=6,O522,IF($D$127=8,O523,IF($D$127=10,O524,IF($D$127=12,O525,IF($D$127=14,O526,IF($D$127=18,O527,IF($D$127=20,O528,IF($D$127=22,O529,)))))))))</f>
        <v>GLASS thk.6 mm (H) (W)</v>
      </c>
      <c r="D521" s="124">
        <f>$J$123-215</f>
        <v>2335</v>
      </c>
      <c r="E521" s="123" t="s">
        <v>11</v>
      </c>
      <c r="F521" s="527" t="s">
        <v>271</v>
      </c>
      <c r="G521" s="528"/>
      <c r="H521" s="123" t="s">
        <v>402</v>
      </c>
      <c r="I521" s="124">
        <f>(($J$126-182-(113.25*2))/3)-13</f>
        <v>674.16666666666663</v>
      </c>
      <c r="J521" s="151">
        <f>$J$120*3</f>
        <v>3</v>
      </c>
      <c r="M521" s="1">
        <f>ROW()</f>
        <v>521</v>
      </c>
      <c r="N521" s="19" t="s">
        <v>194</v>
      </c>
      <c r="O521" s="19" t="s">
        <v>195</v>
      </c>
    </row>
    <row r="522" spans="1:15" s="1" customFormat="1" ht="15.9" customHeight="1">
      <c r="A522" s="152"/>
      <c r="B522" s="127"/>
      <c r="C522" s="127"/>
      <c r="D522" s="128" t="s">
        <v>0</v>
      </c>
      <c r="E522" s="129"/>
      <c r="F522" s="155"/>
      <c r="G522" s="156"/>
      <c r="H522" s="127"/>
      <c r="I522" s="130"/>
      <c r="J522" s="153"/>
      <c r="M522" s="1">
        <f>ROW()</f>
        <v>522</v>
      </c>
      <c r="N522" s="19" t="s">
        <v>53</v>
      </c>
      <c r="O522" s="19" t="s">
        <v>54</v>
      </c>
    </row>
    <row r="523" spans="1:15" s="1" customFormat="1" ht="15.9" customHeight="1">
      <c r="A523" s="152"/>
      <c r="B523" s="127"/>
      <c r="C523" s="127"/>
      <c r="D523" s="128"/>
      <c r="E523" s="129"/>
      <c r="F523" s="155"/>
      <c r="G523" s="156"/>
      <c r="H523" s="127"/>
      <c r="I523" s="130"/>
      <c r="J523" s="153"/>
      <c r="M523" s="1">
        <f>ROW()</f>
        <v>523</v>
      </c>
      <c r="N523" s="19" t="s">
        <v>257</v>
      </c>
      <c r="O523" s="19" t="s">
        <v>258</v>
      </c>
    </row>
    <row r="524" spans="1:15" s="1" customFormat="1" ht="15.9" customHeight="1">
      <c r="A524" s="152"/>
      <c r="B524" s="127"/>
      <c r="C524" s="127"/>
      <c r="D524" s="128"/>
      <c r="E524" s="129"/>
      <c r="F524" s="155"/>
      <c r="G524" s="156"/>
      <c r="H524" s="129"/>
      <c r="I524" s="130"/>
      <c r="J524" s="153"/>
      <c r="M524" s="1">
        <f>ROW()</f>
        <v>524</v>
      </c>
      <c r="N524" s="19" t="s">
        <v>259</v>
      </c>
      <c r="O524" s="19" t="s">
        <v>265</v>
      </c>
    </row>
    <row r="525" spans="1:15" s="1" customFormat="1" ht="15.9" customHeight="1">
      <c r="A525" s="135" t="str">
        <f>IF(B525="","",+A522+1)</f>
        <v/>
      </c>
      <c r="B525" s="133"/>
      <c r="C525" s="133"/>
      <c r="D525" s="134"/>
      <c r="E525" s="135"/>
      <c r="F525" s="158"/>
      <c r="G525" s="159"/>
      <c r="H525" s="135"/>
      <c r="I525" s="145"/>
      <c r="J525" s="136"/>
      <c r="M525" s="1">
        <f>ROW()</f>
        <v>525</v>
      </c>
      <c r="N525" s="19" t="s">
        <v>260</v>
      </c>
      <c r="O525" s="19" t="s">
        <v>266</v>
      </c>
    </row>
    <row r="526" spans="1:15">
      <c r="J526" s="99" t="str">
        <f>LEFT($J$111,10)&amp;"-05"</f>
        <v>FG-240-3PR-05</v>
      </c>
      <c r="M526" s="1">
        <f>ROW()</f>
        <v>526</v>
      </c>
      <c r="N526" s="19" t="s">
        <v>261</v>
      </c>
      <c r="O526" s="19" t="s">
        <v>267</v>
      </c>
    </row>
    <row r="527" spans="1:15">
      <c r="M527" s="1">
        <f>ROW()</f>
        <v>527</v>
      </c>
      <c r="N527" s="19" t="s">
        <v>262</v>
      </c>
      <c r="O527" s="19" t="s">
        <v>268</v>
      </c>
    </row>
    <row r="528" spans="1:15">
      <c r="M528" s="1">
        <f>ROW()</f>
        <v>528</v>
      </c>
      <c r="N528" s="19" t="s">
        <v>263</v>
      </c>
      <c r="O528" s="19" t="s">
        <v>269</v>
      </c>
    </row>
    <row r="529" spans="13:15">
      <c r="M529" s="1">
        <f>ROW()</f>
        <v>529</v>
      </c>
      <c r="N529" s="19" t="s">
        <v>264</v>
      </c>
      <c r="O529" s="19" t="s">
        <v>270</v>
      </c>
    </row>
  </sheetData>
  <dataConsolidate function="product">
    <dataRefs count="1">
      <dataRef ref="O154:O162" sheet="240_2Panel(L)" r:id="rId1"/>
    </dataRefs>
  </dataConsolidate>
  <mergeCells count="44">
    <mergeCell ref="I156:J156"/>
    <mergeCell ref="H123:I124"/>
    <mergeCell ref="J123:J124"/>
    <mergeCell ref="A125:B125"/>
    <mergeCell ref="H126:I127"/>
    <mergeCell ref="J126:J127"/>
    <mergeCell ref="D127:G127"/>
    <mergeCell ref="A131:J131"/>
    <mergeCell ref="I153:J153"/>
    <mergeCell ref="I154:J154"/>
    <mergeCell ref="I155:J155"/>
    <mergeCell ref="D129:G129"/>
    <mergeCell ref="D123:G123"/>
    <mergeCell ref="D125:G125"/>
    <mergeCell ref="D121:G121"/>
    <mergeCell ref="A6:J6"/>
    <mergeCell ref="H120:I121"/>
    <mergeCell ref="J120:J121"/>
    <mergeCell ref="A117:J117"/>
    <mergeCell ref="D119:G119"/>
    <mergeCell ref="I157:J157"/>
    <mergeCell ref="D158:D159"/>
    <mergeCell ref="H158:H159"/>
    <mergeCell ref="I158:J159"/>
    <mergeCell ref="I160:J160"/>
    <mergeCell ref="H160:H161"/>
    <mergeCell ref="I167:J167"/>
    <mergeCell ref="I161:J164"/>
    <mergeCell ref="D160:D161"/>
    <mergeCell ref="D162:D166"/>
    <mergeCell ref="D167:D168"/>
    <mergeCell ref="H167:H168"/>
    <mergeCell ref="I168:J168"/>
    <mergeCell ref="I165:J166"/>
    <mergeCell ref="H162:H166"/>
    <mergeCell ref="A169:J169"/>
    <mergeCell ref="A319:J319"/>
    <mergeCell ref="A426:J426"/>
    <mergeCell ref="A212:J212"/>
    <mergeCell ref="F521:G521"/>
    <mergeCell ref="A519:J519"/>
    <mergeCell ref="F332:G332"/>
    <mergeCell ref="F328:G328"/>
    <mergeCell ref="F329:G329"/>
  </mergeCells>
  <dataValidations count="3">
    <dataValidation type="list" allowBlank="1" showInputMessage="1" showErrorMessage="1" sqref="D127:G127">
      <formula1>$N$120:$N$128</formula1>
    </dataValidation>
    <dataValidation type="list" allowBlank="1" showInputMessage="1" showErrorMessage="1" sqref="D129:G129">
      <formula1>$O$120</formula1>
    </dataValidation>
    <dataValidation type="list" allowBlank="1" showInputMessage="1" showErrorMessage="1" sqref="D123:G123">
      <formula1>$P$119:$P$128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4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6" max="9" man="1"/>
    <brk id="313" max="16383" man="1"/>
    <brk id="420" max="9" man="1"/>
  </rowBreaks>
  <drawing r:id="rId3"/>
  <legacy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theme="5" tint="-0.249977111117893"/>
  </sheetPr>
  <dimension ref="A1:AI529"/>
  <sheetViews>
    <sheetView showGridLines="0" view="pageBreakPreview" zoomScale="75" zoomScaleNormal="75" zoomScaleSheetLayoutView="75" workbookViewId="0">
      <selection activeCell="C15" sqref="C15"/>
    </sheetView>
  </sheetViews>
  <sheetFormatPr defaultRowHeight="14.4" outlineLevelRow="1" outlineLevelCol="1"/>
  <cols>
    <col min="1" max="1" width="7" customWidth="1"/>
    <col min="2" max="2" width="40.6640625" customWidth="1"/>
    <col min="3" max="3" width="61.3320312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6.6640625" customWidth="1"/>
    <col min="9" max="9" width="11.109375" bestFit="1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3.4414062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182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182"/>
      <c r="E3" s="182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133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>
      <c r="G45" s="10"/>
    </row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/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329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182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182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323" customFormat="1" ht="24.9" customHeight="1" thickBot="1">
      <c r="A117" s="543" t="s">
        <v>31</v>
      </c>
      <c r="B117" s="544"/>
      <c r="C117" s="544"/>
      <c r="D117" s="544"/>
      <c r="E117" s="544"/>
      <c r="F117" s="544"/>
      <c r="G117" s="544"/>
      <c r="H117" s="544"/>
      <c r="I117" s="544"/>
      <c r="J117" s="545"/>
      <c r="K117" s="321"/>
      <c r="L117" s="322"/>
      <c r="M117" s="322"/>
      <c r="N117" s="322"/>
    </row>
    <row r="118" spans="1:16" s="1" customFormat="1" ht="15.6">
      <c r="A118" s="12"/>
      <c r="C118" s="8"/>
      <c r="D118" s="15"/>
      <c r="E118" s="13"/>
      <c r="J118" s="181"/>
      <c r="K118" s="11"/>
      <c r="L118" s="56"/>
      <c r="M118" s="56"/>
      <c r="N118" s="56"/>
    </row>
    <row r="119" spans="1:16" s="1" customFormat="1" ht="15" customHeight="1">
      <c r="A119" s="12"/>
      <c r="C119" s="110" t="s">
        <v>635</v>
      </c>
      <c r="D119" s="524" t="s">
        <v>670</v>
      </c>
      <c r="E119" s="525"/>
      <c r="F119" s="525"/>
      <c r="G119" s="526"/>
      <c r="I119" s="16"/>
      <c r="J119" s="12"/>
      <c r="N119" s="243" t="s">
        <v>191</v>
      </c>
      <c r="O119" s="12" t="s">
        <v>227</v>
      </c>
      <c r="P119" s="247" t="s">
        <v>16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4">
        <v>5</v>
      </c>
      <c r="O120" s="12" t="s">
        <v>243</v>
      </c>
      <c r="P120" s="335" t="s">
        <v>389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6</v>
      </c>
      <c r="O121" s="12" t="s">
        <v>244</v>
      </c>
      <c r="P121" s="336" t="s">
        <v>390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8</v>
      </c>
      <c r="P122" s="336" t="s">
        <v>391</v>
      </c>
    </row>
    <row r="123" spans="1:16" s="1" customFormat="1" ht="15" customHeight="1">
      <c r="A123" s="12"/>
      <c r="C123" s="110" t="s">
        <v>629</v>
      </c>
      <c r="D123" s="524" t="s">
        <v>391</v>
      </c>
      <c r="E123" s="525"/>
      <c r="F123" s="525"/>
      <c r="G123" s="526"/>
      <c r="H123" s="519" t="s">
        <v>638</v>
      </c>
      <c r="I123" s="520"/>
      <c r="J123" s="517">
        <v>2525</v>
      </c>
      <c r="N123" s="245">
        <v>10</v>
      </c>
      <c r="P123" s="336" t="s">
        <v>392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12</v>
      </c>
      <c r="P124" s="335" t="s">
        <v>393</v>
      </c>
    </row>
    <row r="125" spans="1:16" s="1" customFormat="1" ht="15" customHeight="1">
      <c r="A125" s="532"/>
      <c r="B125" s="532"/>
      <c r="C125" s="111" t="s">
        <v>630</v>
      </c>
      <c r="D125" s="524" t="s">
        <v>663</v>
      </c>
      <c r="E125" s="525"/>
      <c r="F125" s="525"/>
      <c r="G125" s="526"/>
      <c r="H125" s="41"/>
      <c r="I125" s="41"/>
      <c r="J125" s="12"/>
      <c r="K125" s="180"/>
      <c r="L125" s="77"/>
      <c r="N125" s="245">
        <v>14</v>
      </c>
      <c r="P125" s="335" t="s">
        <v>394</v>
      </c>
    </row>
    <row r="126" spans="1:16" s="1" customFormat="1" ht="15" customHeight="1">
      <c r="A126" s="181"/>
      <c r="B126" s="181"/>
      <c r="C126" s="423" t="s">
        <v>631</v>
      </c>
      <c r="D126" s="15"/>
      <c r="H126" s="519" t="s">
        <v>639</v>
      </c>
      <c r="I126" s="520"/>
      <c r="J126" s="517">
        <v>3060</v>
      </c>
      <c r="K126" s="180"/>
      <c r="L126" s="77"/>
      <c r="N126" s="245">
        <v>18</v>
      </c>
      <c r="P126" s="335" t="s">
        <v>395</v>
      </c>
    </row>
    <row r="127" spans="1:16" s="1" customFormat="1" ht="15" customHeight="1">
      <c r="A127" s="181"/>
      <c r="B127" s="181"/>
      <c r="C127" s="110" t="s">
        <v>633</v>
      </c>
      <c r="D127" s="534">
        <v>6</v>
      </c>
      <c r="E127" s="535"/>
      <c r="F127" s="535"/>
      <c r="G127" s="536"/>
      <c r="H127" s="520"/>
      <c r="I127" s="520"/>
      <c r="J127" s="518"/>
      <c r="N127" s="245">
        <v>20</v>
      </c>
      <c r="P127" s="335" t="s">
        <v>396</v>
      </c>
    </row>
    <row r="128" spans="1:16" s="1" customFormat="1" ht="18.75" customHeight="1">
      <c r="C128" s="423" t="s">
        <v>632</v>
      </c>
      <c r="I128" s="12"/>
      <c r="J128" s="12"/>
      <c r="N128" s="245">
        <v>22</v>
      </c>
      <c r="P128" s="335" t="s">
        <v>397</v>
      </c>
    </row>
    <row r="129" spans="1:23" s="1" customFormat="1" ht="15" customHeight="1">
      <c r="A129" s="88" t="str">
        <f>A18</f>
        <v>240-4 Panel (1L3R)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3000</v>
      </c>
      <c r="J133" s="125">
        <f t="shared" ref="J133:J154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8</v>
      </c>
      <c r="U133" s="283" t="s">
        <v>292</v>
      </c>
      <c r="V133" s="307">
        <f>($J$126-185-(113.25*3))/4</f>
        <v>633.8125</v>
      </c>
      <c r="W133" s="286">
        <f>$J$121*T133</f>
        <v>0</v>
      </c>
    </row>
    <row r="134" spans="1:23" s="1" customFormat="1" ht="18" customHeight="1">
      <c r="A134" s="143">
        <f t="shared" ref="A134:A157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2974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8</v>
      </c>
      <c r="U134" s="283" t="s">
        <v>293</v>
      </c>
      <c r="V134" s="307">
        <f t="shared" ref="V134:V135" si="2">($J$126-185-(113.25*3))/4</f>
        <v>633.8125</v>
      </c>
      <c r="W134" s="131">
        <f t="shared" ref="W134:W135" si="3">$J$121*T134</f>
        <v>0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3000</v>
      </c>
      <c r="J135" s="131">
        <f t="shared" si="0"/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8</v>
      </c>
      <c r="U135" s="283" t="s">
        <v>294</v>
      </c>
      <c r="V135" s="307">
        <f t="shared" si="2"/>
        <v>633.8125</v>
      </c>
      <c r="W135" s="293">
        <f t="shared" si="3"/>
        <v>0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3000</v>
      </c>
      <c r="J136" s="131">
        <f t="shared" si="0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8</v>
      </c>
      <c r="U136" s="283" t="s">
        <v>64</v>
      </c>
      <c r="V136" s="288">
        <f>$J$123-242</f>
        <v>2283</v>
      </c>
      <c r="W136" s="286">
        <f>$J$121*T136</f>
        <v>0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2525</v>
      </c>
      <c r="J137" s="131">
        <f t="shared" ref="J137:J149" si="4">$J$120*G137</f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8</v>
      </c>
      <c r="U137" s="129" t="s">
        <v>64</v>
      </c>
      <c r="V137" s="130">
        <f>$J$123-242</f>
        <v>2283</v>
      </c>
      <c r="W137" s="131">
        <f t="shared" ref="W137:W138" si="5">$J$121*T137</f>
        <v>0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2525</v>
      </c>
      <c r="J138" s="131">
        <f t="shared" si="4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8</v>
      </c>
      <c r="U138" s="135" t="s">
        <v>64</v>
      </c>
      <c r="V138" s="136">
        <f>$J$123-242</f>
        <v>2283</v>
      </c>
      <c r="W138" s="293">
        <f t="shared" si="5"/>
        <v>0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2429</v>
      </c>
      <c r="J139" s="131">
        <f t="shared" si="4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2429</v>
      </c>
      <c r="J140" s="131">
        <f t="shared" si="4"/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4</v>
      </c>
      <c r="H141" s="143" t="s">
        <v>292</v>
      </c>
      <c r="I141" s="178">
        <f>($J$126-185-(113.25*3))/4</f>
        <v>633.8125</v>
      </c>
      <c r="J141" s="131">
        <f t="shared" si="4"/>
        <v>4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4</v>
      </c>
      <c r="H142" s="143" t="s">
        <v>292</v>
      </c>
      <c r="I142" s="178">
        <f>($J$126-185-(113.25*3))/4</f>
        <v>633.8125</v>
      </c>
      <c r="J142" s="131">
        <f t="shared" si="4"/>
        <v>4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6</v>
      </c>
      <c r="H143" s="143" t="s">
        <v>63</v>
      </c>
      <c r="I143" s="130">
        <f>$J$123-92</f>
        <v>2433</v>
      </c>
      <c r="J143" s="131">
        <f t="shared" si="4"/>
        <v>6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496</v>
      </c>
      <c r="G144" s="143">
        <v>1</v>
      </c>
      <c r="H144" s="143" t="s">
        <v>63</v>
      </c>
      <c r="I144" s="130">
        <f>$J$123-92</f>
        <v>2433</v>
      </c>
      <c r="J144" s="131">
        <f t="shared" si="4"/>
        <v>1</v>
      </c>
      <c r="N144" s="98"/>
    </row>
    <row r="145" spans="1:14" s="1" customFormat="1" ht="18" customHeight="1">
      <c r="A145" s="143">
        <f t="shared" si="1"/>
        <v>13</v>
      </c>
      <c r="B145" s="140" t="s">
        <v>116</v>
      </c>
      <c r="C145" s="140" t="s">
        <v>99</v>
      </c>
      <c r="D145" s="139" t="s">
        <v>50</v>
      </c>
      <c r="E145" s="143">
        <v>1.1060000000000001</v>
      </c>
      <c r="F145" s="139" t="s">
        <v>506</v>
      </c>
      <c r="G145" s="143">
        <v>1</v>
      </c>
      <c r="H145" s="143" t="s">
        <v>63</v>
      </c>
      <c r="I145" s="130">
        <f>$J$123-92</f>
        <v>2433</v>
      </c>
      <c r="J145" s="131">
        <f t="shared" si="4"/>
        <v>1</v>
      </c>
      <c r="N145" s="98"/>
    </row>
    <row r="146" spans="1:14" s="1" customFormat="1" ht="18" customHeight="1">
      <c r="A146" s="143">
        <f t="shared" si="1"/>
        <v>14</v>
      </c>
      <c r="B146" s="127" t="str">
        <f t="shared" ref="B146:I146" si="6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27" t="str">
        <f t="shared" si="6"/>
        <v>5-6mm GLAZING BEAD HORIZONTAL</v>
      </c>
      <c r="D146" s="127" t="str">
        <f t="shared" si="6"/>
        <v>B24008</v>
      </c>
      <c r="E146" s="127">
        <f t="shared" si="6"/>
        <v>0.23100000000000001</v>
      </c>
      <c r="F146" s="127" t="str">
        <f t="shared" si="6"/>
        <v>B24008-001</v>
      </c>
      <c r="G146" s="129">
        <f t="shared" si="6"/>
        <v>8</v>
      </c>
      <c r="H146" s="129" t="str">
        <f t="shared" si="6"/>
        <v>(W-185-(113.25 × 3))/4</v>
      </c>
      <c r="I146" s="178">
        <f t="shared" si="6"/>
        <v>633.8125</v>
      </c>
      <c r="J146" s="131">
        <f t="shared" si="4"/>
        <v>8</v>
      </c>
      <c r="N146" s="98"/>
    </row>
    <row r="147" spans="1:14" s="1" customFormat="1" ht="18" customHeight="1">
      <c r="A147" s="143">
        <f t="shared" si="1"/>
        <v>15</v>
      </c>
      <c r="B147" s="127" t="str">
        <f t="shared" ref="B147:I147" si="7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27" t="str">
        <f t="shared" si="7"/>
        <v>5-6mm GLAZING BEAD VERTICAL</v>
      </c>
      <c r="D147" s="127" t="str">
        <f t="shared" si="7"/>
        <v>B24008</v>
      </c>
      <c r="E147" s="127">
        <f t="shared" si="7"/>
        <v>0.23100000000000001</v>
      </c>
      <c r="F147" s="127" t="str">
        <f t="shared" si="7"/>
        <v>B24008-002</v>
      </c>
      <c r="G147" s="129">
        <f t="shared" si="7"/>
        <v>8</v>
      </c>
      <c r="H147" s="129" t="str">
        <f t="shared" si="7"/>
        <v>H-242</v>
      </c>
      <c r="I147" s="144">
        <f t="shared" si="7"/>
        <v>2283</v>
      </c>
      <c r="J147" s="131">
        <f t="shared" si="4"/>
        <v>8</v>
      </c>
      <c r="N147" s="98"/>
    </row>
    <row r="148" spans="1:14" s="1" customFormat="1" ht="18" customHeight="1">
      <c r="A148" s="143">
        <f t="shared" si="1"/>
        <v>16</v>
      </c>
      <c r="B148" s="140" t="s">
        <v>125</v>
      </c>
      <c r="C148" s="140" t="s">
        <v>124</v>
      </c>
      <c r="D148" s="139" t="s">
        <v>123</v>
      </c>
      <c r="E148" s="143"/>
      <c r="F148" s="139" t="s">
        <v>362</v>
      </c>
      <c r="G148" s="143">
        <v>1</v>
      </c>
      <c r="H148" s="143" t="s">
        <v>63</v>
      </c>
      <c r="I148" s="130">
        <f>$J$123-92</f>
        <v>2433</v>
      </c>
      <c r="J148" s="131">
        <f t="shared" si="4"/>
        <v>1</v>
      </c>
      <c r="N148" s="98"/>
    </row>
    <row r="149" spans="1:14" s="1" customFormat="1" ht="18" customHeight="1">
      <c r="A149" s="143">
        <f t="shared" si="1"/>
        <v>17</v>
      </c>
      <c r="B149" s="140" t="s">
        <v>125</v>
      </c>
      <c r="C149" s="140" t="s">
        <v>124</v>
      </c>
      <c r="D149" s="139" t="s">
        <v>123</v>
      </c>
      <c r="E149" s="143"/>
      <c r="F149" s="139" t="s">
        <v>363</v>
      </c>
      <c r="G149" s="143">
        <v>1</v>
      </c>
      <c r="H149" s="143" t="s">
        <v>63</v>
      </c>
      <c r="I149" s="130">
        <f>$J$123-92</f>
        <v>2433</v>
      </c>
      <c r="J149" s="131">
        <f t="shared" si="4"/>
        <v>1</v>
      </c>
      <c r="N149" s="98"/>
    </row>
    <row r="150" spans="1:14" s="1" customFormat="1" ht="18" customHeight="1">
      <c r="A150" s="143" t="str">
        <f t="shared" si="1"/>
        <v/>
      </c>
      <c r="B150" s="140"/>
      <c r="C150" s="140"/>
      <c r="D150" s="139"/>
      <c r="E150" s="143"/>
      <c r="F150" s="139"/>
      <c r="G150" s="143"/>
      <c r="H150" s="143"/>
      <c r="I150" s="130"/>
      <c r="J150" s="131"/>
      <c r="N150" s="98"/>
    </row>
    <row r="151" spans="1:14" s="1" customFormat="1" ht="18" customHeight="1">
      <c r="A151" s="143" t="str">
        <f t="shared" si="1"/>
        <v/>
      </c>
      <c r="B151" s="140"/>
      <c r="C151" s="140"/>
      <c r="D151" s="139"/>
      <c r="E151" s="143"/>
      <c r="F151" s="139"/>
      <c r="G151" s="143"/>
      <c r="H151" s="143"/>
      <c r="I151" s="130"/>
      <c r="J151" s="131"/>
      <c r="N151" s="98"/>
    </row>
    <row r="152" spans="1:14" s="1" customFormat="1" ht="18" customHeight="1">
      <c r="A152" s="143" t="str">
        <f t="shared" si="1"/>
        <v/>
      </c>
      <c r="B152" s="140"/>
      <c r="C152" s="140"/>
      <c r="D152" s="139"/>
      <c r="E152" s="143"/>
      <c r="F152" s="139"/>
      <c r="G152" s="143"/>
      <c r="H152" s="143"/>
      <c r="I152" s="130"/>
      <c r="J152" s="131"/>
      <c r="N152" s="98"/>
    </row>
    <row r="153" spans="1:14" s="1" customFormat="1" ht="18" customHeight="1">
      <c r="A153" s="143" t="str">
        <f t="shared" si="1"/>
        <v/>
      </c>
      <c r="B153" s="127"/>
      <c r="C153" s="127"/>
      <c r="D153" s="128"/>
      <c r="E153" s="129"/>
      <c r="F153" s="128"/>
      <c r="G153" s="129"/>
      <c r="H153" s="129"/>
      <c r="I153" s="144"/>
      <c r="J153" s="131">
        <f t="shared" si="0"/>
        <v>0</v>
      </c>
      <c r="N153" s="98"/>
    </row>
    <row r="154" spans="1:14" s="1" customFormat="1" ht="18" customHeight="1" thickBot="1">
      <c r="A154" s="143" t="str">
        <f t="shared" si="1"/>
        <v/>
      </c>
      <c r="B154" s="167"/>
      <c r="C154" s="167"/>
      <c r="D154" s="168"/>
      <c r="E154" s="166"/>
      <c r="F154" s="168"/>
      <c r="G154" s="166"/>
      <c r="H154" s="166"/>
      <c r="I154" s="171"/>
      <c r="J154" s="172">
        <f t="shared" si="0"/>
        <v>0</v>
      </c>
    </row>
    <row r="155" spans="1:14" s="1" customFormat="1" ht="27" outlineLevel="1" thickBot="1">
      <c r="A155" s="211" t="s">
        <v>2</v>
      </c>
      <c r="B155" s="210" t="s">
        <v>29</v>
      </c>
      <c r="C155" s="169" t="s">
        <v>3</v>
      </c>
      <c r="D155" s="169" t="s">
        <v>4</v>
      </c>
      <c r="E155" s="169" t="s">
        <v>5</v>
      </c>
      <c r="F155" s="177" t="s">
        <v>85</v>
      </c>
      <c r="G155" s="169" t="s">
        <v>22</v>
      </c>
      <c r="H155" s="170" t="s">
        <v>23</v>
      </c>
      <c r="I155" s="540"/>
      <c r="J155" s="541"/>
    </row>
    <row r="156" spans="1:14" s="1" customFormat="1" ht="15" customHeight="1" outlineLevel="1">
      <c r="A156" s="212">
        <f>IF(B133="","",1)</f>
        <v>1</v>
      </c>
      <c r="B156" s="173" t="str">
        <f t="shared" ref="B156:C162" si="8">B133</f>
        <v>เฟรมบน</v>
      </c>
      <c r="C156" s="173" t="str">
        <f t="shared" si="8"/>
        <v>HEAD</v>
      </c>
      <c r="D156" s="174" t="str">
        <f>VLOOKUP(C156,$C$133:$H$154,2,0)</f>
        <v>B24001</v>
      </c>
      <c r="E156" s="175">
        <f t="shared" ref="E156:E162" si="9">VLOOKUP(C156,$C$133:$H$154,3,0)</f>
        <v>1.603</v>
      </c>
      <c r="F156" s="353">
        <f>VLOOKUP(C156,$C$133:$J$154,7,0)</f>
        <v>3000</v>
      </c>
      <c r="G156" s="175">
        <f t="shared" ref="G156:G162" si="10">VLOOKUP(C156,$C$133:$J$154,8,0)</f>
        <v>1</v>
      </c>
      <c r="H156" s="191">
        <f>ROUNDUP((F156*G156)/6400,0)</f>
        <v>1</v>
      </c>
      <c r="I156" s="501"/>
      <c r="J156" s="501"/>
    </row>
    <row r="157" spans="1:14" s="1" customFormat="1" ht="15" customHeight="1" outlineLevel="1">
      <c r="A157" s="213">
        <f t="shared" si="1"/>
        <v>2</v>
      </c>
      <c r="B157" s="173" t="str">
        <f t="shared" si="8"/>
        <v>บังใบบน</v>
      </c>
      <c r="C157" s="173" t="str">
        <f t="shared" si="8"/>
        <v>DOOR STOP HEAD</v>
      </c>
      <c r="D157" s="174" t="str">
        <f>VLOOKUP(C157,$C$133:$H$154,2,0)</f>
        <v>B24002</v>
      </c>
      <c r="E157" s="175">
        <f t="shared" si="9"/>
        <v>0.27800000000000002</v>
      </c>
      <c r="F157" s="353">
        <f t="shared" ref="F157:F162" si="11">VLOOKUP(C157,$C$133:$I$154,7,0)</f>
        <v>2974</v>
      </c>
      <c r="G157" s="175">
        <f t="shared" si="10"/>
        <v>1</v>
      </c>
      <c r="H157" s="192">
        <f>ROUNDUP((F157*G157)/6400,0)</f>
        <v>1</v>
      </c>
      <c r="I157" s="501"/>
      <c r="J157" s="501"/>
    </row>
    <row r="158" spans="1:14" s="1" customFormat="1" ht="15" customHeight="1" outlineLevel="1">
      <c r="A158" s="213">
        <f t="shared" ref="A158:A162" si="12">IF(B158="","",+A157+1)</f>
        <v>3</v>
      </c>
      <c r="B158" s="173" t="str">
        <f t="shared" si="8"/>
        <v xml:space="preserve">เฟรมล่าง </v>
      </c>
      <c r="C158" s="173" t="str">
        <f t="shared" si="8"/>
        <v>SILL</v>
      </c>
      <c r="D158" s="174" t="str">
        <f>VLOOKUP(C158,$C$133:$H$154,2,0)</f>
        <v>B24003</v>
      </c>
      <c r="E158" s="175">
        <f t="shared" si="9"/>
        <v>1.603</v>
      </c>
      <c r="F158" s="353">
        <f t="shared" si="11"/>
        <v>3000</v>
      </c>
      <c r="G158" s="175">
        <f t="shared" si="10"/>
        <v>1</v>
      </c>
      <c r="H158" s="192">
        <f t="shared" ref="H158:H159" si="13">ROUNDUP((F158*G158)/6400,0)</f>
        <v>1</v>
      </c>
      <c r="I158" s="501"/>
      <c r="J158" s="501"/>
    </row>
    <row r="159" spans="1:14" s="1" customFormat="1" ht="15" customHeight="1" outlineLevel="1">
      <c r="A159" s="213">
        <f t="shared" si="12"/>
        <v>4</v>
      </c>
      <c r="B159" s="173" t="str">
        <f t="shared" si="8"/>
        <v>ตัวตับธรณี</v>
      </c>
      <c r="C159" s="173" t="str">
        <f t="shared" si="8"/>
        <v>DOOR STOP SILL</v>
      </c>
      <c r="D159" s="174" t="str">
        <f>VLOOKUP(C159,$C$133:$H$154,2,0)</f>
        <v>B24004</v>
      </c>
      <c r="E159" s="175">
        <f t="shared" si="9"/>
        <v>0.51600000000000001</v>
      </c>
      <c r="F159" s="353">
        <f t="shared" si="11"/>
        <v>3000</v>
      </c>
      <c r="G159" s="175">
        <f t="shared" si="10"/>
        <v>1</v>
      </c>
      <c r="H159" s="192">
        <f t="shared" si="13"/>
        <v>1</v>
      </c>
      <c r="I159" s="501"/>
      <c r="J159" s="501"/>
    </row>
    <row r="160" spans="1:14" s="1" customFormat="1" ht="15" customHeight="1" outlineLevel="1">
      <c r="A160" s="213">
        <f t="shared" si="12"/>
        <v>5</v>
      </c>
      <c r="B160" s="173" t="str">
        <f t="shared" si="8"/>
        <v>เฟรมข้าง (ซ้าย)</v>
      </c>
      <c r="C160" s="173" t="str">
        <f t="shared" si="8"/>
        <v>JAMB (L)</v>
      </c>
      <c r="D160" s="508" t="str">
        <f>VLOOKUP(C160,$C$133:$H$154,2,0)</f>
        <v>B24005</v>
      </c>
      <c r="E160" s="175">
        <f t="shared" si="9"/>
        <v>0.89300000000000002</v>
      </c>
      <c r="F160" s="353">
        <f t="shared" si="11"/>
        <v>2525</v>
      </c>
      <c r="G160" s="175">
        <f t="shared" si="10"/>
        <v>1</v>
      </c>
      <c r="H160" s="516">
        <f>ROUNDUP(((F160*G160)+(F161*G161))/6400,0)</f>
        <v>1</v>
      </c>
      <c r="I160" s="506"/>
      <c r="J160" s="506"/>
    </row>
    <row r="161" spans="1:23" s="1" customFormat="1" ht="15" customHeight="1" outlineLevel="1">
      <c r="A161" s="213">
        <f t="shared" si="12"/>
        <v>6</v>
      </c>
      <c r="B161" s="173" t="str">
        <f t="shared" si="8"/>
        <v>เฟรมข้าง (ขวา)</v>
      </c>
      <c r="C161" s="173" t="str">
        <f t="shared" si="8"/>
        <v>JAMB (R)</v>
      </c>
      <c r="D161" s="509"/>
      <c r="E161" s="175">
        <f t="shared" si="9"/>
        <v>0.89300000000000002</v>
      </c>
      <c r="F161" s="353">
        <f t="shared" si="11"/>
        <v>2525</v>
      </c>
      <c r="G161" s="175">
        <f t="shared" si="10"/>
        <v>1</v>
      </c>
      <c r="H161" s="516"/>
      <c r="I161" s="506"/>
      <c r="J161" s="506"/>
    </row>
    <row r="162" spans="1:23" s="1" customFormat="1" ht="15" customHeight="1" outlineLevel="1">
      <c r="A162" s="213">
        <f t="shared" si="12"/>
        <v>7</v>
      </c>
      <c r="B162" s="173" t="str">
        <f>B139</f>
        <v>บังใบข้าง (ซ้าย)</v>
      </c>
      <c r="C162" s="173" t="str">
        <f t="shared" si="8"/>
        <v>DOOR STOP JAMB (L)</v>
      </c>
      <c r="D162" s="508" t="str">
        <f>VLOOKUP(C162,$C$133:$H$154,2,0)</f>
        <v>B24006</v>
      </c>
      <c r="E162" s="175">
        <f t="shared" si="9"/>
        <v>0.23499999999999999</v>
      </c>
      <c r="F162" s="353">
        <f t="shared" si="11"/>
        <v>2429</v>
      </c>
      <c r="G162" s="175">
        <f t="shared" si="10"/>
        <v>1</v>
      </c>
      <c r="H162" s="516">
        <f>ROUNDUP(((F162*G162)+(F163*G163))/6400,0)</f>
        <v>1</v>
      </c>
      <c r="I162" s="501"/>
      <c r="J162" s="501"/>
    </row>
    <row r="163" spans="1:23" s="1" customFormat="1" ht="15" customHeight="1" outlineLevel="1">
      <c r="A163" s="213">
        <f t="shared" ref="A163:A172" si="14">IF(B163="","",+A162+1)</f>
        <v>8</v>
      </c>
      <c r="B163" s="173" t="str">
        <f t="shared" ref="B163:C163" si="15">B140</f>
        <v>บังใบข้าง (ขวา)</v>
      </c>
      <c r="C163" s="173" t="str">
        <f t="shared" si="15"/>
        <v>DOOR STOP JAMB (R)</v>
      </c>
      <c r="D163" s="509"/>
      <c r="E163" s="175">
        <f t="shared" ref="E163:E172" si="16">VLOOKUP(C163,$C$133:$H$154,3,0)</f>
        <v>0.23499999999999999</v>
      </c>
      <c r="F163" s="353">
        <f t="shared" ref="F163:F172" si="17">VLOOKUP(C163,$C$133:$I$154,7,0)</f>
        <v>2429</v>
      </c>
      <c r="G163" s="175">
        <f t="shared" ref="G163:G172" si="18">VLOOKUP(C163,$C$133:$J$154,8,0)</f>
        <v>1</v>
      </c>
      <c r="H163" s="516"/>
      <c r="I163" s="506"/>
      <c r="J163" s="506"/>
    </row>
    <row r="164" spans="1:23" s="1" customFormat="1" ht="13.8" outlineLevel="1">
      <c r="A164" s="213">
        <f t="shared" si="14"/>
        <v>9</v>
      </c>
      <c r="B164" s="173" t="str">
        <f t="shared" ref="B164:C164" si="19">B141</f>
        <v>ขวางบน</v>
      </c>
      <c r="C164" s="173" t="str">
        <f t="shared" si="19"/>
        <v>SASH (Hor) (T)</v>
      </c>
      <c r="D164" s="508" t="str">
        <f t="shared" ref="D164:D171" si="20">VLOOKUP(C164,$C$133:$H$154,2,0)</f>
        <v>B24007</v>
      </c>
      <c r="E164" s="175">
        <f t="shared" si="16"/>
        <v>1.1060000000000001</v>
      </c>
      <c r="F164" s="353">
        <f t="shared" si="17"/>
        <v>633.8125</v>
      </c>
      <c r="G164" s="175">
        <f t="shared" si="18"/>
        <v>4</v>
      </c>
      <c r="H164" s="512">
        <f>ROUNDUP(((F164*G164)+(F165*G165)+(F166*G166)+(F167*G167)+(F168*G168))/6400,0)</f>
        <v>4</v>
      </c>
      <c r="I164" s="506"/>
      <c r="J164" s="506"/>
    </row>
    <row r="165" spans="1:23" s="1" customFormat="1" ht="13.8" outlineLevel="1">
      <c r="A165" s="213">
        <f t="shared" si="14"/>
        <v>10</v>
      </c>
      <c r="B165" s="173" t="str">
        <f t="shared" ref="B165:C165" si="21">B142</f>
        <v>ขวางล่าง</v>
      </c>
      <c r="C165" s="173" t="str">
        <f t="shared" si="21"/>
        <v>SASH (Hor) (B)</v>
      </c>
      <c r="D165" s="510"/>
      <c r="E165" s="175">
        <f t="shared" si="16"/>
        <v>1.1060000000000001</v>
      </c>
      <c r="F165" s="353">
        <f t="shared" si="17"/>
        <v>633.8125</v>
      </c>
      <c r="G165" s="175">
        <f t="shared" si="18"/>
        <v>4</v>
      </c>
      <c r="H165" s="514"/>
      <c r="I165" s="506"/>
      <c r="J165" s="506"/>
    </row>
    <row r="166" spans="1:23" s="1" customFormat="1" ht="13.8" outlineLevel="1">
      <c r="A166" s="213">
        <f t="shared" si="14"/>
        <v>11</v>
      </c>
      <c r="B166" s="173" t="str">
        <f t="shared" ref="B166:C166" si="22">B143</f>
        <v>เสา</v>
      </c>
      <c r="C166" s="173" t="str">
        <f t="shared" si="22"/>
        <v xml:space="preserve">SASH (Ver) </v>
      </c>
      <c r="D166" s="510"/>
      <c r="E166" s="175">
        <f t="shared" si="16"/>
        <v>1.1060000000000001</v>
      </c>
      <c r="F166" s="353">
        <f t="shared" si="17"/>
        <v>2433</v>
      </c>
      <c r="G166" s="175">
        <f t="shared" si="18"/>
        <v>6</v>
      </c>
      <c r="H166" s="514"/>
      <c r="I166" s="506"/>
      <c r="J166" s="506"/>
    </row>
    <row r="167" spans="1:23" s="1" customFormat="1" ht="13.8" outlineLevel="1">
      <c r="A167" s="213">
        <f t="shared" si="14"/>
        <v>12</v>
      </c>
      <c r="B167" s="173" t="str">
        <f t="shared" ref="B167:C167" si="23">B144</f>
        <v>เสากุญแจ</v>
      </c>
      <c r="C167" s="173" t="str">
        <f t="shared" si="23"/>
        <v xml:space="preserve">SASH (Ver) LOCK </v>
      </c>
      <c r="D167" s="510"/>
      <c r="E167" s="175">
        <f t="shared" si="16"/>
        <v>1.1060000000000001</v>
      </c>
      <c r="F167" s="353">
        <f t="shared" si="17"/>
        <v>2433</v>
      </c>
      <c r="G167" s="175">
        <f t="shared" si="18"/>
        <v>1</v>
      </c>
      <c r="H167" s="514"/>
      <c r="I167" s="506"/>
      <c r="J167" s="506"/>
    </row>
    <row r="168" spans="1:23" s="1" customFormat="1" ht="13.8" outlineLevel="1">
      <c r="A168" s="213">
        <f t="shared" si="14"/>
        <v>13</v>
      </c>
      <c r="B168" s="173" t="str">
        <f t="shared" ref="B168:C168" si="24">B145</f>
        <v>เสากุญแจมือจับ</v>
      </c>
      <c r="C168" s="173" t="str">
        <f t="shared" si="24"/>
        <v>SASH (Ver) LOCK HANDLE</v>
      </c>
      <c r="D168" s="509"/>
      <c r="E168" s="175">
        <f t="shared" si="16"/>
        <v>1.1060000000000001</v>
      </c>
      <c r="F168" s="353">
        <f t="shared" si="17"/>
        <v>2433</v>
      </c>
      <c r="G168" s="175">
        <f t="shared" si="18"/>
        <v>1</v>
      </c>
      <c r="H168" s="515"/>
      <c r="I168" s="501"/>
      <c r="J168" s="501"/>
    </row>
    <row r="169" spans="1:23" s="1" customFormat="1" ht="13.8" outlineLevel="1">
      <c r="A169" s="213">
        <f t="shared" si="14"/>
        <v>14</v>
      </c>
      <c r="B169" s="173" t="str">
        <f t="shared" ref="B169:C169" si="25">B146</f>
        <v>5-6mm คิ้วตบกระจกแนวนอน</v>
      </c>
      <c r="C169" s="173" t="str">
        <f t="shared" si="25"/>
        <v>5-6mm GLAZING BEAD HORIZONTAL</v>
      </c>
      <c r="D169" s="508" t="str">
        <f t="shared" si="20"/>
        <v>B24008</v>
      </c>
      <c r="E169" s="175">
        <f t="shared" si="16"/>
        <v>0.23100000000000001</v>
      </c>
      <c r="F169" s="353">
        <f t="shared" si="17"/>
        <v>633.8125</v>
      </c>
      <c r="G169" s="175">
        <f t="shared" si="18"/>
        <v>8</v>
      </c>
      <c r="H169" s="516">
        <f>ROUNDUP(((F169*G169)+(F170*G170))/6400,0)</f>
        <v>4</v>
      </c>
      <c r="I169" s="185"/>
      <c r="J169" s="183"/>
    </row>
    <row r="170" spans="1:23" s="1" customFormat="1" ht="13.8" outlineLevel="1">
      <c r="A170" s="213">
        <f t="shared" si="14"/>
        <v>15</v>
      </c>
      <c r="B170" s="173" t="str">
        <f t="shared" ref="B170:C170" si="26">B147</f>
        <v>5-6mm คิ้วตบกระจกแนวตั้ง</v>
      </c>
      <c r="C170" s="173" t="str">
        <f t="shared" si="26"/>
        <v>5-6mm GLAZING BEAD VERTICAL</v>
      </c>
      <c r="D170" s="509"/>
      <c r="E170" s="175">
        <f t="shared" si="16"/>
        <v>0.23100000000000001</v>
      </c>
      <c r="F170" s="353">
        <f t="shared" si="17"/>
        <v>2283</v>
      </c>
      <c r="G170" s="175">
        <f t="shared" si="18"/>
        <v>8</v>
      </c>
      <c r="H170" s="516"/>
      <c r="I170" s="185"/>
      <c r="J170" s="183"/>
    </row>
    <row r="171" spans="1:23" s="1" customFormat="1" ht="13.8" outlineLevel="1">
      <c r="A171" s="213">
        <f t="shared" si="14"/>
        <v>16</v>
      </c>
      <c r="B171" s="173" t="str">
        <f t="shared" ref="B171:C171" si="27">B148</f>
        <v>บังใบ</v>
      </c>
      <c r="C171" s="173" t="str">
        <f t="shared" si="27"/>
        <v>SASH STOP</v>
      </c>
      <c r="D171" s="508" t="str">
        <f t="shared" si="20"/>
        <v>B24009</v>
      </c>
      <c r="E171" s="175">
        <f t="shared" si="16"/>
        <v>0</v>
      </c>
      <c r="F171" s="353">
        <f t="shared" si="17"/>
        <v>2433</v>
      </c>
      <c r="G171" s="175">
        <f t="shared" si="18"/>
        <v>1</v>
      </c>
      <c r="H171" s="516">
        <f>ROUNDUP(((F171*G171)+(F172*G172))/6400,0)</f>
        <v>1</v>
      </c>
      <c r="I171" s="185"/>
      <c r="J171" s="183"/>
    </row>
    <row r="172" spans="1:23" s="1" customFormat="1" outlineLevel="1" thickBot="1">
      <c r="A172" s="213">
        <f t="shared" si="14"/>
        <v>17</v>
      </c>
      <c r="B172" s="173" t="str">
        <f t="shared" ref="B172:C172" si="28">B149</f>
        <v>บังใบ</v>
      </c>
      <c r="C172" s="173" t="str">
        <f t="shared" si="28"/>
        <v>SASH STOP</v>
      </c>
      <c r="D172" s="511"/>
      <c r="E172" s="175">
        <f t="shared" si="16"/>
        <v>0</v>
      </c>
      <c r="F172" s="353">
        <f t="shared" si="17"/>
        <v>2433</v>
      </c>
      <c r="G172" s="175">
        <f t="shared" si="18"/>
        <v>1</v>
      </c>
      <c r="H172" s="516"/>
      <c r="I172" s="185"/>
      <c r="J172" s="183"/>
    </row>
    <row r="173" spans="1:23" s="1" customFormat="1" ht="24.9" customHeight="1" thickBot="1">
      <c r="A173" s="529" t="s">
        <v>9</v>
      </c>
      <c r="B173" s="530"/>
      <c r="C173" s="530"/>
      <c r="D173" s="530"/>
      <c r="E173" s="530"/>
      <c r="F173" s="530"/>
      <c r="G173" s="530"/>
      <c r="H173" s="530"/>
      <c r="I173" s="530"/>
      <c r="J173" s="531"/>
    </row>
    <row r="174" spans="1:23" s="1" customFormat="1" ht="35.1" customHeight="1" thickBot="1">
      <c r="A174" s="102" t="s">
        <v>2</v>
      </c>
      <c r="B174" s="103" t="s">
        <v>29</v>
      </c>
      <c r="C174" s="103" t="s">
        <v>3</v>
      </c>
      <c r="D174" s="103" t="s">
        <v>199</v>
      </c>
      <c r="E174" s="103" t="s">
        <v>5</v>
      </c>
      <c r="F174" s="104" t="s">
        <v>28</v>
      </c>
      <c r="G174" s="103" t="s">
        <v>19</v>
      </c>
      <c r="H174" s="104" t="s">
        <v>200</v>
      </c>
      <c r="I174" s="104" t="s">
        <v>20</v>
      </c>
      <c r="J174" s="115" t="s">
        <v>201</v>
      </c>
      <c r="N174" s="101" t="s">
        <v>191</v>
      </c>
      <c r="O174" s="246" t="s">
        <v>29</v>
      </c>
      <c r="P174" s="246" t="s">
        <v>3</v>
      </c>
      <c r="Q174" s="246" t="s">
        <v>199</v>
      </c>
      <c r="R174" s="246" t="s">
        <v>5</v>
      </c>
      <c r="S174" s="246" t="s">
        <v>28</v>
      </c>
      <c r="T174" s="246" t="s">
        <v>19</v>
      </c>
      <c r="U174" s="246" t="s">
        <v>200</v>
      </c>
      <c r="V174" s="246" t="s">
        <v>20</v>
      </c>
      <c r="W174" s="246" t="s">
        <v>201</v>
      </c>
    </row>
    <row r="175" spans="1:23" s="1" customFormat="1" ht="18" customHeight="1">
      <c r="A175" s="200">
        <f>IF(B175="","",1)</f>
        <v>1</v>
      </c>
      <c r="B175" s="140" t="s">
        <v>110</v>
      </c>
      <c r="C175" s="140" t="s">
        <v>66</v>
      </c>
      <c r="D175" s="139" t="s">
        <v>128</v>
      </c>
      <c r="E175" s="143"/>
      <c r="F175" s="143" t="s">
        <v>128</v>
      </c>
      <c r="G175" s="143" t="s">
        <v>202</v>
      </c>
      <c r="H175" s="143">
        <v>1</v>
      </c>
      <c r="I175" s="130"/>
      <c r="J175" s="131">
        <f t="shared" ref="J175:J187" si="29">$J$120*H175</f>
        <v>1</v>
      </c>
      <c r="N175" s="101" t="s">
        <v>226</v>
      </c>
      <c r="O175" s="280" t="s">
        <v>252</v>
      </c>
      <c r="P175" s="290" t="s">
        <v>248</v>
      </c>
      <c r="Q175" s="280" t="s">
        <v>69</v>
      </c>
      <c r="R175" s="213"/>
      <c r="S175" s="213" t="s">
        <v>69</v>
      </c>
      <c r="T175" s="213" t="s">
        <v>198</v>
      </c>
      <c r="U175" s="291">
        <f>((($I$141*$G$141)+($I$142*$G$142)+($I$143*$G$143)+($I$144*$G$144)+($I$145*$G$145))/1000)*$J$120</f>
        <v>24.534500000000001</v>
      </c>
      <c r="V175" s="291">
        <v>100</v>
      </c>
      <c r="W175" s="292">
        <f>ROUNDUP((U175)/100,0)</f>
        <v>1</v>
      </c>
    </row>
    <row r="176" spans="1:23" s="1" customFormat="1" ht="18" customHeight="1">
      <c r="A176" s="201">
        <f>IF(B176="","",+A175+1)</f>
        <v>2</v>
      </c>
      <c r="B176" s="140" t="s">
        <v>110</v>
      </c>
      <c r="C176" s="140" t="s">
        <v>66</v>
      </c>
      <c r="D176" s="139" t="s">
        <v>73</v>
      </c>
      <c r="E176" s="143"/>
      <c r="F176" s="143" t="s">
        <v>73</v>
      </c>
      <c r="G176" s="143" t="s">
        <v>202</v>
      </c>
      <c r="H176" s="143">
        <v>1</v>
      </c>
      <c r="I176" s="130"/>
      <c r="J176" s="131">
        <f t="shared" si="29"/>
        <v>1</v>
      </c>
      <c r="N176" s="101" t="s">
        <v>230</v>
      </c>
      <c r="O176" s="280" t="s">
        <v>253</v>
      </c>
      <c r="P176" s="290" t="s">
        <v>249</v>
      </c>
      <c r="Q176" s="280" t="s">
        <v>188</v>
      </c>
      <c r="R176" s="213"/>
      <c r="S176" s="213" t="s">
        <v>188</v>
      </c>
      <c r="T176" s="213" t="s">
        <v>198</v>
      </c>
      <c r="U176" s="291">
        <f>((($I$141*$G$141)+($I$142*$G$142)+($I$143*$G$143)+($I$144*$G$144)+($I$145*$G$145))/1000)*$J$120</f>
        <v>24.534500000000001</v>
      </c>
      <c r="V176" s="291">
        <v>100</v>
      </c>
      <c r="W176" s="292">
        <f t="shared" ref="W176:W178" si="30">ROUNDUP((U176)/100,0)</f>
        <v>1</v>
      </c>
    </row>
    <row r="177" spans="1:23" s="1" customFormat="1" ht="18" customHeight="1">
      <c r="A177" s="201">
        <f t="shared" ref="A177:A204" si="31">IF(B177="","",+A176+1)</f>
        <v>3</v>
      </c>
      <c r="B177" s="140" t="s">
        <v>111</v>
      </c>
      <c r="C177" s="140" t="s">
        <v>67</v>
      </c>
      <c r="D177" s="139" t="s">
        <v>74</v>
      </c>
      <c r="E177" s="143"/>
      <c r="F177" s="143" t="s">
        <v>74</v>
      </c>
      <c r="G177" s="143" t="s">
        <v>202</v>
      </c>
      <c r="H177" s="143">
        <v>8</v>
      </c>
      <c r="I177" s="130"/>
      <c r="J177" s="131">
        <f t="shared" si="29"/>
        <v>8</v>
      </c>
      <c r="N177" s="101" t="s">
        <v>229</v>
      </c>
      <c r="O177" s="290" t="s">
        <v>254</v>
      </c>
      <c r="P177" s="290" t="s">
        <v>250</v>
      </c>
      <c r="Q177" s="280" t="s">
        <v>70</v>
      </c>
      <c r="R177" s="213"/>
      <c r="S177" s="213" t="s">
        <v>70</v>
      </c>
      <c r="T177" s="213" t="s">
        <v>198</v>
      </c>
      <c r="U177" s="291">
        <f>((($I$141*$G$141)+($I$142*$G$142)+($I$143*$G$143)+($I$144*$G$144)+($I$145*$G$145))/1000)*$J$120</f>
        <v>24.534500000000001</v>
      </c>
      <c r="V177" s="291">
        <v>100</v>
      </c>
      <c r="W177" s="292">
        <f t="shared" si="30"/>
        <v>1</v>
      </c>
    </row>
    <row r="178" spans="1:23" s="1" customFormat="1" ht="18" customHeight="1">
      <c r="A178" s="201">
        <f t="shared" si="31"/>
        <v>4</v>
      </c>
      <c r="B178" s="140" t="s">
        <v>106</v>
      </c>
      <c r="C178" s="140" t="s">
        <v>503</v>
      </c>
      <c r="D178" s="139" t="s">
        <v>75</v>
      </c>
      <c r="E178" s="143"/>
      <c r="F178" s="143" t="s">
        <v>75</v>
      </c>
      <c r="G178" s="143" t="s">
        <v>202</v>
      </c>
      <c r="H178" s="143">
        <v>2</v>
      </c>
      <c r="I178" s="130"/>
      <c r="J178" s="131">
        <f t="shared" si="29"/>
        <v>2</v>
      </c>
      <c r="N178" s="101" t="s">
        <v>231</v>
      </c>
      <c r="O178" s="290" t="s">
        <v>255</v>
      </c>
      <c r="P178" s="290" t="s">
        <v>251</v>
      </c>
      <c r="Q178" s="280" t="s">
        <v>189</v>
      </c>
      <c r="R178" s="213"/>
      <c r="S178" s="213" t="s">
        <v>189</v>
      </c>
      <c r="T178" s="213" t="s">
        <v>198</v>
      </c>
      <c r="U178" s="291">
        <f>((($I$141*$G$141)+($I$142*$G$142)+($I$143*$G$143)+($I$144*$G$144)+($I$145*$G$145))/1000)*$J$120</f>
        <v>24.534500000000001</v>
      </c>
      <c r="V178" s="291">
        <v>100</v>
      </c>
      <c r="W178" s="292">
        <f t="shared" si="30"/>
        <v>1</v>
      </c>
    </row>
    <row r="179" spans="1:23" s="1" customFormat="1" ht="18" customHeight="1">
      <c r="A179" s="201">
        <f t="shared" si="31"/>
        <v>5</v>
      </c>
      <c r="B179" s="140" t="s">
        <v>107</v>
      </c>
      <c r="C179" s="140" t="s">
        <v>504</v>
      </c>
      <c r="D179" s="139" t="s">
        <v>76</v>
      </c>
      <c r="E179" s="143"/>
      <c r="F179" s="143" t="s">
        <v>76</v>
      </c>
      <c r="G179" s="143" t="s">
        <v>202</v>
      </c>
      <c r="H179" s="143">
        <v>2</v>
      </c>
      <c r="I179" s="130"/>
      <c r="J179" s="131">
        <f t="shared" si="29"/>
        <v>2</v>
      </c>
      <c r="N179" s="101" t="s">
        <v>232</v>
      </c>
      <c r="O179" s="290" t="s">
        <v>256</v>
      </c>
      <c r="P179" s="290" t="s">
        <v>247</v>
      </c>
      <c r="Q179" s="280" t="s">
        <v>233</v>
      </c>
      <c r="R179" s="213"/>
      <c r="S179" s="213" t="s">
        <v>233</v>
      </c>
      <c r="T179" s="213" t="s">
        <v>198</v>
      </c>
      <c r="U179" s="291">
        <f>((($I$141*$G$141)+($I$142*$G$142)+($I$143*$G$143)+($I$144*$G$144)+($I$145*$G$145))/1000)*$J$120</f>
        <v>24.534500000000001</v>
      </c>
      <c r="V179" s="291">
        <v>100</v>
      </c>
      <c r="W179" s="292">
        <f>ROUNDUP((U179)/100,0)</f>
        <v>1</v>
      </c>
    </row>
    <row r="180" spans="1:23" s="1" customFormat="1" ht="18" customHeight="1">
      <c r="A180" s="201">
        <f t="shared" si="31"/>
        <v>6</v>
      </c>
      <c r="B180" s="140" t="s">
        <v>108</v>
      </c>
      <c r="C180" s="140" t="s">
        <v>10</v>
      </c>
      <c r="D180" s="139">
        <v>9</v>
      </c>
      <c r="E180" s="143"/>
      <c r="F180" s="143">
        <v>9</v>
      </c>
      <c r="G180" s="143" t="s">
        <v>202</v>
      </c>
      <c r="H180" s="143">
        <v>8</v>
      </c>
      <c r="I180" s="130"/>
      <c r="J180" s="131">
        <f t="shared" si="29"/>
        <v>8</v>
      </c>
    </row>
    <row r="181" spans="1:23" s="1" customFormat="1" ht="18" customHeight="1">
      <c r="A181" s="201">
        <f t="shared" si="31"/>
        <v>7</v>
      </c>
      <c r="B181" s="140" t="s">
        <v>109</v>
      </c>
      <c r="C181" s="140" t="s">
        <v>68</v>
      </c>
      <c r="D181" s="139">
        <v>9</v>
      </c>
      <c r="E181" s="143"/>
      <c r="F181" s="143">
        <v>9</v>
      </c>
      <c r="G181" s="143" t="s">
        <v>202</v>
      </c>
      <c r="H181" s="143">
        <v>110</v>
      </c>
      <c r="I181" s="130"/>
      <c r="J181" s="131">
        <f t="shared" si="29"/>
        <v>110</v>
      </c>
    </row>
    <row r="182" spans="1:23" s="1" customFormat="1" ht="18" customHeight="1">
      <c r="A182" s="201">
        <f t="shared" si="31"/>
        <v>8</v>
      </c>
      <c r="B182" s="140" t="s">
        <v>118</v>
      </c>
      <c r="C182" s="140" t="s">
        <v>77</v>
      </c>
      <c r="D182" s="139" t="s">
        <v>80</v>
      </c>
      <c r="E182" s="143"/>
      <c r="F182" s="143" t="s">
        <v>80</v>
      </c>
      <c r="G182" s="143" t="s">
        <v>185</v>
      </c>
      <c r="H182" s="143">
        <v>1</v>
      </c>
      <c r="I182" s="130"/>
      <c r="J182" s="131">
        <f t="shared" si="29"/>
        <v>1</v>
      </c>
    </row>
    <row r="183" spans="1:23" s="1" customFormat="1" ht="18" customHeight="1">
      <c r="A183" s="201">
        <f t="shared" si="31"/>
        <v>9</v>
      </c>
      <c r="B183" s="140" t="s">
        <v>120</v>
      </c>
      <c r="C183" s="140" t="s">
        <v>94</v>
      </c>
      <c r="D183" s="139" t="s">
        <v>96</v>
      </c>
      <c r="E183" s="143"/>
      <c r="F183" s="143" t="s">
        <v>96</v>
      </c>
      <c r="G183" s="143" t="s">
        <v>185</v>
      </c>
      <c r="H183" s="143">
        <v>1</v>
      </c>
      <c r="I183" s="144"/>
      <c r="J183" s="131">
        <f t="shared" si="29"/>
        <v>1</v>
      </c>
    </row>
    <row r="184" spans="1:23" s="1" customFormat="1" ht="18" customHeight="1">
      <c r="A184" s="201">
        <f t="shared" si="31"/>
        <v>10</v>
      </c>
      <c r="B184" s="140" t="s">
        <v>131</v>
      </c>
      <c r="C184" s="140" t="s">
        <v>100</v>
      </c>
      <c r="D184" s="139" t="s">
        <v>102</v>
      </c>
      <c r="E184" s="143"/>
      <c r="F184" s="143" t="s">
        <v>102</v>
      </c>
      <c r="G184" s="143" t="s">
        <v>185</v>
      </c>
      <c r="H184" s="143">
        <v>1</v>
      </c>
      <c r="I184" s="144"/>
      <c r="J184" s="131">
        <f t="shared" si="29"/>
        <v>1</v>
      </c>
      <c r="N184" s="56"/>
      <c r="O184" s="56"/>
      <c r="P184" s="56"/>
      <c r="Q184" s="289"/>
      <c r="R184" s="289"/>
      <c r="S184" s="289"/>
      <c r="T184" s="17"/>
      <c r="U184" s="17"/>
      <c r="V184" s="17"/>
      <c r="W184" s="56"/>
    </row>
    <row r="185" spans="1:23" s="1" customFormat="1" ht="18" customHeight="1">
      <c r="A185" s="201">
        <f t="shared" si="31"/>
        <v>11</v>
      </c>
      <c r="B185" s="140" t="s">
        <v>143</v>
      </c>
      <c r="C185" s="140" t="s">
        <v>121</v>
      </c>
      <c r="D185" s="139" t="s">
        <v>103</v>
      </c>
      <c r="E185" s="143"/>
      <c r="F185" s="143" t="s">
        <v>103</v>
      </c>
      <c r="G185" s="143" t="s">
        <v>185</v>
      </c>
      <c r="H185" s="143">
        <v>1</v>
      </c>
      <c r="I185" s="144"/>
      <c r="J185" s="131">
        <f t="shared" si="29"/>
        <v>1</v>
      </c>
      <c r="N185" s="101" t="s">
        <v>227</v>
      </c>
      <c r="O185" s="246" t="s">
        <v>29</v>
      </c>
      <c r="P185" s="246" t="s">
        <v>3</v>
      </c>
      <c r="Q185" s="246" t="s">
        <v>199</v>
      </c>
      <c r="R185" s="246" t="s">
        <v>5</v>
      </c>
      <c r="S185" s="246" t="s">
        <v>28</v>
      </c>
      <c r="T185" s="246" t="s">
        <v>19</v>
      </c>
      <c r="U185" s="246" t="s">
        <v>200</v>
      </c>
      <c r="V185" s="246" t="s">
        <v>20</v>
      </c>
      <c r="W185" s="246" t="s">
        <v>201</v>
      </c>
    </row>
    <row r="186" spans="1:23" s="1" customFormat="1" ht="18" customHeight="1">
      <c r="A186" s="201">
        <f t="shared" si="31"/>
        <v>12</v>
      </c>
      <c r="B186" s="140" t="s">
        <v>113</v>
      </c>
      <c r="C186" s="140" t="s">
        <v>502</v>
      </c>
      <c r="D186" s="139" t="s">
        <v>83</v>
      </c>
      <c r="E186" s="143"/>
      <c r="F186" s="143" t="s">
        <v>83</v>
      </c>
      <c r="G186" s="143" t="s">
        <v>185</v>
      </c>
      <c r="H186" s="143">
        <v>1</v>
      </c>
      <c r="I186" s="144"/>
      <c r="J186" s="131">
        <f t="shared" si="29"/>
        <v>1</v>
      </c>
      <c r="N186" s="101" t="s">
        <v>240</v>
      </c>
      <c r="O186" s="290" t="s">
        <v>234</v>
      </c>
      <c r="P186" s="290" t="s">
        <v>236</v>
      </c>
      <c r="Q186" s="280" t="s">
        <v>190</v>
      </c>
      <c r="R186" s="213"/>
      <c r="S186" s="213" t="s">
        <v>190</v>
      </c>
      <c r="T186" s="213" t="s">
        <v>198</v>
      </c>
      <c r="U186" s="291">
        <f>((($I$134*$G$134)+($I$136*$G$136)+($I$139*$G$139))/1000)*$J$120</f>
        <v>8.4030000000000005</v>
      </c>
      <c r="V186" s="291">
        <v>300</v>
      </c>
      <c r="W186" s="292">
        <f>ROUNDUP((U186)/V186,0)</f>
        <v>1</v>
      </c>
    </row>
    <row r="187" spans="1:23" s="1" customFormat="1" ht="18" customHeight="1">
      <c r="A187" s="201">
        <f t="shared" si="31"/>
        <v>13</v>
      </c>
      <c r="B187" s="140" t="s">
        <v>122</v>
      </c>
      <c r="C187" s="140" t="s">
        <v>101</v>
      </c>
      <c r="D187" s="139" t="s">
        <v>104</v>
      </c>
      <c r="E187" s="143"/>
      <c r="F187" s="143" t="s">
        <v>104</v>
      </c>
      <c r="G187" s="143" t="s">
        <v>185</v>
      </c>
      <c r="H187" s="143">
        <v>1</v>
      </c>
      <c r="I187" s="130"/>
      <c r="J187" s="131">
        <f t="shared" si="29"/>
        <v>1</v>
      </c>
      <c r="N187" s="101" t="s">
        <v>241</v>
      </c>
      <c r="O187" s="290" t="s">
        <v>235</v>
      </c>
      <c r="P187" s="290" t="s">
        <v>238</v>
      </c>
      <c r="Q187" s="280" t="s">
        <v>71</v>
      </c>
      <c r="R187" s="213"/>
      <c r="S187" s="213" t="s">
        <v>71</v>
      </c>
      <c r="T187" s="213" t="s">
        <v>198</v>
      </c>
      <c r="U187" s="291">
        <f>((($I$134*$G$134)+($I$136*$G$136)+($I$139*$G$139))/1000)*$J$120</f>
        <v>8.4030000000000005</v>
      </c>
      <c r="V187" s="291">
        <v>100</v>
      </c>
      <c r="W187" s="292">
        <f t="shared" ref="W187:W189" si="32">ROUNDUP((U187)/V187,0)</f>
        <v>1</v>
      </c>
    </row>
    <row r="188" spans="1:23" s="1" customFormat="1" ht="18" customHeight="1">
      <c r="A188" s="201">
        <f t="shared" si="31"/>
        <v>14</v>
      </c>
      <c r="B188" s="140" t="s">
        <v>647</v>
      </c>
      <c r="C188" s="140" t="s">
        <v>127</v>
      </c>
      <c r="D188" s="139" t="s">
        <v>126</v>
      </c>
      <c r="E188" s="143"/>
      <c r="F188" s="143" t="s">
        <v>126</v>
      </c>
      <c r="G188" s="143" t="s">
        <v>185</v>
      </c>
      <c r="H188" s="143">
        <v>1</v>
      </c>
      <c r="I188" s="130"/>
      <c r="J188" s="131">
        <f>$J$120*H188</f>
        <v>1</v>
      </c>
      <c r="N188" s="101" t="s">
        <v>240</v>
      </c>
      <c r="O188" s="290" t="s">
        <v>245</v>
      </c>
      <c r="P188" s="290" t="s">
        <v>237</v>
      </c>
      <c r="Q188" s="280" t="s">
        <v>72</v>
      </c>
      <c r="R188" s="213"/>
      <c r="S188" s="213" t="s">
        <v>72</v>
      </c>
      <c r="T188" s="213" t="s">
        <v>198</v>
      </c>
      <c r="U188" s="291">
        <f>((($I$141*$G$141*2)+($I$143*$G$143*2))/1000)*$J$120</f>
        <v>34.266500000000001</v>
      </c>
      <c r="V188" s="291">
        <v>350</v>
      </c>
      <c r="W188" s="292">
        <f t="shared" si="32"/>
        <v>1</v>
      </c>
    </row>
    <row r="189" spans="1:23" s="1" customFormat="1" ht="18" customHeight="1">
      <c r="A189" s="201">
        <f>IF(B189="","",+A191+1)</f>
        <v>17</v>
      </c>
      <c r="B189" s="140" t="s">
        <v>648</v>
      </c>
      <c r="C189" s="140" t="s">
        <v>127</v>
      </c>
      <c r="D189" s="139" t="s">
        <v>521</v>
      </c>
      <c r="E189" s="143"/>
      <c r="F189" s="143" t="s">
        <v>521</v>
      </c>
      <c r="G189" s="143" t="s">
        <v>185</v>
      </c>
      <c r="H189" s="143">
        <v>1</v>
      </c>
      <c r="I189" s="130"/>
      <c r="J189" s="131">
        <f>$J$120*H189</f>
        <v>1</v>
      </c>
      <c r="N189" s="101" t="s">
        <v>241</v>
      </c>
      <c r="O189" s="290" t="s">
        <v>246</v>
      </c>
      <c r="P189" s="290" t="s">
        <v>239</v>
      </c>
      <c r="Q189" s="280" t="s">
        <v>193</v>
      </c>
      <c r="R189" s="213"/>
      <c r="S189" s="213" t="s">
        <v>193</v>
      </c>
      <c r="T189" s="213" t="s">
        <v>198</v>
      </c>
      <c r="U189" s="291">
        <f>((($I$141*$G$141*2)+($I$143*$G$143*2))/1000)*$J$120</f>
        <v>34.266500000000001</v>
      </c>
      <c r="V189" s="291">
        <v>100</v>
      </c>
      <c r="W189" s="292">
        <f t="shared" si="32"/>
        <v>1</v>
      </c>
    </row>
    <row r="190" spans="1:23" s="1" customFormat="1" ht="18" customHeight="1">
      <c r="A190" s="201">
        <f>IF(B190="","",+A188+1)</f>
        <v>15</v>
      </c>
      <c r="B190" s="140" t="s">
        <v>112</v>
      </c>
      <c r="C190" s="140" t="s">
        <v>114</v>
      </c>
      <c r="D190" s="128" t="s">
        <v>520</v>
      </c>
      <c r="E190" s="129"/>
      <c r="F190" s="129" t="s">
        <v>520</v>
      </c>
      <c r="G190" s="143" t="s">
        <v>202</v>
      </c>
      <c r="H190" s="143">
        <v>4</v>
      </c>
      <c r="I190" s="130"/>
      <c r="J190" s="131">
        <f t="shared" ref="J190:J191" si="33">$J$120*H190</f>
        <v>4</v>
      </c>
    </row>
    <row r="191" spans="1:23" s="1" customFormat="1" ht="18" customHeight="1">
      <c r="A191" s="201">
        <f t="shared" si="31"/>
        <v>16</v>
      </c>
      <c r="B191" s="140" t="s">
        <v>115</v>
      </c>
      <c r="C191" s="140" t="s">
        <v>45</v>
      </c>
      <c r="D191" s="139" t="s">
        <v>84</v>
      </c>
      <c r="E191" s="143"/>
      <c r="F191" s="143" t="s">
        <v>84</v>
      </c>
      <c r="G191" s="143" t="s">
        <v>202</v>
      </c>
      <c r="H191" s="143">
        <v>1</v>
      </c>
      <c r="I191" s="130"/>
      <c r="J191" s="131">
        <f t="shared" si="33"/>
        <v>1</v>
      </c>
    </row>
    <row r="192" spans="1:23" s="1" customFormat="1" ht="18" customHeight="1">
      <c r="A192" s="201">
        <f>IF(B192="","",+A189+1)</f>
        <v>18</v>
      </c>
      <c r="B192" s="140" t="s">
        <v>512</v>
      </c>
      <c r="C192" s="140" t="s">
        <v>135</v>
      </c>
      <c r="D192" s="139" t="s">
        <v>137</v>
      </c>
      <c r="E192" s="143"/>
      <c r="F192" s="143" t="s">
        <v>137</v>
      </c>
      <c r="G192" s="143" t="s">
        <v>198</v>
      </c>
      <c r="H192" s="261">
        <f>((($I$148*$G$148)+($I$149*$G$149))/1000)*$J$120</f>
        <v>4.8659999999999997</v>
      </c>
      <c r="I192" s="258">
        <v>100</v>
      </c>
      <c r="J192" s="267">
        <f>ROUNDUP((H192)/100,0)</f>
        <v>1</v>
      </c>
    </row>
    <row r="193" spans="1:35" s="1" customFormat="1" ht="18" customHeight="1">
      <c r="A193" s="201">
        <f t="shared" si="31"/>
        <v>19</v>
      </c>
      <c r="B193" s="140" t="s">
        <v>513</v>
      </c>
      <c r="C193" s="140" t="s">
        <v>136</v>
      </c>
      <c r="D193" s="139" t="s">
        <v>138</v>
      </c>
      <c r="E193" s="143"/>
      <c r="F193" s="143" t="s">
        <v>138</v>
      </c>
      <c r="G193" s="143" t="s">
        <v>198</v>
      </c>
      <c r="H193" s="261">
        <f>((($I$144*$G$144)+($I$145*$G$145))/1000)*$J$120</f>
        <v>4.8659999999999997</v>
      </c>
      <c r="I193" s="258">
        <v>100</v>
      </c>
      <c r="J193" s="267">
        <f>ROUNDUP((H193)/100,0)</f>
        <v>1</v>
      </c>
    </row>
    <row r="194" spans="1:35" s="1" customFormat="1" ht="18" customHeight="1">
      <c r="A194" s="201">
        <f t="shared" si="31"/>
        <v>20</v>
      </c>
      <c r="B194" s="139" t="str">
        <f>IF($D$129="Standard",$O$186,IF($D$129="Soumdproof",$O$187,))</f>
        <v>ยางเฟรมกันน้ำ (ธรรมดา)</v>
      </c>
      <c r="C194" s="139" t="str">
        <f>IF($D$129="Standard",$P$186,IF($D$129="Soumdproof",$P$187,))</f>
        <v>FRAME SEAL (Standard)</v>
      </c>
      <c r="D194" s="139" t="str">
        <f>IF($D$129="Standard",$Q$186,IF($D$129="Soumdproof",$Q$187,))</f>
        <v>02-026</v>
      </c>
      <c r="E194" s="143">
        <f t="shared" ref="E194" si="34">IF($D$129="Standard",R192,IF($D$129="Soumdproof",R193,))</f>
        <v>0</v>
      </c>
      <c r="F194" s="143" t="str">
        <f>IF($D$129="Standard",$S$186,IF($D$129="Soumdproof",$S$187,))</f>
        <v>02-026</v>
      </c>
      <c r="G194" s="143" t="str">
        <f>IF($D$129="Standard",$T$186,IF($D$129="Soumdproof",$T$187,))</f>
        <v>M</v>
      </c>
      <c r="H194" s="261">
        <f>IF($D$129="Standard",$U$186,IF($D$129="Soumdproof",$U$187,))</f>
        <v>8.4030000000000005</v>
      </c>
      <c r="I194" s="258">
        <f>IF($D$129="Standard",$V$186,IF($D$129="Soumdproof",$V$187,))</f>
        <v>300</v>
      </c>
      <c r="J194" s="267">
        <f>ROUNDUP((H194)/100,0)</f>
        <v>1</v>
      </c>
    </row>
    <row r="195" spans="1:35" ht="18" customHeight="1">
      <c r="A195" s="201">
        <f t="shared" si="31"/>
        <v>21</v>
      </c>
      <c r="B195" s="139" t="str">
        <f>IF($D$129="Standard",$O$188,IF($D$129="Soumdproof",$O$189,))</f>
        <v>ยางแซชกันน้ำ (ธรรมดา)</v>
      </c>
      <c r="C195" s="139" t="str">
        <f>IF($D$129="Standard",$P$188,IF($D$129="Soumdproof",$P$189,))</f>
        <v>SASH SEAL FOAM (Standard)</v>
      </c>
      <c r="D195" s="139" t="str">
        <f>IF($D$129="Standard",$Q$188,IF($D$129="Soumdproof",$Q$189,))</f>
        <v>02-031</v>
      </c>
      <c r="E195" s="143">
        <f t="shared" ref="E195" si="35">IF($D$129="Standard",R194,IF($D$129="Soumdproof",R195,))</f>
        <v>0</v>
      </c>
      <c r="F195" s="143" t="str">
        <f>IF($D$129="Standard",$S$188,IF($D$129="Soumdproof",$S$189,))</f>
        <v>02-031</v>
      </c>
      <c r="G195" s="143" t="str">
        <f>IF($D$129="Standard",$T$188,IF($D$129="Soumdproof",$T$189,))</f>
        <v>M</v>
      </c>
      <c r="H195" s="261">
        <f>IF($D$129="Standard",$U$188,IF($D$129="Soumdproof",$U$189,))</f>
        <v>34.266500000000001</v>
      </c>
      <c r="I195" s="258">
        <f>IF($D$129="Standard",$V$188,IF($D$129="Soumdproof",$V$189,))</f>
        <v>350</v>
      </c>
      <c r="J195" s="267">
        <f t="shared" ref="J195:J197" si="36">ROUNDUP((H195)/100,0)</f>
        <v>1</v>
      </c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s="1" customFormat="1" ht="18" customHeight="1">
      <c r="A196" s="201">
        <f t="shared" si="31"/>
        <v>22</v>
      </c>
      <c r="B196" s="241" t="str">
        <f>IF($D$127=5,$O$177,IF($D$127=6,$O$178,IF($D$127=8,$O$179,IF($D$127=10,$O$177,IF($D$127=12,$O$177,IF($D$127=14,$O$179,IF($D$127=18,$O$177,IF($D$127=20,$O$178,IF($D$127=22,"")))))))))</f>
        <v>6,20 mm ยางอัดกระจก</v>
      </c>
      <c r="C196" s="241" t="str">
        <f>IF($D$127=5,$P$177,IF($D$127=6,$P$178,IF($D$127=8,$P$179,IF($D$127=10,$P$177,IF($D$127=12,$P$177,IF($D$127=14,$P$179,IF($D$127=18,$P$177,IF($D$127=20,$P$178,IF($D$127=22,"")))))))))</f>
        <v>6,20 mm ROLL IN WEDGE</v>
      </c>
      <c r="D196" s="241" t="str">
        <f>IF($D$127=5,$Q$177,IF($D$127=6,$Q$178,IF($D$127=8,$Q$179,IF($D$127=10,$Q$177,IF($D$127=12,$Q$177,IF($D$127=14,$Q$179,IF($D$127=18,$Q$177,IF($D$127=20,$Q$178,IF($D$127=22,"")))))))))</f>
        <v>02-034</v>
      </c>
      <c r="E196" s="241">
        <f t="shared" ref="E196" si="37">IF($D$127=5,R183,IF($D$127=6,R184,IF($D$127=8,R185,IF($D$127=10,R183,IF($D$127=12,R183,IF($D$127=14,R185,IF($D$127=18,R183,IF($D$127=20,R184,IF($D$127=22,"",)))))))))</f>
        <v>0</v>
      </c>
      <c r="F196" s="242" t="str">
        <f>IF($D$127=5,$S$177,IF($D$127=6,$S$178,IF($D$127=8,$S$179,IF($D$127=10,$S$177,IF($D$127=12,$S$177,IF($D$127=14,$S$179,IF($D$127=18,$S$177,IF($D$127=20,$S$178,IF($D$127=22,"")))))))))</f>
        <v>02-034</v>
      </c>
      <c r="G196" s="242" t="str">
        <f>IF($D$127=5,$T$177,IF($D$127=6,$T$178,IF($D$127=8,$T$179,IF($D$127=10,$T$177,IF($D$127=12,$T$177,IF($D$127=14,$T$179,IF($D$127=18,$T$177,IF($D$127=20,$T$178,IF($D$127=22,"")))))))))</f>
        <v>M</v>
      </c>
      <c r="H196" s="261">
        <f>IF($D$127=5,$U$177,IF($D$127=6,$U$178,IF($D$127=8,$U$179,IF($D$127=10,$U$177*2,IF($D$127=12,$U$177,IF($D$127=14,$U$179*2,IF($D$127=18,$U$177,IF($D$127=20,$U$178,IF($D$127=22,"")))))))))</f>
        <v>24.534500000000001</v>
      </c>
      <c r="I196" s="258">
        <f>IF($D$127=5,$V$177,IF($D$127=6,$V$178,IF($D$127=8,$V$179,IF($D$127=10,$V$177,IF($D$127=12,$V$177,IF($D$127=14,$V$179,IF($D$127=18,$V$177,IF($D$127=20,$V$178,IF($D$127=22,"")))))))))</f>
        <v>100</v>
      </c>
      <c r="J196" s="267">
        <f t="shared" si="36"/>
        <v>1</v>
      </c>
    </row>
    <row r="197" spans="1:35" s="1" customFormat="1" ht="18" customHeight="1">
      <c r="A197" s="201">
        <f t="shared" si="31"/>
        <v>23</v>
      </c>
      <c r="B197" s="241" t="str">
        <f>IF($D$127=5,$O$175,IF($D$127=6,$O$175,IF($D$127=8,$O$177,IF($D$127=10,"",IF($D$127=12,$O$176,IF($D$127=14,"",IF($D$127=18,$O$175,IF($D$127=20,$O$176,IF($D$127=22,"",)))))))))</f>
        <v>5,6,18 mm ยางรองกระจก</v>
      </c>
      <c r="C197" s="241" t="str">
        <f>IF($D$127=5,$P$175,IF($D$127=6,$P$175,IF($D$127=8,$P$177,IF($D$127=10,"",IF($D$127=12,$P$176,IF($D$127=14,"",IF($D$127=18,$P$175,IF($D$127=20,$P$176,IF($D$127=22,"",)))))))))</f>
        <v>5,6,18 mm CAPTIVE WEDGE</v>
      </c>
      <c r="D197" s="241" t="str">
        <f>IF($D$127=5,$Q$175,IF($D$127=6,$Q$175,IF($D$127=8,$Q$177,IF($D$127=10,"",IF($D$127=12,$Q$176,IF($D$127=14,"",IF($D$127=18,$Q$175,IF($D$127=20,$Q$176,IF($D$127=22,"",)))))))))</f>
        <v>02-022</v>
      </c>
      <c r="E197" s="241" t="e">
        <f>IF($D$127=5,#REF!,IF($D$127=6,#REF!,IF($D$127=8,R183,IF($D$127=10,"",IF($D$127=12,R182,IF($D$127=14,"",IF($D$127=18,#REF!,IF($D$127=20,R182,IF($D$127=22,"",)))))))))</f>
        <v>#REF!</v>
      </c>
      <c r="F197" s="242" t="str">
        <f>IF($D$127=5,$S$175,IF($D$127=6,$S$175,IF($D$127=8,$S$177,IF($D$127=10,"",IF($D$127=12,$S$176,IF($D$127=14,"",IF($D$127=18,$S$175,IF($D$127=20,$S$176,IF($D$127=22,"",)))))))))</f>
        <v>02-022</v>
      </c>
      <c r="G197" s="242" t="str">
        <f>IF($D$127=5,$T$175,IF($D$127=6,$T$175,IF($D$127=8,$T$177,IF($D$127=10,"",IF($D$127=12,$T$176,IF($D$127=14,"",IF($D$127=18,$T$175,IF($D$127=20,$T$176,IF($D$127=22,"",)))))))))</f>
        <v>M</v>
      </c>
      <c r="H197" s="261">
        <f>IF($D$127=5,$U$175,IF($D$127=6,$U$175,IF($D$127=8,$U$177,IF($D$127=10,"",IF($D$127=12,$U$176,IF($D$127=14,"",IF($D$127=18,$U$175,IF($D$127=20,$U$176,IF($D$127=22,"")))))))))</f>
        <v>24.534500000000001</v>
      </c>
      <c r="I197" s="258">
        <f>IF($D$127=5,$V$175,IF($D$127=6,$V$175,IF($D$127=8,$V$177,IF($D$127=10,"",IF($D$127=12,$V$176,IF($D$127=14,"",IF($D$127=18,$V$175,IF($D$127=20,$V$176,IF($D$127=22,"",)))))))))</f>
        <v>100</v>
      </c>
      <c r="J197" s="267">
        <f t="shared" si="36"/>
        <v>1</v>
      </c>
    </row>
    <row r="198" spans="1:35" s="1" customFormat="1" ht="18" customHeight="1">
      <c r="A198" s="201" t="str">
        <f t="shared" si="31"/>
        <v/>
      </c>
      <c r="B198" s="140"/>
      <c r="C198" s="140"/>
      <c r="D198" s="139"/>
      <c r="E198" s="143"/>
      <c r="F198" s="143"/>
      <c r="G198" s="143"/>
      <c r="H198" s="143"/>
      <c r="I198" s="130"/>
      <c r="J198" s="131">
        <f t="shared" ref="J198:J201" si="38">$J$120*G198</f>
        <v>0</v>
      </c>
    </row>
    <row r="199" spans="1:35" s="1" customFormat="1" ht="18" customHeight="1">
      <c r="A199" s="201" t="str">
        <f t="shared" si="31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 t="shared" si="38"/>
        <v>0</v>
      </c>
    </row>
    <row r="200" spans="1:35" s="1" customFormat="1" ht="18" customHeight="1">
      <c r="A200" s="201" t="str">
        <f t="shared" si="31"/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si="38"/>
        <v>0</v>
      </c>
    </row>
    <row r="201" spans="1:35" s="1" customFormat="1" ht="18" customHeight="1">
      <c r="A201" s="201" t="str">
        <f t="shared" si="31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si="38"/>
        <v>0</v>
      </c>
    </row>
    <row r="202" spans="1:35" s="1" customFormat="1" ht="18" customHeight="1">
      <c r="A202" s="201" t="str">
        <f t="shared" si="31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ref="J202:J204" si="39">$J$120*G202</f>
        <v>0</v>
      </c>
    </row>
    <row r="203" spans="1:35" s="1" customFormat="1" ht="18" customHeight="1">
      <c r="A203" s="201" t="str">
        <f t="shared" si="31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si="39"/>
        <v>0</v>
      </c>
    </row>
    <row r="204" spans="1:35" s="1" customFormat="1" ht="18" customHeight="1">
      <c r="A204" s="201" t="str">
        <f t="shared" si="31"/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 t="shared" si="39"/>
        <v>0</v>
      </c>
    </row>
    <row r="205" spans="1:35" s="1" customFormat="1" ht="18" customHeight="1">
      <c r="A205" s="317" t="str">
        <f>IF(B205="","",+#REF!+1)</f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 t="shared" ref="J205" si="40">$J$120*G205</f>
        <v>0</v>
      </c>
    </row>
    <row r="206" spans="1:35" s="1" customFormat="1" ht="18" customHeight="1">
      <c r="A206" s="27"/>
      <c r="B206" s="33"/>
      <c r="C206" s="33"/>
      <c r="D206" s="161"/>
      <c r="E206" s="109"/>
      <c r="F206" s="109"/>
      <c r="G206" s="109"/>
      <c r="H206" s="109"/>
      <c r="I206" s="24"/>
      <c r="J206" s="318"/>
    </row>
    <row r="207" spans="1:35" ht="18" customHeight="1">
      <c r="A207" s="17"/>
      <c r="J207" s="99" t="str">
        <f>LEFT($J$111,13)&amp;"-02"</f>
        <v>FG-240-4P1L3R-02</v>
      </c>
    </row>
    <row r="208" spans="1:35" ht="12.75" customHeight="1">
      <c r="B208" s="56"/>
      <c r="C208" s="56"/>
      <c r="D208" s="30"/>
      <c r="E208" s="17"/>
      <c r="F208" s="17"/>
      <c r="G208" s="17"/>
      <c r="H208" s="17"/>
      <c r="K208" s="7"/>
      <c r="L208" s="7"/>
      <c r="M208" s="2"/>
      <c r="N208" s="2"/>
    </row>
    <row r="209" spans="1:14" ht="30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182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182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 s="93"/>
      <c r="C215" s="56"/>
      <c r="D215" s="30"/>
      <c r="E215" s="29"/>
      <c r="F215" s="160"/>
      <c r="G215"/>
      <c r="H215"/>
      <c r="I215" s="160"/>
      <c r="J215" s="116"/>
    </row>
    <row r="216" spans="1:14" s="1" customFormat="1" ht="15" customHeight="1">
      <c r="A216" s="17"/>
      <c r="B216" s="56"/>
      <c r="C216" s="89"/>
      <c r="D216" s="30"/>
      <c r="E216" s="29"/>
      <c r="F216" s="30"/>
      <c r="G216" s="160"/>
      <c r="H216" s="16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s="1" customFormat="1" ht="15.6">
      <c r="A218" s="109"/>
      <c r="B218" s="33"/>
      <c r="C218" s="327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378</v>
      </c>
      <c r="D220" s="30"/>
      <c r="E220" s="29"/>
      <c r="F220" s="30"/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89"/>
      <c r="J221" s="12"/>
    </row>
    <row r="222" spans="1:14" s="1" customFormat="1" ht="15" customHeight="1">
      <c r="A222" s="109"/>
      <c r="B222" s="33"/>
      <c r="C222" s="327" t="s">
        <v>273</v>
      </c>
      <c r="D222" s="161"/>
      <c r="E222" s="109"/>
      <c r="F222" s="161"/>
      <c r="J222" s="12"/>
    </row>
    <row r="223" spans="1:14" s="1" customFormat="1" ht="15" customHeight="1">
      <c r="A223" s="109"/>
      <c r="B223" s="33"/>
      <c r="C223" s="374">
        <f>$I$133</f>
        <v>3000</v>
      </c>
      <c r="D223" s="161"/>
      <c r="E223" s="35"/>
      <c r="F223" s="161"/>
      <c r="G223" s="68"/>
      <c r="J223" s="12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326"/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326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109"/>
      <c r="J228" s="109"/>
    </row>
    <row r="229" spans="1:10" s="1" customFormat="1" ht="15.9" customHeight="1">
      <c r="A229" s="92"/>
      <c r="B229" s="92"/>
      <c r="C229" s="327"/>
      <c r="D229" s="161"/>
      <c r="E229" s="109"/>
      <c r="F229" s="161"/>
      <c r="H229" s="109"/>
      <c r="I229" s="32"/>
      <c r="J229" s="40"/>
    </row>
    <row r="230" spans="1:10" s="1" customFormat="1" ht="15.9" customHeight="1">
      <c r="A230" s="45"/>
      <c r="B230" s="45"/>
      <c r="D230" s="161"/>
      <c r="E230" s="109"/>
      <c r="F230" s="161"/>
      <c r="I230" s="319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319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319"/>
      <c r="J232" s="117"/>
    </row>
    <row r="233" spans="1:10" s="1" customFormat="1" ht="15.9" customHeight="1">
      <c r="A233" s="44"/>
      <c r="B233" s="44"/>
      <c r="C233" s="89" t="s">
        <v>369</v>
      </c>
      <c r="D233" s="84"/>
      <c r="E233" s="44"/>
      <c r="F233" s="44"/>
      <c r="G233" s="109"/>
      <c r="H233" s="109"/>
      <c r="I233" s="319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I234" s="319"/>
      <c r="J234" s="117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J235" s="12"/>
    </row>
    <row r="236" spans="1:10" s="1" customFormat="1" ht="15.9" customHeight="1">
      <c r="A236" s="109"/>
      <c r="B236" s="33"/>
      <c r="C236" s="374">
        <f>$I$134</f>
        <v>2974</v>
      </c>
      <c r="D236" s="161"/>
      <c r="E236" s="109"/>
      <c r="F236" s="161"/>
      <c r="G236" s="109"/>
      <c r="H236" s="109"/>
      <c r="I236" s="109"/>
      <c r="J236" s="24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24"/>
      <c r="J237" s="24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24"/>
      <c r="J238" s="24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89"/>
      <c r="J239" s="118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319"/>
      <c r="J240" s="117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319"/>
      <c r="J241" s="117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24"/>
      <c r="J242" s="24"/>
    </row>
    <row r="243" spans="1:10" s="1" customFormat="1" ht="15.9" customHeight="1">
      <c r="A243" s="109"/>
      <c r="B243" s="33"/>
      <c r="C243" s="89" t="s">
        <v>370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.9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109"/>
      <c r="J244" s="24"/>
    </row>
    <row r="245" spans="1:10" s="1" customFormat="1" ht="15.9" customHeight="1">
      <c r="A245" s="109"/>
      <c r="B245" s="33"/>
      <c r="C245" s="327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3000</v>
      </c>
      <c r="D246" s="161"/>
      <c r="E246" s="109"/>
      <c r="F246" s="161"/>
      <c r="G246" s="109"/>
      <c r="H246" s="109"/>
      <c r="I246" s="24"/>
      <c r="J246" s="24"/>
    </row>
    <row r="247" spans="1:10" s="1" customFormat="1" ht="15" customHeight="1">
      <c r="A247" s="109"/>
      <c r="B247" s="33"/>
      <c r="C247" s="363">
        <f>$J$135</f>
        <v>1</v>
      </c>
      <c r="D247" s="161"/>
      <c r="E247" s="109"/>
      <c r="F247" s="161"/>
      <c r="G247" s="109"/>
      <c r="H247" s="109"/>
      <c r="I247" s="24"/>
      <c r="J247" s="24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I248" s="44"/>
      <c r="J248" s="119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I249" s="32"/>
      <c r="J249" s="40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I250" s="32"/>
      <c r="J250" s="40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0"/>
      <c r="H251" s="109"/>
      <c r="J251" s="12"/>
    </row>
    <row r="252" spans="1:10" s="1" customFormat="1" ht="15.9" customHeight="1">
      <c r="A252" s="109"/>
      <c r="B252" s="33"/>
      <c r="D252" s="161"/>
      <c r="E252" s="109"/>
      <c r="F252" s="109"/>
      <c r="G252" s="109"/>
      <c r="H252" s="109"/>
      <c r="J252" s="12"/>
    </row>
    <row r="253" spans="1:10" s="1" customFormat="1" ht="15.9" customHeight="1">
      <c r="A253" s="44"/>
      <c r="B253" s="44"/>
      <c r="D253" s="84"/>
      <c r="E253" s="44"/>
      <c r="F253" s="44"/>
      <c r="G253" s="109"/>
      <c r="H253" s="109"/>
      <c r="J253" s="12"/>
    </row>
    <row r="254" spans="1:10" s="1" customFormat="1" ht="15.9" customHeight="1">
      <c r="A254" s="40"/>
      <c r="B254" s="40"/>
      <c r="C254" s="89" t="s">
        <v>382</v>
      </c>
      <c r="D254" s="85"/>
      <c r="E254" s="40"/>
      <c r="F254" s="32"/>
      <c r="G254" s="109"/>
      <c r="I254" s="24"/>
      <c r="J254" s="24"/>
    </row>
    <row r="255" spans="1:10" s="1" customFormat="1" ht="15.9" customHeight="1">
      <c r="A255" s="27"/>
      <c r="B255" s="33"/>
      <c r="C255" s="328" t="s">
        <v>275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27" t="s">
        <v>273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74">
        <f>$I$136</f>
        <v>3000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63">
        <f>$J$136</f>
        <v>1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46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161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89" t="s">
        <v>373</v>
      </c>
      <c r="D264" s="161"/>
      <c r="E264" s="109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8" t="s">
        <v>372</v>
      </c>
      <c r="D265" s="328"/>
      <c r="E265" s="328"/>
      <c r="F265" s="109"/>
      <c r="G265" s="109"/>
      <c r="H265" s="109"/>
      <c r="I265" s="24"/>
      <c r="J265" s="24"/>
    </row>
    <row r="266" spans="1:10" s="1" customFormat="1" ht="15.9" customHeight="1">
      <c r="A266" s="27"/>
      <c r="B266" s="33"/>
      <c r="C266" s="327" t="s">
        <v>279</v>
      </c>
      <c r="D266" s="327"/>
      <c r="E266" s="327"/>
      <c r="F266" s="109"/>
      <c r="G266" s="109"/>
      <c r="H266" s="109"/>
      <c r="I266" s="24"/>
      <c r="J266" s="24"/>
    </row>
    <row r="267" spans="1:10" s="1" customFormat="1" ht="15.9" customHeight="1">
      <c r="A267" s="27"/>
      <c r="B267" s="33"/>
      <c r="C267" s="374">
        <f>$I$137</f>
        <v>2525</v>
      </c>
      <c r="D267" s="161"/>
      <c r="E267" s="109"/>
      <c r="F267" s="109"/>
      <c r="G267" s="33"/>
      <c r="H267" s="33"/>
      <c r="I267" s="24"/>
      <c r="J267" s="24"/>
    </row>
    <row r="268" spans="1:10" s="1" customFormat="1" ht="15.9" customHeight="1">
      <c r="A268" s="27"/>
      <c r="B268" s="33"/>
      <c r="C268" s="363">
        <f>$J$137+$J$138</f>
        <v>2</v>
      </c>
      <c r="D268" s="161"/>
      <c r="E268" s="109"/>
      <c r="F268" s="109"/>
      <c r="G268" s="109"/>
      <c r="H268" s="109"/>
      <c r="I268" s="24"/>
      <c r="J268" s="24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I269" s="24"/>
      <c r="J269" s="24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I270" s="24"/>
      <c r="J270" s="24"/>
    </row>
    <row r="271" spans="1:10" s="1" customFormat="1" ht="15.9" customHeight="1">
      <c r="A271" s="27"/>
      <c r="B271" s="33"/>
      <c r="D271" s="89"/>
      <c r="E271" s="89"/>
      <c r="F271" s="109"/>
      <c r="G271" s="109"/>
      <c r="H271" s="109"/>
      <c r="I271" s="24"/>
      <c r="J271" s="24"/>
    </row>
    <row r="272" spans="1:10" s="1" customFormat="1" ht="15.9" customHeight="1">
      <c r="A272" s="27"/>
      <c r="D272" s="328"/>
      <c r="E272" s="328"/>
      <c r="F272" s="109"/>
      <c r="G272" s="109"/>
      <c r="H272" s="109"/>
      <c r="J272" s="12"/>
    </row>
    <row r="273" spans="1:10" s="1" customFormat="1" ht="15.9" customHeight="1">
      <c r="A273" s="27"/>
      <c r="B273" s="33"/>
      <c r="D273" s="328"/>
      <c r="E273" s="328"/>
      <c r="F273" s="109"/>
      <c r="G273" s="109"/>
      <c r="J273" s="12"/>
    </row>
    <row r="274" spans="1:10" s="1" customFormat="1" ht="15.9" customHeight="1">
      <c r="A274" s="27"/>
      <c r="B274" s="33"/>
      <c r="C274" s="33"/>
      <c r="D274" s="161"/>
      <c r="E274" s="109"/>
      <c r="F274" s="109"/>
      <c r="G274" s="109"/>
      <c r="J274" s="12"/>
    </row>
    <row r="275" spans="1:10" s="1" customFormat="1" ht="15.9" customHeight="1">
      <c r="A275" s="27"/>
      <c r="B275" s="33"/>
      <c r="C275" s="89" t="s">
        <v>383</v>
      </c>
      <c r="D275" s="162"/>
      <c r="E275" s="24"/>
      <c r="F275" s="109"/>
      <c r="G275" s="109"/>
      <c r="J275" s="12"/>
    </row>
    <row r="276" spans="1:10" s="1" customFormat="1" ht="15.9" customHeight="1">
      <c r="A276" s="27"/>
      <c r="B276" s="33"/>
      <c r="C276" s="328" t="s">
        <v>649</v>
      </c>
      <c r="D276" s="328"/>
      <c r="E276" s="328"/>
      <c r="F276" s="109"/>
      <c r="G276" s="109"/>
      <c r="J276" s="12"/>
    </row>
    <row r="277" spans="1:10" s="1" customFormat="1" ht="15.9" customHeight="1">
      <c r="A277" s="27"/>
      <c r="B277" s="33"/>
      <c r="C277" s="433" t="s">
        <v>650</v>
      </c>
      <c r="D277" s="327"/>
      <c r="E277" s="327"/>
      <c r="F277" s="109"/>
      <c r="G277" s="109"/>
      <c r="J277" s="12"/>
    </row>
    <row r="278" spans="1:10" s="1" customFormat="1" ht="15.9" customHeight="1">
      <c r="A278" s="27"/>
      <c r="B278" s="33"/>
      <c r="C278" s="374">
        <f>$I$139</f>
        <v>2429</v>
      </c>
      <c r="F278" s="109"/>
      <c r="G278" s="109"/>
      <c r="I278" s="24"/>
      <c r="J278" s="24"/>
    </row>
    <row r="279" spans="1:10" s="1" customFormat="1" ht="15.9" customHeight="1">
      <c r="A279" s="27"/>
      <c r="B279" s="33"/>
      <c r="C279" s="363">
        <f>$J$139+$J$140</f>
        <v>2</v>
      </c>
      <c r="F279" s="109"/>
      <c r="G279" s="109"/>
      <c r="I279" s="24"/>
      <c r="J279" s="24"/>
    </row>
    <row r="280" spans="1:10" s="1" customFormat="1" ht="15.9" customHeight="1">
      <c r="A280" s="27"/>
      <c r="B280" s="33"/>
      <c r="F280" s="109"/>
      <c r="G280" s="109"/>
      <c r="H280" s="109"/>
      <c r="I280" s="24"/>
      <c r="J280" s="24"/>
    </row>
    <row r="281" spans="1:10" s="1" customFormat="1" ht="15.9" customHeight="1">
      <c r="A281" s="27"/>
      <c r="B281" s="33"/>
      <c r="F281" s="109"/>
      <c r="G281" s="109"/>
      <c r="H281" s="109"/>
      <c r="I281" s="24"/>
      <c r="J281" s="24"/>
    </row>
    <row r="282" spans="1:10" s="1" customFormat="1" ht="15.9" customHeight="1">
      <c r="A282" s="27"/>
      <c r="B282" s="33"/>
      <c r="C282" s="33"/>
      <c r="D282" s="161"/>
      <c r="E282" s="109"/>
      <c r="F282" s="109"/>
      <c r="G282" s="109"/>
      <c r="H282" s="109"/>
      <c r="I282" s="24"/>
      <c r="J282" s="24"/>
    </row>
    <row r="283" spans="1:10" s="1" customFormat="1" ht="15.9" customHeight="1">
      <c r="A283" s="27"/>
      <c r="B283" s="33"/>
      <c r="F283" s="109"/>
      <c r="G283" s="109"/>
      <c r="H283" s="109"/>
      <c r="I283" s="109"/>
      <c r="J283" s="24"/>
    </row>
    <row r="284" spans="1:10" s="1" customFormat="1" ht="15.9" customHeight="1">
      <c r="A284" s="27"/>
      <c r="B284" s="33"/>
      <c r="F284" s="109"/>
      <c r="G284" s="109"/>
      <c r="H284" s="109"/>
      <c r="I284" s="109"/>
      <c r="J284" s="24"/>
    </row>
    <row r="285" spans="1:10" s="1" customFormat="1" ht="15.9" customHeight="1">
      <c r="A285" s="27"/>
      <c r="B285" s="33"/>
      <c r="C285" s="89" t="s">
        <v>375</v>
      </c>
      <c r="F285" s="109"/>
      <c r="G285" s="109"/>
      <c r="H285" s="109"/>
      <c r="I285" s="109"/>
      <c r="J285" s="24"/>
    </row>
    <row r="286" spans="1:10" s="1" customFormat="1" ht="15.9" customHeight="1">
      <c r="A286" s="27"/>
      <c r="B286" s="33"/>
      <c r="C286" s="94" t="s">
        <v>416</v>
      </c>
      <c r="D286" s="161"/>
      <c r="E286" s="109"/>
      <c r="F286" s="109"/>
      <c r="G286" s="109"/>
      <c r="H286" s="109"/>
      <c r="I286" s="109"/>
      <c r="J286" s="24"/>
    </row>
    <row r="287" spans="1:10" s="1" customFormat="1" ht="15.9" customHeight="1">
      <c r="A287" s="27"/>
      <c r="B287" s="33"/>
      <c r="C287" s="327" t="s">
        <v>418</v>
      </c>
      <c r="D287" s="161"/>
      <c r="E287" s="109"/>
      <c r="F287" s="109"/>
      <c r="G287" s="109"/>
      <c r="H287" s="109"/>
      <c r="J287" s="12"/>
    </row>
    <row r="288" spans="1:10" s="1" customFormat="1" ht="15.9" customHeight="1">
      <c r="A288" s="27"/>
      <c r="B288" s="33"/>
      <c r="C288" s="328" t="s">
        <v>281</v>
      </c>
      <c r="D288" s="328"/>
      <c r="E288" s="328"/>
      <c r="F288" s="109"/>
      <c r="G288" s="109"/>
      <c r="J288" s="12"/>
    </row>
    <row r="289" spans="1:10" s="1" customFormat="1" ht="15.9" customHeight="1">
      <c r="A289" s="27"/>
      <c r="B289" s="33"/>
      <c r="C289" s="327" t="s">
        <v>282</v>
      </c>
      <c r="D289" s="327"/>
      <c r="E289" s="327"/>
      <c r="F289" s="109"/>
      <c r="G289" s="109"/>
      <c r="J289" s="12"/>
    </row>
    <row r="290" spans="1:10" s="1" customFormat="1" ht="15.9" customHeight="1">
      <c r="A290" s="27"/>
      <c r="B290" s="33"/>
      <c r="C290" s="374">
        <f>$I$141</f>
        <v>633.8125</v>
      </c>
      <c r="F290" s="109"/>
      <c r="G290" s="109"/>
      <c r="I290" s="162"/>
      <c r="J290" s="24"/>
    </row>
    <row r="291" spans="1:10" s="1" customFormat="1" ht="15.9" customHeight="1">
      <c r="A291" s="27"/>
      <c r="B291" s="33"/>
      <c r="C291" s="363">
        <f>$J$141+$J$142</f>
        <v>8</v>
      </c>
      <c r="D291" s="161"/>
      <c r="E291" s="109"/>
      <c r="F291" s="109"/>
      <c r="G291" s="109"/>
      <c r="H291" s="161"/>
      <c r="I291" s="109"/>
      <c r="J291" s="24"/>
    </row>
    <row r="292" spans="1:10" s="1" customFormat="1" ht="15.9" customHeight="1">
      <c r="A292" s="27"/>
      <c r="B292" s="33"/>
      <c r="C292" s="374">
        <f>$I$143</f>
        <v>2433</v>
      </c>
      <c r="D292" s="161"/>
      <c r="E292" s="109"/>
      <c r="F292" s="109"/>
      <c r="G292" s="109"/>
      <c r="H292" s="109"/>
      <c r="I292" s="24"/>
      <c r="J292" s="24"/>
    </row>
    <row r="293" spans="1:10" s="1" customFormat="1" ht="15.9" customHeight="1">
      <c r="A293" s="27"/>
      <c r="B293" s="33"/>
      <c r="C293" s="363">
        <f>$J$143+$J$144+$J$145</f>
        <v>8</v>
      </c>
      <c r="D293" s="161"/>
      <c r="E293" s="109"/>
      <c r="F293" s="109"/>
      <c r="G293" s="109"/>
      <c r="H293" s="109"/>
      <c r="I293" s="24"/>
      <c r="J293" s="24"/>
    </row>
    <row r="294" spans="1:10" s="1" customFormat="1" ht="15.9" customHeight="1">
      <c r="A294" s="27"/>
      <c r="B294" s="33"/>
      <c r="D294" s="161"/>
      <c r="E294" s="109"/>
      <c r="F294" s="109"/>
      <c r="G294" s="109"/>
      <c r="H294" s="109"/>
      <c r="I294" s="24"/>
      <c r="J294" s="24"/>
    </row>
    <row r="295" spans="1:10" s="1" customFormat="1" ht="15.9" customHeight="1">
      <c r="A295" s="27"/>
      <c r="B295" s="33"/>
      <c r="C295" s="33"/>
      <c r="D295" s="161"/>
      <c r="E295" s="109"/>
      <c r="F295" s="109"/>
      <c r="G295" s="109"/>
      <c r="H295" s="109"/>
      <c r="I295" s="24"/>
      <c r="J295" s="24"/>
    </row>
    <row r="296" spans="1:10" s="23" customFormat="1" ht="15.9" customHeight="1">
      <c r="A296" s="27"/>
      <c r="B296" s="33"/>
      <c r="D296" s="161"/>
      <c r="E296" s="109"/>
      <c r="F296" s="109"/>
      <c r="G296" s="109"/>
      <c r="H296" s="109"/>
      <c r="I296" s="109"/>
      <c r="J296" s="109"/>
    </row>
    <row r="297" spans="1:10" s="1" customFormat="1" ht="15.9" customHeight="1">
      <c r="A297" s="27"/>
      <c r="B297" s="33"/>
      <c r="C297" s="89" t="s">
        <v>376</v>
      </c>
      <c r="D297" s="161"/>
      <c r="E297" s="109"/>
      <c r="F297" s="109"/>
      <c r="G297" s="109"/>
      <c r="H297" s="109"/>
      <c r="I297" s="44"/>
      <c r="J297" s="119"/>
    </row>
    <row r="298" spans="1:10" s="1" customFormat="1" ht="15.9" customHeight="1">
      <c r="A298" s="27"/>
      <c r="B298" s="33"/>
      <c r="C298" s="94" t="s">
        <v>416</v>
      </c>
      <c r="D298" s="161"/>
      <c r="E298" s="109"/>
      <c r="F298" s="109"/>
      <c r="G298" s="44"/>
      <c r="H298" s="44"/>
      <c r="I298" s="32"/>
      <c r="J298" s="40"/>
    </row>
    <row r="299" spans="1:10" s="1" customFormat="1" ht="15.9" customHeight="1">
      <c r="A299" s="27"/>
      <c r="B299" s="33"/>
      <c r="C299" s="327" t="s">
        <v>418</v>
      </c>
      <c r="D299" s="328"/>
      <c r="E299" s="328"/>
      <c r="F299" s="109"/>
      <c r="G299" s="40"/>
      <c r="H299" s="32"/>
      <c r="I299" s="24"/>
      <c r="J299" s="24"/>
    </row>
    <row r="300" spans="1:10" s="1" customFormat="1" ht="15.9" customHeight="1">
      <c r="A300" s="41"/>
      <c r="B300" s="33"/>
      <c r="C300" s="328" t="s">
        <v>286</v>
      </c>
      <c r="D300" s="327"/>
      <c r="E300" s="327"/>
      <c r="F300" s="109"/>
      <c r="G300" s="109"/>
      <c r="H300" s="109"/>
      <c r="I300" s="24"/>
      <c r="J300" s="24"/>
    </row>
    <row r="301" spans="1:10" s="1" customFormat="1" ht="15.9" customHeight="1">
      <c r="A301" s="44"/>
      <c r="B301" s="44"/>
      <c r="C301" s="327" t="s">
        <v>285</v>
      </c>
      <c r="D301" s="86"/>
      <c r="E301" s="79"/>
      <c r="F301" s="44"/>
      <c r="G301" s="109"/>
      <c r="H301" s="109"/>
      <c r="I301" s="109"/>
      <c r="J301" s="24"/>
    </row>
    <row r="302" spans="1:10" s="1" customFormat="1" ht="15.9" customHeight="1">
      <c r="A302" s="40"/>
      <c r="B302" s="40"/>
      <c r="C302" s="374">
        <f>$I$146</f>
        <v>633.8125</v>
      </c>
      <c r="D302" s="374"/>
      <c r="E302" s="80"/>
      <c r="F302" s="32"/>
      <c r="G302" s="109"/>
      <c r="H302" s="109"/>
      <c r="I302" s="109"/>
      <c r="J302" s="24"/>
    </row>
    <row r="303" spans="1:10" s="1" customFormat="1" ht="15.9" customHeight="1">
      <c r="A303" s="109"/>
      <c r="B303" s="33"/>
      <c r="C303" s="363">
        <f>$J$146</f>
        <v>8</v>
      </c>
      <c r="D303" s="363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C304" s="374">
        <f>$I$147</f>
        <v>2283</v>
      </c>
      <c r="D304" s="374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C305" s="363">
        <f>$J$147</f>
        <v>8</v>
      </c>
      <c r="D305" s="363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C306" s="89" t="s">
        <v>377</v>
      </c>
      <c r="D306" s="161"/>
      <c r="E306" s="109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328" t="s">
        <v>281</v>
      </c>
      <c r="D307" s="328"/>
      <c r="E307" s="328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542" t="s">
        <v>282</v>
      </c>
      <c r="D308" s="542"/>
      <c r="E308" s="542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74">
        <f>$I$148</f>
        <v>2433</v>
      </c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63">
        <f>$J$148+$J$149</f>
        <v>2</v>
      </c>
      <c r="D310" s="328"/>
      <c r="E310" s="328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D311" s="15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33"/>
      <c r="D314" s="162"/>
      <c r="E314" s="24"/>
      <c r="F314" s="109"/>
      <c r="G314" s="109"/>
      <c r="H314" s="109"/>
      <c r="I314" s="27"/>
      <c r="J314" s="99" t="str">
        <f>LEFT($J$111,13)&amp;"-03"</f>
        <v>FG-240-4P1L3R-03</v>
      </c>
    </row>
    <row r="315" spans="1:14" ht="12.75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30" customHeight="1">
      <c r="A316" s="17"/>
      <c r="B316" s="26"/>
      <c r="C316" s="26"/>
      <c r="D316" s="83"/>
      <c r="E316" s="25"/>
      <c r="F316" s="25"/>
      <c r="G316" s="25"/>
      <c r="H316" s="25"/>
      <c r="I316" s="179"/>
      <c r="J316" s="90" t="str">
        <f>$J$2</f>
        <v>HOMELIFE</v>
      </c>
    </row>
    <row r="317" spans="1:14" ht="24.9" customHeight="1">
      <c r="B317" s="56"/>
      <c r="C317" s="56"/>
      <c r="D317" s="30"/>
      <c r="E317" s="17"/>
      <c r="F317" s="17"/>
      <c r="G317" s="17"/>
      <c r="H317" s="17"/>
      <c r="J317" s="91" t="str">
        <f>$J$3</f>
        <v>Fabricators Guide</v>
      </c>
      <c r="K317" s="7"/>
      <c r="L317" s="7"/>
      <c r="M317" s="2"/>
      <c r="N317" s="2"/>
    </row>
    <row r="318" spans="1:14" ht="24.9" customHeight="1">
      <c r="B318" s="182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s="1" customFormat="1" ht="15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  <c r="K320" s="4"/>
      <c r="L320" s="4"/>
      <c r="M320" s="4"/>
      <c r="N320" s="4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63"/>
      <c r="B323"/>
      <c r="C323"/>
      <c r="D323" s="81"/>
      <c r="E323"/>
      <c r="F323"/>
      <c r="G323"/>
      <c r="H323"/>
      <c r="I323" s="160"/>
      <c r="J323" s="116"/>
    </row>
    <row r="324" spans="1:10" s="1" customFormat="1" ht="15" customHeight="1">
      <c r="A324" s="17"/>
      <c r="B324" s="72"/>
      <c r="C324" s="56"/>
      <c r="D324" s="30"/>
      <c r="E324" s="29"/>
      <c r="F324" s="160"/>
      <c r="G324" s="160"/>
      <c r="H324" s="160"/>
      <c r="I324" s="31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180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180"/>
      <c r="I331" s="161"/>
      <c r="J331" s="109"/>
    </row>
    <row r="332" spans="1:10" s="1" customFormat="1" ht="15" customHeight="1">
      <c r="A332" s="64" t="str">
        <f>A18</f>
        <v>240-4 Panel (1L3R)</v>
      </c>
      <c r="B332" s="92"/>
      <c r="C332" s="161"/>
      <c r="D332" s="161"/>
      <c r="E332" s="109"/>
      <c r="F332" s="180"/>
      <c r="G332" s="180"/>
      <c r="H332" s="180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92"/>
      <c r="C333" s="161"/>
      <c r="D333" s="161"/>
      <c r="E333" s="109"/>
      <c r="F333" s="180"/>
      <c r="G333" s="180"/>
      <c r="H333" s="180"/>
      <c r="I333" s="109"/>
      <c r="J333" s="109"/>
    </row>
    <row r="334" spans="1:10" s="1" customFormat="1" ht="15.9" customHeight="1">
      <c r="A334" s="109"/>
      <c r="B334" s="45"/>
      <c r="C334" s="42"/>
      <c r="D334" s="161"/>
      <c r="E334" s="109"/>
      <c r="F334" s="507"/>
      <c r="G334" s="507"/>
      <c r="H334" s="180"/>
      <c r="I334" s="109"/>
      <c r="J334" s="109"/>
    </row>
    <row r="335" spans="1:10" s="1" customFormat="1" ht="15.9" customHeight="1">
      <c r="A335" s="39"/>
      <c r="B335" s="109"/>
      <c r="C335" s="161"/>
      <c r="D335" s="161"/>
      <c r="E335" s="109"/>
      <c r="F335" s="37"/>
      <c r="G335" s="38"/>
      <c r="H335" s="109"/>
      <c r="I335" s="109"/>
      <c r="J335" s="109"/>
    </row>
    <row r="336" spans="1:10" s="1" customFormat="1" ht="15.9" customHeight="1">
      <c r="A336" s="44"/>
      <c r="C336" s="43"/>
      <c r="D336" s="161"/>
      <c r="E336" s="109"/>
      <c r="F336" s="109"/>
      <c r="G336" s="109"/>
      <c r="H336" s="109"/>
      <c r="I336" s="44"/>
      <c r="J336" s="119"/>
    </row>
    <row r="337" spans="1:10" s="1" customFormat="1" ht="15.9" customHeight="1">
      <c r="A337" s="40"/>
      <c r="C337" s="44"/>
      <c r="D337" s="84"/>
      <c r="E337" s="44"/>
      <c r="F337" s="44"/>
      <c r="G337" s="44"/>
      <c r="H337" s="44"/>
      <c r="I337" s="32"/>
      <c r="J337" s="40"/>
    </row>
    <row r="338" spans="1:10" s="1" customFormat="1" ht="15.9" customHeight="1">
      <c r="A338" s="109"/>
      <c r="C338" s="161"/>
      <c r="D338" s="85"/>
      <c r="E338" s="40"/>
      <c r="F338" s="32"/>
      <c r="G338" s="40"/>
      <c r="H338" s="32"/>
      <c r="I338" s="24"/>
      <c r="J338" s="24"/>
    </row>
    <row r="339" spans="1:10" s="1" customFormat="1" ht="15.9" customHeight="1">
      <c r="A339" s="109"/>
      <c r="C339" s="163"/>
      <c r="D339" s="161"/>
      <c r="E339" s="109"/>
      <c r="F339" s="161"/>
      <c r="G339" s="109"/>
      <c r="H339" s="109"/>
      <c r="I339" s="24"/>
      <c r="J339" s="24"/>
    </row>
    <row r="340" spans="1:10" s="1" customFormat="1" ht="15.9" customHeight="1">
      <c r="A340" s="109"/>
      <c r="B340" s="33"/>
      <c r="C340" s="161"/>
      <c r="D340" s="161"/>
      <c r="E340" s="109"/>
      <c r="F340" s="161"/>
      <c r="G340" s="109"/>
      <c r="H340" s="109"/>
      <c r="I340" s="162"/>
      <c r="J340" s="162"/>
    </row>
    <row r="341" spans="1:10" s="1" customFormat="1" ht="15.9" customHeight="1">
      <c r="A341" s="109"/>
      <c r="B341" s="33"/>
      <c r="C341" s="44"/>
      <c r="D341" s="161"/>
      <c r="E341" s="109"/>
      <c r="F341" s="161"/>
      <c r="G341" s="109"/>
      <c r="H341" s="162"/>
      <c r="I341" s="161"/>
      <c r="J341" s="161"/>
    </row>
    <row r="342" spans="1:10" s="1" customFormat="1" ht="15.9" customHeight="1">
      <c r="A342" s="109"/>
      <c r="B342" s="33"/>
      <c r="C342" s="42"/>
      <c r="D342" s="161"/>
      <c r="E342" s="109"/>
      <c r="F342" s="161"/>
      <c r="G342" s="109"/>
      <c r="H342" s="161"/>
      <c r="I342" s="161"/>
      <c r="J342" s="161"/>
    </row>
    <row r="343" spans="1:10" s="1" customFormat="1" ht="15.9" customHeight="1">
      <c r="A343" s="109"/>
      <c r="B343" s="33"/>
      <c r="C343" s="163"/>
      <c r="D343" s="161"/>
      <c r="E343" s="109"/>
      <c r="F343" s="161"/>
      <c r="G343" s="109"/>
      <c r="H343" s="161"/>
      <c r="I343" s="109"/>
      <c r="J343" s="24"/>
    </row>
    <row r="344" spans="1:10" s="1" customFormat="1" ht="15.9" customHeight="1">
      <c r="A344" s="109"/>
      <c r="B344" s="33"/>
      <c r="C344" s="161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44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3"/>
      <c r="D350" s="161"/>
      <c r="E350" s="109"/>
      <c r="F350" s="161"/>
      <c r="G350" s="109"/>
      <c r="H350" s="109"/>
      <c r="I350" s="109"/>
      <c r="J350" s="24"/>
    </row>
    <row r="351" spans="1:10" s="1" customFormat="1" ht="15.9" customHeight="1">
      <c r="A351" s="109"/>
      <c r="B351" s="33"/>
      <c r="C351" s="161"/>
      <c r="D351" s="161"/>
      <c r="E351" s="109"/>
      <c r="F351" s="161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1" customFormat="1" ht="15" customHeight="1">
      <c r="A353" s="109"/>
      <c r="B353" s="33"/>
      <c r="C353" s="33"/>
      <c r="D353" s="161"/>
      <c r="E353" s="109"/>
      <c r="F353" s="109"/>
      <c r="G353" s="109"/>
      <c r="H353" s="107"/>
      <c r="I353" s="24"/>
      <c r="J353" s="24"/>
    </row>
    <row r="354" spans="1:10" s="23" customFormat="1" ht="15.9" customHeight="1">
      <c r="A354" s="109"/>
      <c r="B354" s="33"/>
      <c r="C354" s="33"/>
      <c r="D354" s="161"/>
      <c r="E354" s="109"/>
      <c r="F354" s="109"/>
      <c r="G354" s="109"/>
      <c r="H354" s="109"/>
      <c r="I354" s="109"/>
      <c r="J354" s="109"/>
    </row>
    <row r="355" spans="1:10" s="1" customFormat="1" ht="15.9" customHeight="1">
      <c r="A355" s="44"/>
      <c r="B355" s="33"/>
      <c r="C355" s="33"/>
      <c r="D355" s="161"/>
      <c r="E355" s="109"/>
      <c r="F355" s="109"/>
      <c r="G355" s="109"/>
      <c r="H355" s="109"/>
      <c r="I355" s="44"/>
      <c r="J355" s="119"/>
    </row>
    <row r="356" spans="1:10" s="1" customFormat="1" ht="15.9" customHeight="1">
      <c r="A356" s="40"/>
      <c r="B356" s="44"/>
      <c r="C356" s="44"/>
      <c r="D356" s="84"/>
      <c r="E356" s="44"/>
      <c r="F356" s="44"/>
      <c r="G356" s="44"/>
      <c r="H356" s="44"/>
      <c r="I356" s="32"/>
      <c r="J356" s="40"/>
    </row>
    <row r="357" spans="1:10" s="1" customFormat="1" ht="15.9" customHeight="1">
      <c r="A357" s="27"/>
      <c r="B357" s="40"/>
      <c r="C357" s="44"/>
      <c r="D357" s="85"/>
      <c r="E357" s="40"/>
      <c r="F357" s="32"/>
      <c r="G357" s="40"/>
      <c r="H357" s="32"/>
      <c r="I357" s="24"/>
      <c r="J357" s="24"/>
    </row>
    <row r="358" spans="1:10" s="1" customFormat="1" ht="15.9" customHeight="1">
      <c r="A358" s="27"/>
      <c r="B358" s="33"/>
      <c r="C358" s="42"/>
      <c r="D358" s="161"/>
      <c r="E358" s="109"/>
      <c r="F358" s="109"/>
      <c r="G358" s="109"/>
      <c r="H358" s="42"/>
      <c r="I358" s="163"/>
      <c r="J358" s="163"/>
    </row>
    <row r="359" spans="1:10" s="1" customFormat="1" ht="15.9" customHeight="1">
      <c r="A359" s="27"/>
      <c r="B359" s="33"/>
      <c r="C359" s="163"/>
      <c r="D359" s="161"/>
      <c r="E359" s="109"/>
      <c r="F359" s="109"/>
      <c r="G359" s="109"/>
      <c r="H359" s="163"/>
      <c r="I359" s="161"/>
      <c r="J359" s="161"/>
    </row>
    <row r="360" spans="1:10" s="1" customFormat="1" ht="15.9" customHeight="1">
      <c r="A360" s="27"/>
      <c r="B360" s="33"/>
      <c r="C360" s="161"/>
      <c r="D360" s="161"/>
      <c r="E360" s="109"/>
      <c r="F360" s="109"/>
      <c r="G360" s="109"/>
      <c r="H360" s="161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46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161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D372" s="161"/>
      <c r="E372" s="109"/>
      <c r="F372" s="109"/>
      <c r="G372" s="33"/>
      <c r="H372" s="33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42"/>
      <c r="I376" s="163"/>
      <c r="J376" s="163"/>
    </row>
    <row r="377" spans="1:10" s="1" customFormat="1" ht="15.9" customHeight="1">
      <c r="A377" s="27"/>
      <c r="B377" s="33"/>
      <c r="C377" s="47"/>
      <c r="D377" s="161"/>
      <c r="E377" s="109"/>
      <c r="F377" s="109"/>
      <c r="G377" s="109"/>
      <c r="H377" s="163"/>
      <c r="I377" s="161"/>
      <c r="J377" s="161"/>
    </row>
    <row r="378" spans="1:10" s="1" customFormat="1" ht="15.9" customHeight="1">
      <c r="A378" s="27"/>
      <c r="B378" s="33"/>
      <c r="C378" s="46"/>
      <c r="D378" s="161"/>
      <c r="E378" s="109"/>
      <c r="F378" s="109"/>
      <c r="G378" s="109"/>
      <c r="H378" s="161"/>
      <c r="I378" s="24"/>
      <c r="J378" s="24"/>
    </row>
    <row r="379" spans="1:10" s="1" customFormat="1" ht="15.9" customHeight="1">
      <c r="A379" s="27"/>
      <c r="B379" s="33"/>
      <c r="C379" s="161"/>
      <c r="D379" s="161"/>
      <c r="E379" s="109"/>
      <c r="F379" s="109"/>
      <c r="G379" s="109"/>
      <c r="H379" s="42"/>
      <c r="I379" s="163"/>
      <c r="J379" s="163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3"/>
      <c r="I380" s="161"/>
      <c r="J380" s="161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1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64"/>
      <c r="J388" s="16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4"/>
      <c r="I389" s="165"/>
      <c r="J389" s="165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5"/>
      <c r="I390" s="161"/>
      <c r="J390" s="161"/>
    </row>
    <row r="391" spans="1:10" s="1" customFormat="1" ht="15.9" customHeight="1">
      <c r="A391" s="27"/>
      <c r="B391" s="33"/>
      <c r="C391" s="47"/>
      <c r="D391" s="161"/>
      <c r="E391" s="109"/>
      <c r="F391" s="109"/>
      <c r="G391" s="109"/>
      <c r="H391" s="161"/>
      <c r="I391" s="24"/>
      <c r="J391" s="24"/>
    </row>
    <row r="392" spans="1:10" s="1" customFormat="1" ht="15.9" customHeight="1">
      <c r="A392" s="27"/>
      <c r="B392" s="33"/>
      <c r="C392" s="46"/>
      <c r="D392" s="161"/>
      <c r="E392" s="109"/>
      <c r="F392" s="109"/>
      <c r="G392" s="109"/>
      <c r="H392" s="109"/>
      <c r="I392" s="109"/>
      <c r="J392" s="24"/>
    </row>
    <row r="393" spans="1:10" s="1" customFormat="1" ht="15.9" customHeight="1">
      <c r="A393" s="27"/>
      <c r="B393" s="33"/>
      <c r="C393" s="161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23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1" customFormat="1" ht="15.9" customHeight="1">
      <c r="A405" s="44"/>
      <c r="B405" s="33"/>
      <c r="C405" s="33"/>
      <c r="D405" s="161"/>
      <c r="E405" s="109"/>
      <c r="F405" s="109"/>
      <c r="G405" s="109"/>
      <c r="H405" s="109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109"/>
      <c r="B419" s="44"/>
      <c r="C419" s="44"/>
      <c r="D419" s="84"/>
      <c r="E419" s="44"/>
      <c r="F419" s="44"/>
      <c r="G419" s="44"/>
      <c r="H419" s="44"/>
      <c r="I419" s="24"/>
      <c r="J419" s="24"/>
      <c r="K419" s="71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LEFT($J$111,13)&amp;"-04"</f>
        <v>FG-240-4P1L3R-04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A423" s="109"/>
      <c r="B423" s="33"/>
      <c r="C423" s="33"/>
      <c r="D423" s="161"/>
      <c r="E423" s="109"/>
      <c r="F423" s="109"/>
      <c r="G423" s="109"/>
      <c r="H423" s="109"/>
      <c r="I423" s="109"/>
      <c r="J423" s="90" t="str">
        <f>$J$2</f>
        <v>HOMELIFE</v>
      </c>
      <c r="K423" s="7"/>
      <c r="L423" s="7"/>
      <c r="M423" s="2"/>
      <c r="N423" s="2"/>
    </row>
    <row r="424" spans="1:14" ht="24.9" customHeight="1">
      <c r="A424" s="109"/>
      <c r="B424" s="33"/>
      <c r="C424" s="33"/>
      <c r="D424" s="161"/>
      <c r="E424" s="109"/>
      <c r="F424" s="109"/>
      <c r="G424" s="109"/>
      <c r="H424" s="109"/>
      <c r="I424" s="109"/>
      <c r="J424" s="91" t="str">
        <f>$J$3</f>
        <v>Fabricators Guide</v>
      </c>
      <c r="K424" s="7"/>
      <c r="L424" s="7"/>
      <c r="M424" s="2"/>
      <c r="N424" s="2"/>
    </row>
    <row r="425" spans="1:14" ht="30" customHeight="1">
      <c r="B425" s="33"/>
      <c r="C425" s="33"/>
      <c r="D425" s="161"/>
      <c r="E425" s="109"/>
      <c r="F425" s="109"/>
      <c r="G425" s="109"/>
      <c r="H425" s="109"/>
      <c r="I425" s="95"/>
      <c r="J425" s="91" t="str">
        <f>$J$4</f>
        <v xml:space="preserve">240 Series Bi Fold Door </v>
      </c>
      <c r="K425" s="11"/>
      <c r="L425" s="11"/>
      <c r="M425" s="2"/>
      <c r="N425" s="2"/>
    </row>
    <row r="426" spans="1:14" s="1" customFormat="1" ht="15" customHeight="1" thickBot="1">
      <c r="A426" s="78"/>
      <c r="B426" s="8"/>
      <c r="C426" s="28"/>
      <c r="D426" s="28"/>
      <c r="E426" s="28"/>
      <c r="F426" s="28"/>
      <c r="G426" s="28"/>
      <c r="H426" s="2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  <c r="K427" s="4"/>
      <c r="L427" s="4"/>
      <c r="M427" s="4"/>
      <c r="N427" s="4"/>
    </row>
    <row r="428" spans="1:14" s="1" customFormat="1" ht="15" customHeight="1">
      <c r="A428" s="193"/>
      <c r="B428" s="194"/>
      <c r="C428" s="194"/>
      <c r="D428" s="194"/>
      <c r="E428" s="194"/>
      <c r="F428" s="194"/>
      <c r="G428" s="194"/>
      <c r="H428" s="194"/>
      <c r="I428" s="193"/>
      <c r="K428" s="56"/>
      <c r="L428" s="56"/>
      <c r="M428" s="56"/>
      <c r="N428" s="56"/>
    </row>
    <row r="429" spans="1:14" s="1" customFormat="1" ht="15" customHeight="1">
      <c r="A429" s="45"/>
      <c r="B429" s="193"/>
      <c r="C429" s="193"/>
      <c r="D429" s="193"/>
      <c r="E429" s="193"/>
      <c r="F429" s="193"/>
      <c r="G429" s="193"/>
      <c r="H429" s="193"/>
      <c r="I429" s="44"/>
      <c r="J429" s="119"/>
    </row>
    <row r="430" spans="1:14" s="1" customFormat="1" ht="15" customHeight="1">
      <c r="A430" s="109"/>
      <c r="B430" s="39"/>
      <c r="C430" s="33"/>
      <c r="D430" s="161"/>
      <c r="E430" s="35"/>
      <c r="F430" s="39"/>
      <c r="G430" s="193"/>
      <c r="H430" s="44"/>
      <c r="I430" s="44"/>
      <c r="J430" s="119"/>
    </row>
    <row r="431" spans="1:14" s="1" customFormat="1" ht="15" customHeight="1">
      <c r="A431" s="109"/>
      <c r="B431" s="33"/>
      <c r="C431" s="33"/>
      <c r="D431" s="161"/>
      <c r="E431" s="35"/>
      <c r="F431" s="161"/>
      <c r="G431" s="193"/>
      <c r="H431" s="44"/>
      <c r="I431" s="44"/>
      <c r="J431" s="119"/>
    </row>
    <row r="432" spans="1:14" s="1" customFormat="1" ht="15" customHeight="1">
      <c r="A432" s="109"/>
      <c r="B432" s="56"/>
      <c r="C432" s="56"/>
      <c r="D432" s="30"/>
      <c r="E432" s="29"/>
      <c r="F432" s="30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109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3"/>
      <c r="H434" s="44"/>
      <c r="I434" s="44"/>
      <c r="J434" s="119"/>
    </row>
    <row r="435" spans="1:10" s="1" customFormat="1" ht="15" customHeight="1">
      <c r="A435" s="109"/>
      <c r="B435" s="33"/>
      <c r="C435" s="161"/>
      <c r="D435" s="161"/>
      <c r="E435" s="35"/>
      <c r="F435" s="161"/>
      <c r="H435" s="44"/>
      <c r="I435" s="44"/>
      <c r="J435" s="119"/>
    </row>
    <row r="436" spans="1:10" s="1" customFormat="1" ht="15" customHeight="1">
      <c r="A436" s="39"/>
      <c r="B436" s="33"/>
      <c r="C436" s="42"/>
      <c r="D436" s="161"/>
      <c r="E436" s="109"/>
      <c r="F436" s="69"/>
      <c r="H436" s="44"/>
      <c r="I436" s="44"/>
      <c r="J436" s="119"/>
    </row>
    <row r="437" spans="1:10" s="1" customFormat="1" ht="15" customHeight="1">
      <c r="A437" s="92"/>
      <c r="B437" s="39"/>
      <c r="C437" s="163"/>
      <c r="D437" s="161"/>
      <c r="E437" s="109"/>
      <c r="F437" s="68"/>
      <c r="H437" s="44"/>
      <c r="I437" s="44"/>
      <c r="J437" s="119"/>
    </row>
    <row r="438" spans="1:10" s="1" customFormat="1" ht="15" customHeight="1">
      <c r="B438" s="92"/>
      <c r="C438" s="161"/>
      <c r="D438" s="161"/>
      <c r="E438" s="109"/>
      <c r="F438" s="180"/>
      <c r="H438" s="44"/>
      <c r="I438" s="44"/>
      <c r="J438" s="119"/>
    </row>
    <row r="439" spans="1:10" s="1" customFormat="1" ht="15" customHeight="1">
      <c r="A439" s="64" t="str">
        <f>A18</f>
        <v>240-4 Panel (1L3R)</v>
      </c>
      <c r="B439" s="92"/>
      <c r="C439" s="161"/>
      <c r="D439" s="161"/>
      <c r="E439" s="109"/>
      <c r="F439" s="180"/>
      <c r="H439" s="44"/>
      <c r="I439" s="44"/>
      <c r="J439" s="119"/>
    </row>
    <row r="440" spans="1:10" s="1" customFormat="1" ht="15.9" customHeight="1">
      <c r="A440" s="76" t="str">
        <f>A19</f>
        <v xml:space="preserve">Outside Bi Fold Door </v>
      </c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76"/>
      <c r="C441" s="42"/>
      <c r="D441" s="161"/>
      <c r="E441" s="109"/>
      <c r="F441" s="68"/>
      <c r="H441" s="44"/>
      <c r="I441" s="44"/>
      <c r="J441" s="119"/>
    </row>
    <row r="442" spans="1:10" s="1" customFormat="1" ht="15.9" customHeight="1">
      <c r="A442" s="76"/>
      <c r="C442" s="42"/>
      <c r="D442" s="161"/>
      <c r="E442" s="109"/>
      <c r="F442" s="68"/>
      <c r="H442" s="44"/>
      <c r="I442" s="44"/>
      <c r="J442" s="119"/>
    </row>
    <row r="443" spans="1:10" s="1" customFormat="1" ht="15.9" customHeight="1">
      <c r="A443" s="39"/>
      <c r="C443" s="161"/>
      <c r="D443" s="161"/>
      <c r="E443" s="109"/>
      <c r="F443" s="37"/>
      <c r="H443" s="44"/>
      <c r="I443" s="44"/>
      <c r="J443" s="119"/>
    </row>
    <row r="444" spans="1:10" s="1" customFormat="1" ht="15.9" customHeight="1">
      <c r="A444" s="44"/>
      <c r="B444" s="38"/>
      <c r="C444" s="43"/>
      <c r="D444" s="161"/>
      <c r="E444" s="109"/>
      <c r="F444" s="109"/>
      <c r="H444" s="44"/>
      <c r="I444" s="44"/>
      <c r="J444" s="119"/>
    </row>
    <row r="445" spans="1:10" s="1" customFormat="1" ht="15.9" customHeight="1">
      <c r="A445" s="40"/>
      <c r="C445" s="44"/>
      <c r="D445" s="84"/>
      <c r="E445" s="44"/>
      <c r="F445" s="44"/>
      <c r="H445" s="44"/>
      <c r="I445" s="44"/>
      <c r="J445" s="119"/>
    </row>
    <row r="446" spans="1:10" ht="15.6">
      <c r="B446" s="64"/>
      <c r="C446" s="163"/>
      <c r="D446" s="161"/>
      <c r="E446" s="109"/>
      <c r="F446" s="161"/>
      <c r="G446" s="109"/>
      <c r="H446" s="109"/>
    </row>
    <row r="451" spans="1:10" s="1" customFormat="1" ht="15.9" customHeight="1">
      <c r="A451" s="109"/>
      <c r="B451"/>
      <c r="C451"/>
      <c r="D451" s="81"/>
      <c r="E451"/>
      <c r="F451"/>
      <c r="G451"/>
      <c r="H451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33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44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161"/>
      <c r="D456" s="161"/>
      <c r="E456" s="109"/>
      <c r="F456" s="161"/>
      <c r="G456" s="109"/>
      <c r="H456" s="109"/>
      <c r="I456" s="24"/>
      <c r="J456" s="24"/>
    </row>
    <row r="457" spans="1:10" s="1" customFormat="1" ht="15.9" customHeight="1">
      <c r="A457" s="109"/>
      <c r="B457" s="33"/>
      <c r="C457" s="163"/>
      <c r="D457" s="161"/>
      <c r="E457" s="109"/>
      <c r="F457" s="161"/>
      <c r="G457" s="109"/>
      <c r="H457" s="109"/>
      <c r="I457" s="109"/>
      <c r="J457" s="24"/>
    </row>
    <row r="458" spans="1:10" s="1" customFormat="1" ht="15.9" customHeight="1">
      <c r="A458" s="109"/>
      <c r="B458" s="33"/>
      <c r="C458" s="161"/>
      <c r="D458" s="161"/>
      <c r="E458" s="109"/>
      <c r="F458" s="161"/>
      <c r="G458" s="109"/>
      <c r="H458" s="109"/>
      <c r="I458" s="24"/>
      <c r="J458" s="24"/>
    </row>
    <row r="459" spans="1:10" s="1" customFormat="1" ht="15.9" customHeight="1">
      <c r="A459" s="109"/>
      <c r="B459" s="33"/>
      <c r="C459" s="33"/>
      <c r="D459" s="161"/>
      <c r="E459" s="109"/>
      <c r="F459" s="109"/>
      <c r="G459" s="109"/>
      <c r="H459" s="109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7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" customHeight="1">
      <c r="A476" s="109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1" customFormat="1" ht="15" customHeight="1">
      <c r="A477" s="109"/>
      <c r="B477" s="33"/>
      <c r="C477" s="33"/>
      <c r="D477" s="161"/>
      <c r="E477" s="109"/>
      <c r="F477" s="109"/>
      <c r="G477" s="109"/>
      <c r="H477" s="109"/>
      <c r="I477" s="24"/>
      <c r="J477" s="24"/>
    </row>
    <row r="478" spans="1:10" s="23" customFormat="1" ht="15.9" customHeight="1">
      <c r="A478" s="109"/>
      <c r="B478" s="33"/>
      <c r="C478" s="33"/>
      <c r="D478" s="161"/>
      <c r="E478" s="109"/>
      <c r="F478" s="109"/>
      <c r="G478" s="109"/>
      <c r="H478" s="109"/>
      <c r="I478" s="109"/>
      <c r="J478" s="109"/>
    </row>
    <row r="479" spans="1:10" s="1" customFormat="1" ht="15.9" customHeight="1">
      <c r="A479" s="44"/>
      <c r="B479" s="33"/>
      <c r="C479" s="33"/>
      <c r="D479" s="161"/>
      <c r="E479" s="109"/>
      <c r="F479" s="109"/>
      <c r="G479" s="109"/>
      <c r="H479" s="109"/>
      <c r="I479" s="44"/>
      <c r="J479" s="119"/>
    </row>
    <row r="480" spans="1:10" s="1" customFormat="1" ht="15.9" customHeight="1">
      <c r="A480" s="40"/>
      <c r="B480" s="44"/>
      <c r="C480" s="44"/>
      <c r="D480" s="84"/>
      <c r="E480" s="44"/>
      <c r="F480" s="44"/>
      <c r="G480" s="44"/>
      <c r="H480" s="44"/>
      <c r="I480" s="32"/>
      <c r="J480" s="40"/>
    </row>
    <row r="481" spans="1:10" s="1" customFormat="1" ht="15.9" customHeight="1">
      <c r="A481" s="27"/>
      <c r="B481" s="40"/>
      <c r="C481" s="44"/>
      <c r="D481" s="85"/>
      <c r="E481" s="40"/>
      <c r="F481" s="32"/>
      <c r="G481" s="40"/>
      <c r="H481" s="32"/>
      <c r="I481" s="24"/>
      <c r="J481" s="24"/>
    </row>
    <row r="482" spans="1:10" s="1" customFormat="1" ht="15.9" customHeight="1">
      <c r="A482" s="27"/>
      <c r="B482" s="33"/>
      <c r="C482" s="42"/>
      <c r="D482" s="161"/>
      <c r="E482" s="109"/>
      <c r="F482" s="109"/>
      <c r="G482" s="109"/>
      <c r="H482" s="42"/>
      <c r="I482" s="67"/>
      <c r="J482" s="165"/>
    </row>
    <row r="483" spans="1:10" s="1" customFormat="1" ht="15.9" customHeight="1">
      <c r="A483" s="27"/>
      <c r="B483" s="33"/>
      <c r="C483" s="163"/>
      <c r="D483" s="161"/>
      <c r="E483" s="109"/>
      <c r="F483" s="109"/>
      <c r="G483" s="109"/>
      <c r="H483" s="67"/>
      <c r="I483" s="38"/>
      <c r="J483" s="109"/>
    </row>
    <row r="484" spans="1:10" s="1" customFormat="1" ht="15.9" customHeight="1">
      <c r="A484" s="27"/>
      <c r="B484" s="33"/>
      <c r="C484" s="161"/>
      <c r="D484" s="161"/>
      <c r="E484" s="109"/>
      <c r="F484" s="109"/>
      <c r="G484" s="109"/>
      <c r="H484" s="38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33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46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161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B492" s="33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B495" s="33"/>
      <c r="C495" s="33"/>
      <c r="D495" s="161"/>
      <c r="E495" s="109"/>
      <c r="F495" s="109"/>
      <c r="G495" s="109"/>
      <c r="H495" s="109"/>
      <c r="I495" s="24"/>
      <c r="J495" s="24"/>
    </row>
    <row r="496" spans="1:10" s="1" customFormat="1" ht="15.9" customHeight="1">
      <c r="A496" s="27"/>
      <c r="D496" s="161"/>
      <c r="E496" s="109"/>
      <c r="F496" s="109"/>
      <c r="G496" s="33"/>
      <c r="H496" s="33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109"/>
      <c r="I499" s="24"/>
      <c r="J499" s="24"/>
    </row>
    <row r="500" spans="1:10" s="1" customFormat="1" ht="15.9" customHeight="1">
      <c r="A500" s="27"/>
      <c r="B500" s="33"/>
      <c r="C500" s="33"/>
      <c r="D500" s="161"/>
      <c r="E500" s="109"/>
      <c r="F500" s="109"/>
      <c r="G500" s="109"/>
      <c r="H500" s="42"/>
      <c r="I500" s="67"/>
      <c r="J500" s="165"/>
    </row>
    <row r="501" spans="1:10" s="1" customFormat="1" ht="15.9" customHeight="1">
      <c r="A501" s="27"/>
      <c r="B501" s="33"/>
      <c r="C501" s="47"/>
      <c r="D501" s="161"/>
      <c r="E501" s="109"/>
      <c r="F501" s="109"/>
      <c r="G501" s="109"/>
      <c r="H501" s="67"/>
      <c r="I501" s="38"/>
      <c r="J501" s="109"/>
    </row>
    <row r="502" spans="1:10" s="1" customFormat="1" ht="15.9" customHeight="1">
      <c r="A502" s="27"/>
      <c r="B502" s="33"/>
      <c r="C502" s="46"/>
      <c r="D502" s="161"/>
      <c r="E502" s="109"/>
      <c r="F502" s="109"/>
      <c r="G502" s="109"/>
      <c r="H502" s="38"/>
      <c r="I502" s="24"/>
      <c r="J502" s="24"/>
    </row>
    <row r="503" spans="1:10" s="1" customFormat="1" ht="15.9" customHeight="1">
      <c r="A503" s="27"/>
      <c r="B503" s="33"/>
      <c r="C503" s="161"/>
      <c r="D503" s="161"/>
      <c r="E503" s="109"/>
      <c r="F503" s="109"/>
      <c r="G503" s="109"/>
      <c r="H503" s="42"/>
      <c r="I503" s="67"/>
      <c r="J503" s="165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67"/>
      <c r="I504" s="38"/>
      <c r="J504" s="109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38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24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43"/>
      <c r="J511" s="107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43"/>
      <c r="J512" s="107"/>
    </row>
    <row r="513" spans="1:15" s="1" customFormat="1" ht="15.9" customHeight="1">
      <c r="A513" s="27"/>
      <c r="B513" s="33"/>
      <c r="C513" s="33"/>
      <c r="D513" s="161"/>
      <c r="E513" s="109"/>
      <c r="F513" s="109"/>
      <c r="G513" s="109"/>
      <c r="H513" s="66"/>
      <c r="I513" s="38"/>
      <c r="J513" s="109"/>
    </row>
    <row r="514" spans="1:15" s="1" customFormat="1" ht="15.9" customHeight="1">
      <c r="A514" s="44"/>
      <c r="B514" s="33"/>
      <c r="C514" s="33"/>
      <c r="D514" s="161"/>
      <c r="E514" s="109"/>
      <c r="F514" s="109"/>
      <c r="G514" s="109"/>
      <c r="H514" s="67"/>
      <c r="I514" s="44"/>
      <c r="J514" s="119"/>
    </row>
    <row r="515" spans="1:15" s="1" customFormat="1" ht="15.9" customHeight="1">
      <c r="A515" s="44"/>
      <c r="B515" s="44"/>
      <c r="C515" s="44"/>
      <c r="D515" s="84"/>
      <c r="E515" s="44"/>
      <c r="F515" s="44"/>
      <c r="G515" s="44"/>
      <c r="H515" s="44"/>
      <c r="I515" s="44"/>
      <c r="J515" s="119"/>
    </row>
    <row r="516" spans="1:15" s="1" customFormat="1" ht="15.9" customHeight="1">
      <c r="A516" s="44"/>
      <c r="B516" s="44"/>
      <c r="C516" s="44"/>
      <c r="D516" s="84"/>
      <c r="E516" s="44"/>
      <c r="F516" s="44"/>
      <c r="G516" s="44"/>
      <c r="H516" s="44"/>
      <c r="I516" s="44"/>
      <c r="J516" s="119"/>
    </row>
    <row r="517" spans="1:15" s="1" customFormat="1" ht="15.9" customHeight="1">
      <c r="B517" s="44"/>
      <c r="C517" s="44"/>
      <c r="D517" s="84"/>
      <c r="E517" s="44"/>
      <c r="F517" s="44"/>
      <c r="G517" s="44"/>
      <c r="H517" s="44"/>
    </row>
    <row r="518" spans="1:15" s="1" customFormat="1" ht="15.9" customHeight="1" thickBot="1"/>
    <row r="519" spans="1:15" s="1" customFormat="1" ht="24.9" customHeight="1" thickBot="1">
      <c r="A519" s="502" t="s">
        <v>401</v>
      </c>
      <c r="B519" s="503"/>
      <c r="C519" s="503"/>
      <c r="D519" s="503"/>
      <c r="E519" s="503"/>
      <c r="F519" s="503"/>
      <c r="G519" s="503"/>
      <c r="H519" s="503"/>
      <c r="I519" s="503"/>
      <c r="J519" s="504"/>
    </row>
    <row r="520" spans="1:15" s="1" customFormat="1" ht="35.1" customHeight="1" thickBot="1">
      <c r="A520" s="102" t="s">
        <v>2</v>
      </c>
      <c r="B520" s="103" t="s">
        <v>3</v>
      </c>
      <c r="C520" s="103" t="s">
        <v>3</v>
      </c>
      <c r="D520" s="104" t="s">
        <v>35</v>
      </c>
      <c r="E520" s="103" t="s">
        <v>5</v>
      </c>
      <c r="F520" s="339" t="s">
        <v>27</v>
      </c>
      <c r="G520" s="305"/>
      <c r="H520" s="104" t="s">
        <v>27</v>
      </c>
      <c r="I520" s="104" t="s">
        <v>26</v>
      </c>
      <c r="J520" s="115" t="s">
        <v>6</v>
      </c>
      <c r="N520" s="249" t="s">
        <v>3</v>
      </c>
      <c r="O520" s="249" t="s">
        <v>3</v>
      </c>
    </row>
    <row r="521" spans="1:15" s="1" customFormat="1" ht="15.9" customHeight="1">
      <c r="A521" s="123">
        <f>IF(C521="","",1)</f>
        <v>1</v>
      </c>
      <c r="B521" s="121" t="str">
        <f>IF($D$127=5,N521,IF($D$127=6,N522,IF($D$127=8,N523,IF($D$127=10,N524,IF($D$127=12,N525,IF($D$127=14,N526,IF($D$127=18,N527,IF($D$127=20,N528,IF($D$127=22,N529,)))))))))</f>
        <v>กระจก 6 mm (สูง) (กว้าง)</v>
      </c>
      <c r="C521" s="121" t="str">
        <f>IF($D$127=5,O521,IF($D$127=6,O522,IF($D$127=8,O523,IF($D$127=10,O524,IF($D$127=12,O525,IF($D$127=14,O526,IF($D$127=18,O527,IF($D$127=20,O528,IF($D$127=22,O529,)))))))))</f>
        <v>GLASS thk.6 mm (H) (W)</v>
      </c>
      <c r="D521" s="124">
        <f>$J$123-215</f>
        <v>2310</v>
      </c>
      <c r="E521" s="123" t="s">
        <v>11</v>
      </c>
      <c r="F521" s="527" t="s">
        <v>271</v>
      </c>
      <c r="G521" s="528"/>
      <c r="H521" s="123" t="s">
        <v>403</v>
      </c>
      <c r="I521" s="124">
        <f>(($J$126-185-(113.25*3))/4)-13</f>
        <v>620.8125</v>
      </c>
      <c r="J521" s="151">
        <f>$J$120*4</f>
        <v>4</v>
      </c>
      <c r="M521" s="1">
        <f>ROW()</f>
        <v>521</v>
      </c>
      <c r="N521" s="19" t="s">
        <v>194</v>
      </c>
      <c r="O521" s="19" t="s">
        <v>195</v>
      </c>
    </row>
    <row r="522" spans="1:15" s="1" customFormat="1" ht="15.9" customHeight="1">
      <c r="A522" s="346"/>
      <c r="B522" s="295"/>
      <c r="C522" s="295"/>
      <c r="D522" s="298"/>
      <c r="E522" s="238"/>
      <c r="F522" s="337"/>
      <c r="G522" s="338"/>
      <c r="H522" s="238"/>
      <c r="I522" s="298"/>
      <c r="J522" s="299"/>
      <c r="M522" s="1">
        <f>ROW()</f>
        <v>522</v>
      </c>
      <c r="N522" s="19" t="s">
        <v>53</v>
      </c>
      <c r="O522" s="19" t="s">
        <v>54</v>
      </c>
    </row>
    <row r="523" spans="1:15" s="1" customFormat="1" ht="15.9" customHeight="1">
      <c r="A523" s="346"/>
      <c r="B523" s="295"/>
      <c r="C523" s="295"/>
      <c r="D523" s="298"/>
      <c r="E523" s="238"/>
      <c r="F523" s="337"/>
      <c r="G523" s="338"/>
      <c r="H523" s="238"/>
      <c r="I523" s="298"/>
      <c r="J523" s="299"/>
      <c r="M523" s="1">
        <f>ROW()</f>
        <v>523</v>
      </c>
      <c r="N523" s="19" t="s">
        <v>257</v>
      </c>
      <c r="O523" s="19" t="s">
        <v>258</v>
      </c>
    </row>
    <row r="524" spans="1:15" s="1" customFormat="1" ht="15.9" customHeight="1">
      <c r="A524" s="129" t="str">
        <f>IF(B524="","",+#REF!+1)</f>
        <v/>
      </c>
      <c r="B524" s="127"/>
      <c r="C524" s="127"/>
      <c r="D524" s="128"/>
      <c r="E524" s="129"/>
      <c r="F524" s="155"/>
      <c r="G524" s="157"/>
      <c r="H524" s="129"/>
      <c r="I524" s="144"/>
      <c r="J524" s="130"/>
      <c r="M524" s="1">
        <f>ROW()</f>
        <v>524</v>
      </c>
      <c r="N524" s="19" t="s">
        <v>259</v>
      </c>
      <c r="O524" s="19" t="s">
        <v>265</v>
      </c>
    </row>
    <row r="525" spans="1:15" s="1" customFormat="1" ht="15.9" customHeight="1">
      <c r="A525" s="135" t="str">
        <f>IF(B525="","",+A524+1)</f>
        <v/>
      </c>
      <c r="B525" s="133"/>
      <c r="C525" s="133"/>
      <c r="D525" s="134"/>
      <c r="E525" s="135"/>
      <c r="F525" s="158"/>
      <c r="G525" s="159"/>
      <c r="H525" s="135"/>
      <c r="I525" s="145"/>
      <c r="J525" s="136"/>
      <c r="M525" s="1">
        <f>ROW()</f>
        <v>525</v>
      </c>
      <c r="N525" s="19" t="s">
        <v>260</v>
      </c>
      <c r="O525" s="19" t="s">
        <v>266</v>
      </c>
    </row>
    <row r="526" spans="1:15" s="1" customFormat="1" ht="15.9" customHeight="1">
      <c r="A526" s="17"/>
      <c r="B526" s="56"/>
      <c r="C526" s="56"/>
      <c r="D526" s="30"/>
      <c r="E526" s="17"/>
      <c r="F526" s="17"/>
      <c r="G526" s="17"/>
      <c r="H526" s="17"/>
      <c r="I526" s="109"/>
      <c r="J526" s="24"/>
      <c r="M526" s="1">
        <f>ROW()</f>
        <v>526</v>
      </c>
      <c r="N526" s="19" t="s">
        <v>261</v>
      </c>
      <c r="O526" s="19" t="s">
        <v>267</v>
      </c>
    </row>
    <row r="527" spans="1:15">
      <c r="J527" s="99" t="str">
        <f>LEFT($J$111,13)&amp;"-05"</f>
        <v>FG-240-4P1L3R-05</v>
      </c>
      <c r="M527" s="1">
        <f>ROW()</f>
        <v>527</v>
      </c>
      <c r="N527" s="19" t="s">
        <v>262</v>
      </c>
      <c r="O527" s="19" t="s">
        <v>268</v>
      </c>
    </row>
    <row r="528" spans="1:15">
      <c r="M528" s="1">
        <f>ROW()</f>
        <v>528</v>
      </c>
      <c r="N528" s="19" t="s">
        <v>263</v>
      </c>
      <c r="O528" s="19" t="s">
        <v>269</v>
      </c>
    </row>
    <row r="529" spans="13:15">
      <c r="M529" s="1">
        <f>ROW()</f>
        <v>529</v>
      </c>
      <c r="N529" s="19" t="s">
        <v>264</v>
      </c>
      <c r="O529" s="19" t="s">
        <v>270</v>
      </c>
    </row>
  </sheetData>
  <dataConsolidate function="product">
    <dataRefs count="1">
      <dataRef ref="O154:O162" sheet="240_2Panel(L)" r:id="rId1"/>
    </dataRefs>
  </dataConsolidate>
  <mergeCells count="46">
    <mergeCell ref="D121:G121"/>
    <mergeCell ref="A6:J6"/>
    <mergeCell ref="H120:I121"/>
    <mergeCell ref="J120:J121"/>
    <mergeCell ref="A117:J117"/>
    <mergeCell ref="D119:G119"/>
    <mergeCell ref="H123:I124"/>
    <mergeCell ref="J123:J124"/>
    <mergeCell ref="A125:B125"/>
    <mergeCell ref="H126:I127"/>
    <mergeCell ref="J126:J127"/>
    <mergeCell ref="D127:G127"/>
    <mergeCell ref="D123:G123"/>
    <mergeCell ref="D125:G125"/>
    <mergeCell ref="F521:G521"/>
    <mergeCell ref="A519:J519"/>
    <mergeCell ref="A427:J427"/>
    <mergeCell ref="A320:J320"/>
    <mergeCell ref="A173:J173"/>
    <mergeCell ref="F334:G334"/>
    <mergeCell ref="F331:G331"/>
    <mergeCell ref="F330:G330"/>
    <mergeCell ref="I167:J167"/>
    <mergeCell ref="A213:J213"/>
    <mergeCell ref="I168:J168"/>
    <mergeCell ref="C308:E308"/>
    <mergeCell ref="D164:D168"/>
    <mergeCell ref="D169:D170"/>
    <mergeCell ref="D171:D172"/>
    <mergeCell ref="H169:H170"/>
    <mergeCell ref="H171:H172"/>
    <mergeCell ref="H164:H168"/>
    <mergeCell ref="D129:G129"/>
    <mergeCell ref="I162:J162"/>
    <mergeCell ref="A131:J131"/>
    <mergeCell ref="I155:J155"/>
    <mergeCell ref="I156:J156"/>
    <mergeCell ref="I157:J157"/>
    <mergeCell ref="D160:D161"/>
    <mergeCell ref="I158:J158"/>
    <mergeCell ref="I159:J159"/>
    <mergeCell ref="H160:H161"/>
    <mergeCell ref="I160:J161"/>
    <mergeCell ref="D162:D163"/>
    <mergeCell ref="I163:J166"/>
    <mergeCell ref="H162:H163"/>
  </mergeCells>
  <dataValidations count="3">
    <dataValidation type="list" allowBlank="1" showInputMessage="1" showErrorMessage="1" sqref="D127:G127">
      <formula1>$N$120:$N$128</formula1>
    </dataValidation>
    <dataValidation type="list" allowBlank="1" showInputMessage="1" showErrorMessage="1" sqref="D129:G129">
      <formula1>$O$120</formula1>
    </dataValidation>
    <dataValidation type="list" allowBlank="1" showInputMessage="1" showErrorMessage="1" sqref="D123:G123">
      <formula1>$P$119:$P$128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16383" man="1"/>
    <brk id="421" max="9" man="1"/>
  </rowBreaks>
  <drawing r:id="rId3"/>
  <legacy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theme="5" tint="-0.249977111117893"/>
  </sheetPr>
  <dimension ref="A1:AJ528"/>
  <sheetViews>
    <sheetView showGridLines="0" view="pageBreakPreview" topLeftCell="A109" zoomScale="75" zoomScaleNormal="75" zoomScaleSheetLayoutView="75" workbookViewId="0">
      <selection activeCell="J128" sqref="J128"/>
    </sheetView>
  </sheetViews>
  <sheetFormatPr defaultRowHeight="14.4" outlineLevelRow="1" outlineLevelCol="1"/>
  <cols>
    <col min="1" max="1" width="7" customWidth="1"/>
    <col min="2" max="2" width="40.6640625" customWidth="1"/>
    <col min="3" max="3" width="61.33203125" customWidth="1"/>
    <col min="4" max="4" width="13.44140625" style="81" customWidth="1"/>
    <col min="5" max="5" width="11.88671875" hidden="1" customWidth="1" outlineLevel="1"/>
    <col min="6" max="6" width="20.6640625" customWidth="1" collapsed="1"/>
    <col min="7" max="7" width="7.5546875" customWidth="1"/>
    <col min="8" max="8" width="27.6640625" customWidth="1"/>
    <col min="9" max="9" width="11.109375" bestFit="1" customWidth="1"/>
    <col min="10" max="10" width="11.6640625" style="112" customWidth="1"/>
    <col min="11" max="11" width="10.6640625" customWidth="1"/>
    <col min="12" max="12" width="10" bestFit="1" customWidth="1"/>
    <col min="14" max="14" width="22.5546875" customWidth="1" outlineLevel="1"/>
    <col min="15" max="15" width="25.6640625" customWidth="1" outlineLevel="1"/>
    <col min="16" max="16" width="41.5546875" customWidth="1" outlineLevel="1"/>
    <col min="17" max="17" width="9.33203125" customWidth="1" outlineLevel="1"/>
    <col min="18" max="18" width="13.88671875" customWidth="1" outlineLevel="1"/>
    <col min="19" max="19" width="17.6640625" customWidth="1" outlineLevel="1"/>
    <col min="20" max="20" width="15" customWidth="1" outlineLevel="1"/>
    <col min="21" max="21" width="23.44140625" customWidth="1" outlineLevel="1"/>
    <col min="22" max="22" width="10.6640625" customWidth="1" outlineLevel="1"/>
    <col min="23" max="23" width="10.5546875" customWidth="1" outlineLevel="1"/>
  </cols>
  <sheetData>
    <row r="1" spans="1:14" ht="12.75" customHeight="1">
      <c r="A1" t="s">
        <v>669</v>
      </c>
    </row>
    <row r="2" spans="1:14" ht="30" customHeight="1">
      <c r="B2" s="190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190"/>
      <c r="E3" s="190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134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>
      <c r="G45" s="10"/>
    </row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/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330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190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190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43" t="s">
        <v>31</v>
      </c>
      <c r="B117" s="544"/>
      <c r="C117" s="544"/>
      <c r="D117" s="544"/>
      <c r="E117" s="544"/>
      <c r="F117" s="544"/>
      <c r="G117" s="544"/>
      <c r="H117" s="544"/>
      <c r="I117" s="544"/>
      <c r="J117" s="545"/>
      <c r="K117" s="11"/>
      <c r="L117" s="4"/>
      <c r="M117" s="4"/>
      <c r="N117" s="4"/>
    </row>
    <row r="118" spans="1:16" s="1" customFormat="1" ht="15.6">
      <c r="A118" s="12"/>
      <c r="C118" s="8"/>
      <c r="D118" s="15"/>
      <c r="E118" s="13"/>
      <c r="J118" s="189"/>
      <c r="K118" s="11"/>
      <c r="L118" s="56"/>
      <c r="M118" s="56"/>
      <c r="N118" s="56"/>
    </row>
    <row r="119" spans="1:16" s="1" customFormat="1" ht="18" customHeight="1">
      <c r="A119" s="12"/>
      <c r="C119" s="110" t="s">
        <v>635</v>
      </c>
      <c r="D119" s="552" t="s">
        <v>682</v>
      </c>
      <c r="E119" s="553"/>
      <c r="F119" s="553"/>
      <c r="G119" s="554"/>
      <c r="I119" s="16"/>
      <c r="J119" s="12"/>
      <c r="N119" s="243" t="s">
        <v>191</v>
      </c>
      <c r="O119" s="12" t="s">
        <v>227</v>
      </c>
      <c r="P119" s="247" t="s">
        <v>16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4">
        <v>5</v>
      </c>
      <c r="O120" s="12" t="s">
        <v>243</v>
      </c>
      <c r="P120" s="335" t="s">
        <v>389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6</v>
      </c>
      <c r="O121" s="12" t="s">
        <v>244</v>
      </c>
      <c r="P121" s="336" t="s">
        <v>390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8</v>
      </c>
      <c r="P122" s="336" t="s">
        <v>391</v>
      </c>
    </row>
    <row r="123" spans="1:16" s="1" customFormat="1" ht="15" customHeight="1">
      <c r="A123" s="12"/>
      <c r="C123" s="110" t="s">
        <v>629</v>
      </c>
      <c r="D123" s="524" t="s">
        <v>394</v>
      </c>
      <c r="E123" s="525"/>
      <c r="F123" s="525"/>
      <c r="G123" s="526"/>
      <c r="H123" s="519" t="s">
        <v>638</v>
      </c>
      <c r="I123" s="520"/>
      <c r="J123" s="517">
        <v>2195</v>
      </c>
      <c r="N123" s="245">
        <v>10</v>
      </c>
      <c r="P123" s="336" t="s">
        <v>392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12</v>
      </c>
      <c r="P124" s="335" t="s">
        <v>393</v>
      </c>
    </row>
    <row r="125" spans="1:16" s="1" customFormat="1" ht="15" customHeight="1">
      <c r="A125" s="532"/>
      <c r="B125" s="532"/>
      <c r="C125" s="111" t="s">
        <v>630</v>
      </c>
      <c r="D125" s="275" t="s">
        <v>1</v>
      </c>
      <c r="E125" s="276"/>
      <c r="F125" s="276"/>
      <c r="G125" s="277"/>
      <c r="H125" s="41"/>
      <c r="I125" s="41"/>
      <c r="J125" s="12"/>
      <c r="K125" s="187"/>
      <c r="L125" s="77"/>
      <c r="N125" s="245">
        <v>14</v>
      </c>
      <c r="P125" s="335" t="s">
        <v>394</v>
      </c>
    </row>
    <row r="126" spans="1:16" s="1" customFormat="1" ht="15" customHeight="1">
      <c r="A126" s="189"/>
      <c r="B126" s="189"/>
      <c r="C126" s="423" t="s">
        <v>631</v>
      </c>
      <c r="D126" s="15"/>
      <c r="H126" s="519" t="s">
        <v>639</v>
      </c>
      <c r="I126" s="520"/>
      <c r="J126" s="517">
        <v>3275</v>
      </c>
      <c r="K126" s="187"/>
      <c r="L126" s="77"/>
      <c r="N126" s="245">
        <v>18</v>
      </c>
      <c r="P126" s="335" t="s">
        <v>395</v>
      </c>
    </row>
    <row r="127" spans="1:16" s="1" customFormat="1" ht="15" customHeight="1">
      <c r="A127" s="189"/>
      <c r="B127" s="189"/>
      <c r="C127" s="110" t="s">
        <v>633</v>
      </c>
      <c r="D127" s="534">
        <v>6</v>
      </c>
      <c r="E127" s="535"/>
      <c r="F127" s="535"/>
      <c r="G127" s="536"/>
      <c r="H127" s="520"/>
      <c r="I127" s="520"/>
      <c r="J127" s="518"/>
      <c r="N127" s="245">
        <v>20</v>
      </c>
      <c r="P127" s="335" t="s">
        <v>396</v>
      </c>
    </row>
    <row r="128" spans="1:16" s="1" customFormat="1" ht="18.75" customHeight="1">
      <c r="C128" s="423" t="s">
        <v>632</v>
      </c>
      <c r="I128" s="12"/>
      <c r="J128" s="12"/>
      <c r="N128" s="245">
        <v>22</v>
      </c>
      <c r="P128" s="335" t="s">
        <v>397</v>
      </c>
    </row>
    <row r="129" spans="1:23" s="1" customFormat="1" ht="15" customHeight="1">
      <c r="A129" s="88" t="str">
        <f>A18</f>
        <v>240-4 Panel (2L2R)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  <c r="P129" s="12" t="s">
        <v>411</v>
      </c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  <c r="P130" s="12" t="s">
        <v>11</v>
      </c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3215</v>
      </c>
      <c r="J133" s="125">
        <f t="shared" ref="J133:J153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8</v>
      </c>
      <c r="U133" s="283" t="s">
        <v>292</v>
      </c>
      <c r="V133" s="307">
        <f>($J$126-185-(113.25*3))/4</f>
        <v>687.5625</v>
      </c>
      <c r="W133" s="286">
        <f>$J$121*T133</f>
        <v>0</v>
      </c>
    </row>
    <row r="134" spans="1:23" s="1" customFormat="1" ht="18" customHeight="1">
      <c r="A134" s="143">
        <f t="shared" ref="A134:A153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3189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8</v>
      </c>
      <c r="U134" s="283" t="s">
        <v>292</v>
      </c>
      <c r="V134" s="307">
        <f>($J$126-185-(113.25*3))/4</f>
        <v>687.5625</v>
      </c>
      <c r="W134" s="131">
        <f t="shared" ref="W134:W135" si="2">$J$121*T134</f>
        <v>0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1.377</v>
      </c>
      <c r="F135" s="139" t="s">
        <v>316</v>
      </c>
      <c r="G135" s="143">
        <v>1</v>
      </c>
      <c r="H135" s="143" t="s">
        <v>52</v>
      </c>
      <c r="I135" s="130">
        <f>$J$126-60</f>
        <v>3215</v>
      </c>
      <c r="J135" s="131">
        <f t="shared" si="0"/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8</v>
      </c>
      <c r="U135" s="283" t="s">
        <v>292</v>
      </c>
      <c r="V135" s="307">
        <f>($J$126-185-(113.25*3))/4</f>
        <v>687.5625</v>
      </c>
      <c r="W135" s="293">
        <f t="shared" si="2"/>
        <v>0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3215</v>
      </c>
      <c r="J136" s="131">
        <f t="shared" si="0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8</v>
      </c>
      <c r="U136" s="283" t="s">
        <v>64</v>
      </c>
      <c r="V136" s="288">
        <f>$J$123-242</f>
        <v>1953</v>
      </c>
      <c r="W136" s="286">
        <f>$J$121*T136</f>
        <v>0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2195</v>
      </c>
      <c r="J137" s="131">
        <f t="shared" ref="J137:J147" si="3">$J$120*G137</f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8</v>
      </c>
      <c r="U137" s="129" t="s">
        <v>64</v>
      </c>
      <c r="V137" s="130">
        <f>$J$123-242</f>
        <v>1953</v>
      </c>
      <c r="W137" s="131">
        <f t="shared" ref="W137:W138" si="4">$J$121*T137</f>
        <v>0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2195</v>
      </c>
      <c r="J138" s="131">
        <f t="shared" si="3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0.16900000000000001</v>
      </c>
      <c r="S138" s="133" t="s">
        <v>323</v>
      </c>
      <c r="T138" s="135">
        <v>8</v>
      </c>
      <c r="U138" s="135" t="s">
        <v>64</v>
      </c>
      <c r="V138" s="136">
        <f>$J$123-242</f>
        <v>1953</v>
      </c>
      <c r="W138" s="293">
        <f t="shared" si="4"/>
        <v>0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2099</v>
      </c>
      <c r="J139" s="131">
        <f t="shared" si="3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2099</v>
      </c>
      <c r="J140" s="131">
        <f t="shared" si="3"/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4</v>
      </c>
      <c r="H141" s="143" t="s">
        <v>292</v>
      </c>
      <c r="I141" s="178">
        <f>($J$126-185-(113.25*3))/4</f>
        <v>687.5625</v>
      </c>
      <c r="J141" s="131">
        <f t="shared" si="3"/>
        <v>4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4</v>
      </c>
      <c r="H142" s="143" t="s">
        <v>292</v>
      </c>
      <c r="I142" s="178">
        <f>($J$126-185-(113.25*3))/4</f>
        <v>687.5625</v>
      </c>
      <c r="J142" s="131">
        <f t="shared" si="3"/>
        <v>4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6</v>
      </c>
      <c r="H143" s="143" t="s">
        <v>63</v>
      </c>
      <c r="I143" s="130">
        <f>$J$123-92</f>
        <v>2103</v>
      </c>
      <c r="J143" s="131">
        <f t="shared" si="3"/>
        <v>6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1</v>
      </c>
      <c r="H144" s="143" t="s">
        <v>63</v>
      </c>
      <c r="I144" s="130">
        <f>$J$123-92</f>
        <v>2103</v>
      </c>
      <c r="J144" s="131">
        <f t="shared" si="3"/>
        <v>1</v>
      </c>
      <c r="N144" s="98"/>
    </row>
    <row r="145" spans="1:14" s="1" customFormat="1" ht="18" customHeight="1">
      <c r="A145" s="143">
        <f t="shared" si="1"/>
        <v>13</v>
      </c>
      <c r="B145" s="140" t="s">
        <v>8</v>
      </c>
      <c r="C145" s="140" t="s">
        <v>58</v>
      </c>
      <c r="D145" s="139" t="s">
        <v>50</v>
      </c>
      <c r="E145" s="143">
        <v>1.1060000000000001</v>
      </c>
      <c r="F145" s="139" t="s">
        <v>496</v>
      </c>
      <c r="G145" s="143">
        <v>1</v>
      </c>
      <c r="H145" s="143" t="s">
        <v>63</v>
      </c>
      <c r="I145" s="130">
        <f>$J$123-92</f>
        <v>2103</v>
      </c>
      <c r="J145" s="131">
        <f t="shared" si="3"/>
        <v>1</v>
      </c>
      <c r="N145" s="98"/>
    </row>
    <row r="146" spans="1:14" s="1" customFormat="1" ht="18" customHeight="1">
      <c r="A146" s="143">
        <f t="shared" si="1"/>
        <v>14</v>
      </c>
      <c r="B146" s="127" t="str">
        <f t="shared" ref="B146:I146" si="5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27" t="str">
        <f t="shared" si="5"/>
        <v>5-6mm GLAZING BEAD HORIZONTAL</v>
      </c>
      <c r="D146" s="127" t="str">
        <f t="shared" si="5"/>
        <v>B24008</v>
      </c>
      <c r="E146" s="127">
        <f t="shared" si="5"/>
        <v>0.23100000000000001</v>
      </c>
      <c r="F146" s="127" t="str">
        <f t="shared" si="5"/>
        <v>B24008-001</v>
      </c>
      <c r="G146" s="129">
        <f t="shared" si="5"/>
        <v>8</v>
      </c>
      <c r="H146" s="129" t="str">
        <f t="shared" si="5"/>
        <v>(W-185-(113.25 × 3))/4</v>
      </c>
      <c r="I146" s="178">
        <f t="shared" si="5"/>
        <v>687.5625</v>
      </c>
      <c r="J146" s="131">
        <f t="shared" si="3"/>
        <v>8</v>
      </c>
      <c r="N146" s="98"/>
    </row>
    <row r="147" spans="1:14" s="1" customFormat="1" ht="18" customHeight="1">
      <c r="A147" s="143">
        <f t="shared" si="1"/>
        <v>15</v>
      </c>
      <c r="B147" s="127" t="str">
        <f t="shared" ref="B147:I147" si="6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27" t="str">
        <f t="shared" si="6"/>
        <v>5-6mm GLAZING BEAD VERTICAL</v>
      </c>
      <c r="D147" s="127" t="str">
        <f t="shared" si="6"/>
        <v>B24008</v>
      </c>
      <c r="E147" s="127">
        <f t="shared" si="6"/>
        <v>0.23100000000000001</v>
      </c>
      <c r="F147" s="127" t="str">
        <f t="shared" si="6"/>
        <v>B24008-002</v>
      </c>
      <c r="G147" s="129">
        <f t="shared" si="6"/>
        <v>8</v>
      </c>
      <c r="H147" s="129" t="str">
        <f t="shared" si="6"/>
        <v>H-242</v>
      </c>
      <c r="I147" s="144">
        <f t="shared" si="6"/>
        <v>1953</v>
      </c>
      <c r="J147" s="131">
        <f t="shared" si="3"/>
        <v>8</v>
      </c>
      <c r="N147" s="98"/>
    </row>
    <row r="148" spans="1:14" s="1" customFormat="1" ht="18" customHeight="1">
      <c r="A148" s="143" t="str">
        <f t="shared" si="1"/>
        <v/>
      </c>
      <c r="B148" s="140"/>
      <c r="C148" s="140"/>
      <c r="D148" s="139"/>
      <c r="E148" s="143"/>
      <c r="F148" s="139"/>
      <c r="G148" s="143"/>
      <c r="H148" s="143"/>
      <c r="I148" s="130"/>
      <c r="J148" s="131">
        <f t="shared" si="0"/>
        <v>0</v>
      </c>
      <c r="N148" s="98"/>
    </row>
    <row r="149" spans="1:14" s="1" customFormat="1" ht="18" customHeight="1">
      <c r="A149" s="143" t="str">
        <f t="shared" si="1"/>
        <v/>
      </c>
      <c r="B149" s="140"/>
      <c r="C149" s="140"/>
      <c r="D149" s="139"/>
      <c r="E149" s="143"/>
      <c r="F149" s="139"/>
      <c r="G149" s="143"/>
      <c r="H149" s="143"/>
      <c r="I149" s="130"/>
      <c r="J149" s="131"/>
      <c r="N149" s="98"/>
    </row>
    <row r="150" spans="1:14" s="1" customFormat="1" ht="18" customHeight="1">
      <c r="A150" s="143" t="str">
        <f t="shared" si="1"/>
        <v/>
      </c>
      <c r="B150" s="140"/>
      <c r="C150" s="140"/>
      <c r="D150" s="139"/>
      <c r="E150" s="143"/>
      <c r="F150" s="139"/>
      <c r="G150" s="143"/>
      <c r="H150" s="143"/>
      <c r="I150" s="130"/>
      <c r="J150" s="131">
        <f t="shared" si="0"/>
        <v>0</v>
      </c>
      <c r="N150" s="98"/>
    </row>
    <row r="151" spans="1:14" s="1" customFormat="1" ht="18" customHeight="1">
      <c r="A151" s="143" t="str">
        <f t="shared" si="1"/>
        <v/>
      </c>
      <c r="B151" s="140"/>
      <c r="C151" s="140"/>
      <c r="D151" s="139"/>
      <c r="E151" s="143"/>
      <c r="F151" s="139"/>
      <c r="G151" s="143"/>
      <c r="H151" s="143"/>
      <c r="I151" s="130"/>
      <c r="J151" s="131">
        <f t="shared" si="0"/>
        <v>0</v>
      </c>
      <c r="N151" s="98"/>
    </row>
    <row r="152" spans="1:14" s="1" customFormat="1" ht="18" customHeight="1">
      <c r="A152" s="143" t="str">
        <f t="shared" si="1"/>
        <v/>
      </c>
      <c r="B152" s="140"/>
      <c r="C152" s="140"/>
      <c r="D152" s="139"/>
      <c r="E152" s="143"/>
      <c r="F152" s="139"/>
      <c r="G152" s="143"/>
      <c r="H152" s="143"/>
      <c r="I152" s="144"/>
      <c r="J152" s="131">
        <f t="shared" si="0"/>
        <v>0</v>
      </c>
      <c r="N152" s="98"/>
    </row>
    <row r="153" spans="1:14" s="1" customFormat="1" ht="18" customHeight="1" thickBot="1">
      <c r="A153" s="143" t="str">
        <f t="shared" si="1"/>
        <v/>
      </c>
      <c r="B153" s="167"/>
      <c r="C153" s="167"/>
      <c r="D153" s="168"/>
      <c r="E153" s="166"/>
      <c r="F153" s="168"/>
      <c r="G153" s="166"/>
      <c r="H153" s="166"/>
      <c r="I153" s="171"/>
      <c r="J153" s="172">
        <f t="shared" si="0"/>
        <v>0</v>
      </c>
    </row>
    <row r="154" spans="1:14" s="1" customFormat="1" ht="27" outlineLevel="1" thickBot="1">
      <c r="A154" s="211" t="s">
        <v>2</v>
      </c>
      <c r="B154" s="210" t="s">
        <v>29</v>
      </c>
      <c r="C154" s="169" t="s">
        <v>3</v>
      </c>
      <c r="D154" s="169" t="s">
        <v>4</v>
      </c>
      <c r="E154" s="169" t="s">
        <v>5</v>
      </c>
      <c r="F154" s="177" t="s">
        <v>85</v>
      </c>
      <c r="G154" s="169" t="s">
        <v>22</v>
      </c>
      <c r="H154" s="170" t="s">
        <v>23</v>
      </c>
      <c r="I154" s="547" t="s">
        <v>659</v>
      </c>
      <c r="J154" s="548"/>
      <c r="K154" s="1">
        <v>110</v>
      </c>
    </row>
    <row r="155" spans="1:14" s="1" customFormat="1" ht="15" customHeight="1" outlineLevel="1">
      <c r="A155" s="212">
        <f>IF(B133="","",1)</f>
        <v>1</v>
      </c>
      <c r="B155" s="173" t="str">
        <f t="shared" ref="B155:C161" si="7">B133</f>
        <v>เฟรมบน</v>
      </c>
      <c r="C155" s="173" t="str">
        <f t="shared" si="7"/>
        <v>HEAD</v>
      </c>
      <c r="D155" s="174" t="str">
        <f>VLOOKUP(C155,$C$133:$H$153,2,0)</f>
        <v>B24001</v>
      </c>
      <c r="E155" s="441">
        <f t="shared" ref="E155:E161" si="8">VLOOKUP(C155,$C$133:$H$153,3,0)</f>
        <v>1.603</v>
      </c>
      <c r="F155" s="353">
        <f>VLOOKUP(C155,$C$133:$J$153,7,0)</f>
        <v>3215</v>
      </c>
      <c r="G155" s="175">
        <f t="shared" ref="G155:G161" si="9">VLOOKUP(C155,$C$133:$J$153,8,0)</f>
        <v>1</v>
      </c>
      <c r="H155" s="450">
        <f>ROUNDUP((F155*G155)/6400,0)</f>
        <v>1</v>
      </c>
      <c r="I155" s="555">
        <f>$K$154*K155</f>
        <v>566.90094999999997</v>
      </c>
      <c r="J155" s="556"/>
      <c r="K155" s="442">
        <f t="shared" ref="K155:K169" si="10">((F155*G155)/1000)*E155</f>
        <v>5.153645</v>
      </c>
    </row>
    <row r="156" spans="1:14" s="1" customFormat="1" ht="15" customHeight="1" outlineLevel="1">
      <c r="A156" s="213">
        <f>IF(B156="","",+A155+1)</f>
        <v>2</v>
      </c>
      <c r="B156" s="173" t="str">
        <f t="shared" si="7"/>
        <v>บังใบบน</v>
      </c>
      <c r="C156" s="173" t="str">
        <f t="shared" si="7"/>
        <v>DOOR STOP HEAD</v>
      </c>
      <c r="D156" s="174" t="str">
        <f>VLOOKUP(C156,$C$133:$H$153,2,0)</f>
        <v>B24002</v>
      </c>
      <c r="E156" s="441">
        <f t="shared" si="8"/>
        <v>0.27800000000000002</v>
      </c>
      <c r="F156" s="353">
        <f t="shared" ref="F156:F161" si="11">VLOOKUP(C156,$C$133:$I$153,7,0)</f>
        <v>3189</v>
      </c>
      <c r="G156" s="175">
        <f t="shared" si="9"/>
        <v>1</v>
      </c>
      <c r="H156" s="175">
        <f>ROUNDUP((F156*G156)/6400,0)</f>
        <v>1</v>
      </c>
      <c r="I156" s="557">
        <f>$K$154*K156</f>
        <v>97.519620000000003</v>
      </c>
      <c r="J156" s="558"/>
      <c r="K156" s="442">
        <f t="shared" si="10"/>
        <v>0.88654200000000005</v>
      </c>
    </row>
    <row r="157" spans="1:14" s="1" customFormat="1" ht="15" customHeight="1" outlineLevel="1">
      <c r="A157" s="213">
        <f t="shared" ref="A157:A161" si="12">IF(B157="","",+A156+1)</f>
        <v>3</v>
      </c>
      <c r="B157" s="173" t="str">
        <f t="shared" si="7"/>
        <v xml:space="preserve">เฟรมล่าง </v>
      </c>
      <c r="C157" s="173" t="str">
        <f t="shared" si="7"/>
        <v>SILL</v>
      </c>
      <c r="D157" s="174" t="str">
        <f>VLOOKUP(C157,$C$133:$H$153,2,0)</f>
        <v>B24003</v>
      </c>
      <c r="E157" s="441">
        <f t="shared" si="8"/>
        <v>1.377</v>
      </c>
      <c r="F157" s="353">
        <f t="shared" si="11"/>
        <v>3215</v>
      </c>
      <c r="G157" s="175">
        <f t="shared" si="9"/>
        <v>1</v>
      </c>
      <c r="H157" s="175">
        <f t="shared" ref="H157:H158" si="13">ROUNDUP((F157*G157)/6400,0)</f>
        <v>1</v>
      </c>
      <c r="I157" s="557">
        <f t="shared" ref="I157:I169" si="14">$K$154*K157</f>
        <v>486.97605000000004</v>
      </c>
      <c r="J157" s="558"/>
      <c r="K157" s="442">
        <f t="shared" si="10"/>
        <v>4.4270550000000002</v>
      </c>
    </row>
    <row r="158" spans="1:14" s="1" customFormat="1" ht="15" customHeight="1" outlineLevel="1">
      <c r="A158" s="213">
        <f t="shared" si="12"/>
        <v>4</v>
      </c>
      <c r="B158" s="173" t="str">
        <f t="shared" si="7"/>
        <v>ตัวตับธรณี</v>
      </c>
      <c r="C158" s="173" t="str">
        <f t="shared" si="7"/>
        <v>DOOR STOP SILL</v>
      </c>
      <c r="D158" s="174" t="str">
        <f>VLOOKUP(C158,$C$133:$H$153,2,0)</f>
        <v>B24004</v>
      </c>
      <c r="E158" s="441">
        <f t="shared" si="8"/>
        <v>0.51600000000000001</v>
      </c>
      <c r="F158" s="353">
        <f t="shared" si="11"/>
        <v>3215</v>
      </c>
      <c r="G158" s="175">
        <f t="shared" si="9"/>
        <v>1</v>
      </c>
      <c r="H158" s="175">
        <f t="shared" si="13"/>
        <v>1</v>
      </c>
      <c r="I158" s="557">
        <f t="shared" si="14"/>
        <v>182.48340000000002</v>
      </c>
      <c r="J158" s="558"/>
      <c r="K158" s="442">
        <f t="shared" si="10"/>
        <v>1.6589400000000001</v>
      </c>
    </row>
    <row r="159" spans="1:14" s="1" customFormat="1" ht="15" customHeight="1" outlineLevel="1">
      <c r="A159" s="213">
        <f t="shared" si="12"/>
        <v>5</v>
      </c>
      <c r="B159" s="173" t="str">
        <f t="shared" si="7"/>
        <v>เฟรมข้าง (ซ้าย)</v>
      </c>
      <c r="C159" s="173" t="str">
        <f t="shared" si="7"/>
        <v>JAMB (L)</v>
      </c>
      <c r="D159" s="508" t="str">
        <f>VLOOKUP(C159,$C$133:$H$153,2,0)</f>
        <v>B24005</v>
      </c>
      <c r="E159" s="441">
        <f t="shared" si="8"/>
        <v>0.89300000000000002</v>
      </c>
      <c r="F159" s="353">
        <f t="shared" si="11"/>
        <v>2195</v>
      </c>
      <c r="G159" s="175">
        <f t="shared" si="9"/>
        <v>1</v>
      </c>
      <c r="H159" s="546">
        <f>ROUNDUP(((F159*G159)+(F160*G160))/6400,0)</f>
        <v>1</v>
      </c>
      <c r="I159" s="557">
        <f t="shared" si="14"/>
        <v>215.61484999999999</v>
      </c>
      <c r="J159" s="558"/>
      <c r="K159" s="442">
        <f t="shared" si="10"/>
        <v>1.960135</v>
      </c>
    </row>
    <row r="160" spans="1:14" s="1" customFormat="1" ht="15" customHeight="1" outlineLevel="1">
      <c r="A160" s="213">
        <f t="shared" si="12"/>
        <v>6</v>
      </c>
      <c r="B160" s="173" t="str">
        <f t="shared" si="7"/>
        <v>เฟรมข้าง (ขวา)</v>
      </c>
      <c r="C160" s="173" t="str">
        <f t="shared" si="7"/>
        <v>JAMB (R)</v>
      </c>
      <c r="D160" s="509"/>
      <c r="E160" s="441">
        <f t="shared" si="8"/>
        <v>0.89300000000000002</v>
      </c>
      <c r="F160" s="353">
        <f t="shared" si="11"/>
        <v>2195</v>
      </c>
      <c r="G160" s="175">
        <f t="shared" si="9"/>
        <v>1</v>
      </c>
      <c r="H160" s="546"/>
      <c r="I160" s="557">
        <f t="shared" si="14"/>
        <v>215.61484999999999</v>
      </c>
      <c r="J160" s="558"/>
      <c r="K160" s="442">
        <f t="shared" si="10"/>
        <v>1.960135</v>
      </c>
    </row>
    <row r="161" spans="1:36" s="1" customFormat="1" ht="15" customHeight="1" outlineLevel="1">
      <c r="A161" s="213">
        <f t="shared" si="12"/>
        <v>7</v>
      </c>
      <c r="B161" s="173" t="str">
        <f t="shared" si="7"/>
        <v>บังใบข้าง (ซ้าย)</v>
      </c>
      <c r="C161" s="173" t="str">
        <f t="shared" si="7"/>
        <v>DOOR STOP JAMB (L)</v>
      </c>
      <c r="D161" s="508" t="str">
        <f>VLOOKUP(C161,$C$133:$H$153,2,0)</f>
        <v>B24006</v>
      </c>
      <c r="E161" s="441">
        <f t="shared" si="8"/>
        <v>0.23499999999999999</v>
      </c>
      <c r="F161" s="353">
        <f t="shared" si="11"/>
        <v>2099</v>
      </c>
      <c r="G161" s="175">
        <f t="shared" si="9"/>
        <v>1</v>
      </c>
      <c r="H161" s="546">
        <f>ROUNDUP(((F161*G161)+(F162*G162))/6400,0)</f>
        <v>1</v>
      </c>
      <c r="I161" s="557">
        <f t="shared" si="14"/>
        <v>54.259149999999998</v>
      </c>
      <c r="J161" s="558"/>
      <c r="K161" s="442">
        <f t="shared" si="10"/>
        <v>0.49326500000000001</v>
      </c>
    </row>
    <row r="162" spans="1:36" s="1" customFormat="1" ht="15" customHeight="1" outlineLevel="1">
      <c r="A162" s="213">
        <f t="shared" ref="A162:A169" si="15">IF(B162="","",+A161+1)</f>
        <v>8</v>
      </c>
      <c r="B162" s="173" t="str">
        <f t="shared" ref="B162:C162" si="16">B140</f>
        <v>บังใบข้าง (ขวา)</v>
      </c>
      <c r="C162" s="173" t="str">
        <f t="shared" si="16"/>
        <v>DOOR STOP JAMB (R)</v>
      </c>
      <c r="D162" s="509"/>
      <c r="E162" s="441">
        <f t="shared" ref="E162:E170" si="17">VLOOKUP(C162,$C$133:$H$153,3,0)</f>
        <v>0.23499999999999999</v>
      </c>
      <c r="F162" s="353">
        <f t="shared" ref="F162:F170" si="18">VLOOKUP(C162,$C$133:$I$153,7,0)</f>
        <v>2099</v>
      </c>
      <c r="G162" s="175">
        <f t="shared" ref="G162:G170" si="19">VLOOKUP(C162,$C$133:$J$153,8,0)</f>
        <v>1</v>
      </c>
      <c r="H162" s="546"/>
      <c r="I162" s="557">
        <f t="shared" si="14"/>
        <v>54.259149999999998</v>
      </c>
      <c r="J162" s="558"/>
      <c r="K162" s="442">
        <f t="shared" si="10"/>
        <v>0.49326500000000001</v>
      </c>
    </row>
    <row r="163" spans="1:36" s="1" customFormat="1" ht="13.8" outlineLevel="1">
      <c r="A163" s="213">
        <f t="shared" si="15"/>
        <v>9</v>
      </c>
      <c r="B163" s="173" t="str">
        <f t="shared" ref="B163:C163" si="20">B141</f>
        <v>ขวางบน</v>
      </c>
      <c r="C163" s="173" t="str">
        <f t="shared" si="20"/>
        <v>SASH (Hor) (T)</v>
      </c>
      <c r="D163" s="508" t="str">
        <f t="shared" ref="D163:D170" si="21">VLOOKUP(C163,$C$133:$H$153,2,0)</f>
        <v>B24007</v>
      </c>
      <c r="E163" s="441">
        <f t="shared" si="17"/>
        <v>1.1060000000000001</v>
      </c>
      <c r="F163" s="353">
        <f t="shared" si="18"/>
        <v>687.5625</v>
      </c>
      <c r="G163" s="175">
        <f t="shared" si="19"/>
        <v>4</v>
      </c>
      <c r="H163" s="549">
        <f>ROUNDUP(((F163*G163)+(F164*G164)+(F165*G165)+(F166*G166)+(F167*G167))/6400,0)</f>
        <v>4</v>
      </c>
      <c r="I163" s="557">
        <f t="shared" si="14"/>
        <v>334.595415</v>
      </c>
      <c r="J163" s="558"/>
      <c r="K163" s="442">
        <f t="shared" si="10"/>
        <v>3.0417765000000001</v>
      </c>
    </row>
    <row r="164" spans="1:36" s="1" customFormat="1" ht="13.8" outlineLevel="1">
      <c r="A164" s="213">
        <f t="shared" si="15"/>
        <v>10</v>
      </c>
      <c r="B164" s="173" t="str">
        <f t="shared" ref="B164:C164" si="22">B142</f>
        <v>ขวางล่าง</v>
      </c>
      <c r="C164" s="173" t="str">
        <f t="shared" si="22"/>
        <v>SASH (Hor) (B)</v>
      </c>
      <c r="D164" s="510"/>
      <c r="E164" s="441">
        <f t="shared" si="17"/>
        <v>1.1060000000000001</v>
      </c>
      <c r="F164" s="353">
        <f t="shared" si="18"/>
        <v>687.5625</v>
      </c>
      <c r="G164" s="175">
        <f t="shared" si="19"/>
        <v>4</v>
      </c>
      <c r="H164" s="551"/>
      <c r="I164" s="557">
        <f t="shared" si="14"/>
        <v>334.595415</v>
      </c>
      <c r="J164" s="558"/>
      <c r="K164" s="442">
        <f t="shared" si="10"/>
        <v>3.0417765000000001</v>
      </c>
    </row>
    <row r="165" spans="1:36" s="1" customFormat="1" ht="13.8" outlineLevel="1">
      <c r="A165" s="213">
        <f t="shared" si="15"/>
        <v>11</v>
      </c>
      <c r="B165" s="173" t="str">
        <f t="shared" ref="B165:C165" si="23">B143</f>
        <v>เสา</v>
      </c>
      <c r="C165" s="173" t="str">
        <f t="shared" si="23"/>
        <v xml:space="preserve">SASH (Ver) </v>
      </c>
      <c r="D165" s="510"/>
      <c r="E165" s="441">
        <f t="shared" si="17"/>
        <v>1.1060000000000001</v>
      </c>
      <c r="F165" s="353">
        <f t="shared" si="18"/>
        <v>2103</v>
      </c>
      <c r="G165" s="175">
        <f t="shared" si="19"/>
        <v>6</v>
      </c>
      <c r="H165" s="551"/>
      <c r="I165" s="557">
        <f t="shared" si="14"/>
        <v>1535.1058800000003</v>
      </c>
      <c r="J165" s="558"/>
      <c r="K165" s="442">
        <f t="shared" si="10"/>
        <v>13.955508000000002</v>
      </c>
    </row>
    <row r="166" spans="1:36" s="1" customFormat="1" ht="13.8" outlineLevel="1">
      <c r="A166" s="213">
        <f t="shared" si="15"/>
        <v>12</v>
      </c>
      <c r="B166" s="173" t="str">
        <f t="shared" ref="B166:C166" si="24">B144</f>
        <v>เสากุญแจ</v>
      </c>
      <c r="C166" s="173" t="str">
        <f t="shared" si="24"/>
        <v xml:space="preserve">SASH (Ver) LOCK </v>
      </c>
      <c r="D166" s="510"/>
      <c r="E166" s="441">
        <f t="shared" si="17"/>
        <v>1.1060000000000001</v>
      </c>
      <c r="F166" s="353">
        <f t="shared" si="18"/>
        <v>2103</v>
      </c>
      <c r="G166" s="175">
        <f t="shared" si="19"/>
        <v>1</v>
      </c>
      <c r="H166" s="551"/>
      <c r="I166" s="557">
        <f t="shared" si="14"/>
        <v>255.85098000000008</v>
      </c>
      <c r="J166" s="558"/>
      <c r="K166" s="442">
        <f t="shared" si="10"/>
        <v>2.3259180000000006</v>
      </c>
    </row>
    <row r="167" spans="1:36" s="1" customFormat="1" ht="15" customHeight="1" outlineLevel="1">
      <c r="A167" s="213">
        <f t="shared" si="15"/>
        <v>13</v>
      </c>
      <c r="B167" s="173" t="str">
        <f t="shared" ref="B167:C167" si="25">B145</f>
        <v>เสากุญแจ</v>
      </c>
      <c r="C167" s="173" t="str">
        <f t="shared" si="25"/>
        <v xml:space="preserve">SASH (Ver) LOCK </v>
      </c>
      <c r="D167" s="509"/>
      <c r="E167" s="441">
        <f t="shared" si="17"/>
        <v>1.1060000000000001</v>
      </c>
      <c r="F167" s="353">
        <f t="shared" si="18"/>
        <v>2103</v>
      </c>
      <c r="G167" s="175">
        <f t="shared" si="19"/>
        <v>1</v>
      </c>
      <c r="H167" s="550"/>
      <c r="I167" s="557">
        <f t="shared" si="14"/>
        <v>255.85098000000008</v>
      </c>
      <c r="J167" s="558"/>
      <c r="K167" s="442">
        <f t="shared" si="10"/>
        <v>2.3259180000000006</v>
      </c>
    </row>
    <row r="168" spans="1:36" s="1" customFormat="1" ht="13.8" outlineLevel="1">
      <c r="A168" s="213">
        <f t="shared" si="15"/>
        <v>14</v>
      </c>
      <c r="B168" s="173" t="str">
        <f t="shared" ref="B168:C168" si="26">B146</f>
        <v>5-6mm คิ้วตบกระจกแนวนอน</v>
      </c>
      <c r="C168" s="173" t="str">
        <f t="shared" si="26"/>
        <v>5-6mm GLAZING BEAD HORIZONTAL</v>
      </c>
      <c r="D168" s="508" t="str">
        <f t="shared" si="21"/>
        <v>B24008</v>
      </c>
      <c r="E168" s="441">
        <f t="shared" si="17"/>
        <v>0.23100000000000001</v>
      </c>
      <c r="F168" s="353">
        <f t="shared" si="18"/>
        <v>687.5625</v>
      </c>
      <c r="G168" s="175">
        <f t="shared" si="19"/>
        <v>8</v>
      </c>
      <c r="H168" s="549">
        <f>ROUNDUP(((F168*G168)+(F169*G169))/6400,0)</f>
        <v>4</v>
      </c>
      <c r="I168" s="557">
        <f t="shared" si="14"/>
        <v>139.76770499999998</v>
      </c>
      <c r="J168" s="558"/>
      <c r="K168" s="442">
        <f t="shared" si="10"/>
        <v>1.2706154999999999</v>
      </c>
    </row>
    <row r="169" spans="1:36" s="1" customFormat="1" ht="13.8" outlineLevel="1">
      <c r="A169" s="213">
        <f t="shared" si="15"/>
        <v>15</v>
      </c>
      <c r="B169" s="173" t="str">
        <f t="shared" ref="B169:C169" si="27">B147</f>
        <v>5-6mm คิ้วตบกระจกแนวตั้ง</v>
      </c>
      <c r="C169" s="173" t="str">
        <f t="shared" si="27"/>
        <v>5-6mm GLAZING BEAD VERTICAL</v>
      </c>
      <c r="D169" s="509"/>
      <c r="E169" s="441">
        <f t="shared" si="17"/>
        <v>0.23100000000000001</v>
      </c>
      <c r="F169" s="353">
        <f t="shared" si="18"/>
        <v>1953</v>
      </c>
      <c r="G169" s="175">
        <f t="shared" si="19"/>
        <v>8</v>
      </c>
      <c r="H169" s="550"/>
      <c r="I169" s="557">
        <f t="shared" si="14"/>
        <v>397.00584000000003</v>
      </c>
      <c r="J169" s="558"/>
      <c r="K169" s="442">
        <f t="shared" si="10"/>
        <v>3.6091440000000001</v>
      </c>
    </row>
    <row r="170" spans="1:36" s="23" customFormat="1" ht="15" customHeight="1" outlineLevel="1" thickBot="1">
      <c r="A170" s="213"/>
      <c r="B170" s="173">
        <f t="shared" ref="B170:C170" si="28">B148</f>
        <v>0</v>
      </c>
      <c r="C170" s="173">
        <f t="shared" si="28"/>
        <v>0</v>
      </c>
      <c r="D170" s="174" t="e">
        <f t="shared" si="21"/>
        <v>#N/A</v>
      </c>
      <c r="E170" s="175" t="e">
        <f t="shared" si="17"/>
        <v>#N/A</v>
      </c>
      <c r="F170" s="353" t="e">
        <f t="shared" si="18"/>
        <v>#N/A</v>
      </c>
      <c r="G170" s="175" t="e">
        <f t="shared" si="19"/>
        <v>#N/A</v>
      </c>
      <c r="H170" s="449" t="s">
        <v>661</v>
      </c>
      <c r="I170" s="559">
        <f>SUM(I155:J169)</f>
        <v>5126.4002350000001</v>
      </c>
      <c r="J170" s="559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s="1" customFormat="1" ht="24.9" customHeight="1" thickBot="1">
      <c r="A171" s="529" t="s">
        <v>9</v>
      </c>
      <c r="B171" s="530"/>
      <c r="C171" s="530"/>
      <c r="D171" s="530"/>
      <c r="E171" s="530"/>
      <c r="F171" s="530"/>
      <c r="G171" s="530"/>
      <c r="H171" s="530"/>
      <c r="I171" s="530"/>
      <c r="J171" s="531"/>
    </row>
    <row r="172" spans="1:36" s="1" customFormat="1" ht="35.1" customHeight="1" thickBot="1">
      <c r="A172" s="102" t="s">
        <v>2</v>
      </c>
      <c r="B172" s="103" t="s">
        <v>29</v>
      </c>
      <c r="C172" s="103" t="s">
        <v>3</v>
      </c>
      <c r="D172" s="103" t="s">
        <v>199</v>
      </c>
      <c r="E172" s="103" t="s">
        <v>5</v>
      </c>
      <c r="F172" s="104" t="s">
        <v>28</v>
      </c>
      <c r="G172" s="103" t="s">
        <v>19</v>
      </c>
      <c r="H172" s="104" t="s">
        <v>200</v>
      </c>
      <c r="I172" s="547" t="s">
        <v>660</v>
      </c>
      <c r="J172" s="548"/>
      <c r="K172" s="443">
        <v>0.2</v>
      </c>
      <c r="N172" s="101" t="s">
        <v>191</v>
      </c>
      <c r="O172" s="246" t="s">
        <v>29</v>
      </c>
      <c r="P172" s="246" t="s">
        <v>3</v>
      </c>
      <c r="Q172" s="246" t="s">
        <v>199</v>
      </c>
      <c r="R172" s="246" t="s">
        <v>5</v>
      </c>
      <c r="S172" s="246" t="s">
        <v>28</v>
      </c>
      <c r="T172" s="246" t="s">
        <v>19</v>
      </c>
      <c r="U172" s="246" t="s">
        <v>200</v>
      </c>
      <c r="V172" s="246" t="s">
        <v>20</v>
      </c>
      <c r="W172" s="246" t="s">
        <v>201</v>
      </c>
    </row>
    <row r="173" spans="1:36" s="1" customFormat="1" ht="18" customHeight="1">
      <c r="A173" s="200">
        <f>IF(B173="","",1)</f>
        <v>1</v>
      </c>
      <c r="B173" s="140" t="s">
        <v>110</v>
      </c>
      <c r="C173" s="140" t="s">
        <v>66</v>
      </c>
      <c r="D173" s="139" t="s">
        <v>73</v>
      </c>
      <c r="E173" s="143"/>
      <c r="F173" s="143" t="s">
        <v>73</v>
      </c>
      <c r="G173" s="143" t="s">
        <v>202</v>
      </c>
      <c r="H173" s="143">
        <v>2</v>
      </c>
      <c r="I173" s="560">
        <f>(K173+$K$172)*H173</f>
        <v>3.746</v>
      </c>
      <c r="J173" s="561"/>
      <c r="K173" s="444">
        <v>1.673</v>
      </c>
      <c r="N173" s="101" t="s">
        <v>226</v>
      </c>
      <c r="O173" s="280" t="s">
        <v>252</v>
      </c>
      <c r="P173" s="290" t="s">
        <v>248</v>
      </c>
      <c r="Q173" s="280" t="s">
        <v>69</v>
      </c>
      <c r="R173" s="213"/>
      <c r="S173" s="213" t="s">
        <v>69</v>
      </c>
      <c r="T173" s="213" t="s">
        <v>198</v>
      </c>
      <c r="U173" s="291">
        <f>((($I$141*$G$141)+($I$142*$G$142)+($I$143*$G$143)+($I$144*$G$144)+($I$145*$G$145))/1000)*$J$120</f>
        <v>22.3245</v>
      </c>
      <c r="V173" s="291">
        <v>100</v>
      </c>
      <c r="W173" s="292">
        <f>ROUNDUP((U173)/100,0)</f>
        <v>1</v>
      </c>
    </row>
    <row r="174" spans="1:36" s="1" customFormat="1" ht="18" customHeight="1">
      <c r="A174" s="201">
        <f>IF(B174="","",+A173+1)</f>
        <v>2</v>
      </c>
      <c r="B174" s="140" t="s">
        <v>111</v>
      </c>
      <c r="C174" s="140" t="s">
        <v>67</v>
      </c>
      <c r="D174" s="139" t="s">
        <v>74</v>
      </c>
      <c r="E174" s="143"/>
      <c r="F174" s="143" t="s">
        <v>74</v>
      </c>
      <c r="G174" s="143" t="s">
        <v>202</v>
      </c>
      <c r="H174" s="143">
        <v>8</v>
      </c>
      <c r="I174" s="562">
        <f>(K174+$K$172)*H174</f>
        <v>25.6</v>
      </c>
      <c r="J174" s="563"/>
      <c r="K174" s="444">
        <v>3</v>
      </c>
      <c r="N174" s="101" t="s">
        <v>230</v>
      </c>
      <c r="O174" s="280" t="s">
        <v>253</v>
      </c>
      <c r="P174" s="290" t="s">
        <v>249</v>
      </c>
      <c r="Q174" s="280" t="s">
        <v>188</v>
      </c>
      <c r="R174" s="213"/>
      <c r="S174" s="213" t="s">
        <v>188</v>
      </c>
      <c r="T174" s="213" t="s">
        <v>198</v>
      </c>
      <c r="U174" s="291">
        <f>((($I$141*$G$141)+($I$142*$G$142)+($I$143*$G$143)+($I$144*$G$144)+($I$145*$G$145))/1000)*$J$120</f>
        <v>22.3245</v>
      </c>
      <c r="V174" s="291">
        <v>100</v>
      </c>
      <c r="W174" s="292">
        <f t="shared" ref="W174:W176" si="29">ROUNDUP((U174)/100,0)</f>
        <v>1</v>
      </c>
    </row>
    <row r="175" spans="1:36" s="1" customFormat="1" ht="18" customHeight="1">
      <c r="A175" s="201">
        <f t="shared" ref="A175:A203" si="30">IF(B175="","",+A174+1)</f>
        <v>3</v>
      </c>
      <c r="B175" s="140" t="s">
        <v>106</v>
      </c>
      <c r="C175" s="140" t="s">
        <v>503</v>
      </c>
      <c r="D175" s="139" t="s">
        <v>75</v>
      </c>
      <c r="E175" s="143"/>
      <c r="F175" s="143" t="s">
        <v>75</v>
      </c>
      <c r="G175" s="143" t="s">
        <v>202</v>
      </c>
      <c r="H175" s="143">
        <v>2</v>
      </c>
      <c r="I175" s="562">
        <f>(K175+$K$172)*H175</f>
        <v>6.1460000000000008</v>
      </c>
      <c r="J175" s="563"/>
      <c r="K175" s="444">
        <v>2.8730000000000002</v>
      </c>
      <c r="N175" s="101" t="s">
        <v>229</v>
      </c>
      <c r="O175" s="290" t="s">
        <v>254</v>
      </c>
      <c r="P175" s="290" t="s">
        <v>250</v>
      </c>
      <c r="Q175" s="280" t="s">
        <v>70</v>
      </c>
      <c r="R175" s="213"/>
      <c r="S175" s="213" t="s">
        <v>70</v>
      </c>
      <c r="T175" s="213" t="s">
        <v>198</v>
      </c>
      <c r="U175" s="291">
        <f>((($I$141*$G$141)+($I$142*$G$142)+($I$143*$G$143)+($I$144*$G$144)+($I$145*$G$145))/1000)*$J$120</f>
        <v>22.3245</v>
      </c>
      <c r="V175" s="291">
        <v>100</v>
      </c>
      <c r="W175" s="292">
        <f t="shared" si="29"/>
        <v>1</v>
      </c>
    </row>
    <row r="176" spans="1:36" s="1" customFormat="1" ht="18" customHeight="1">
      <c r="A176" s="201">
        <f t="shared" si="30"/>
        <v>4</v>
      </c>
      <c r="B176" s="140" t="s">
        <v>107</v>
      </c>
      <c r="C176" s="140" t="s">
        <v>504</v>
      </c>
      <c r="D176" s="139" t="s">
        <v>76</v>
      </c>
      <c r="E176" s="143"/>
      <c r="F176" s="143" t="s">
        <v>76</v>
      </c>
      <c r="G176" s="143" t="s">
        <v>662</v>
      </c>
      <c r="H176" s="143">
        <v>1</v>
      </c>
      <c r="I176" s="562">
        <f>(K176+$K$172)*H176</f>
        <v>5.5196000000000005</v>
      </c>
      <c r="J176" s="563"/>
      <c r="K176" s="444">
        <v>5.3196000000000003</v>
      </c>
      <c r="N176" s="101" t="s">
        <v>231</v>
      </c>
      <c r="O176" s="290" t="s">
        <v>255</v>
      </c>
      <c r="P176" s="290" t="s">
        <v>251</v>
      </c>
      <c r="Q176" s="280" t="s">
        <v>189</v>
      </c>
      <c r="R176" s="213"/>
      <c r="S176" s="213" t="s">
        <v>189</v>
      </c>
      <c r="T176" s="213" t="s">
        <v>198</v>
      </c>
      <c r="U176" s="291">
        <f>((($I$141*$G$141)+($I$142*$G$142)+($I$143*$G$143)+($I$144*$G$144)+($I$145*$G$145))/1000)*$J$120</f>
        <v>22.3245</v>
      </c>
      <c r="V176" s="291">
        <v>100</v>
      </c>
      <c r="W176" s="292">
        <f t="shared" si="29"/>
        <v>1</v>
      </c>
    </row>
    <row r="177" spans="1:23" s="1" customFormat="1" ht="18" customHeight="1">
      <c r="A177" s="201">
        <f t="shared" si="30"/>
        <v>5</v>
      </c>
      <c r="B177" s="140" t="s">
        <v>108</v>
      </c>
      <c r="C177" s="140" t="s">
        <v>10</v>
      </c>
      <c r="D177" s="139">
        <v>9</v>
      </c>
      <c r="E177" s="143"/>
      <c r="F177" s="143">
        <v>9</v>
      </c>
      <c r="G177" s="143" t="s">
        <v>202</v>
      </c>
      <c r="H177" s="143">
        <v>32</v>
      </c>
      <c r="I177" s="564">
        <v>0</v>
      </c>
      <c r="J177" s="565"/>
      <c r="K177" s="444">
        <v>0</v>
      </c>
      <c r="N177" s="101" t="s">
        <v>232</v>
      </c>
      <c r="O177" s="290" t="s">
        <v>256</v>
      </c>
      <c r="P177" s="290" t="s">
        <v>247</v>
      </c>
      <c r="Q177" s="280" t="s">
        <v>233</v>
      </c>
      <c r="R177" s="213"/>
      <c r="S177" s="213" t="s">
        <v>233</v>
      </c>
      <c r="T177" s="213" t="s">
        <v>198</v>
      </c>
      <c r="U177" s="291">
        <f>((($I$141*$G$141)+($I$142*$G$142)+($I$143*$G$143)+($I$144*$G$144)+($I$145*$G$145))/1000)*$J$120</f>
        <v>22.3245</v>
      </c>
      <c r="V177" s="291">
        <v>100</v>
      </c>
      <c r="W177" s="292">
        <f>ROUNDUP((U177)/100,0)</f>
        <v>1</v>
      </c>
    </row>
    <row r="178" spans="1:23" s="1" customFormat="1" ht="18" customHeight="1">
      <c r="A178" s="201">
        <f t="shared" si="30"/>
        <v>6</v>
      </c>
      <c r="B178" s="140" t="s">
        <v>109</v>
      </c>
      <c r="C178" s="140" t="s">
        <v>68</v>
      </c>
      <c r="D178" s="139">
        <v>9</v>
      </c>
      <c r="E178" s="143"/>
      <c r="F178" s="143">
        <v>9</v>
      </c>
      <c r="G178" s="143" t="s">
        <v>202</v>
      </c>
      <c r="H178" s="143">
        <v>64</v>
      </c>
      <c r="I178" s="564">
        <v>0</v>
      </c>
      <c r="J178" s="565"/>
      <c r="K178" s="444">
        <v>0</v>
      </c>
    </row>
    <row r="179" spans="1:23" s="1" customFormat="1" ht="18" customHeight="1">
      <c r="A179" s="201">
        <f t="shared" si="30"/>
        <v>7</v>
      </c>
      <c r="B179" s="140" t="s">
        <v>132</v>
      </c>
      <c r="C179" s="140" t="s">
        <v>79</v>
      </c>
      <c r="D179" s="139" t="s">
        <v>82</v>
      </c>
      <c r="E179" s="143"/>
      <c r="F179" s="143" t="s">
        <v>82</v>
      </c>
      <c r="G179" s="143" t="s">
        <v>185</v>
      </c>
      <c r="H179" s="143">
        <v>2</v>
      </c>
      <c r="I179" s="562">
        <f>(K179+$K$172)*H179</f>
        <v>1529.2800000000002</v>
      </c>
      <c r="J179" s="563"/>
      <c r="K179" s="447">
        <v>764.44</v>
      </c>
    </row>
    <row r="180" spans="1:23" s="1" customFormat="1" ht="18" customHeight="1">
      <c r="A180" s="201">
        <f t="shared" si="30"/>
        <v>8</v>
      </c>
      <c r="B180" s="140" t="s">
        <v>118</v>
      </c>
      <c r="C180" s="140" t="s">
        <v>77</v>
      </c>
      <c r="D180" s="139" t="s">
        <v>80</v>
      </c>
      <c r="E180" s="143"/>
      <c r="F180" s="143" t="s">
        <v>80</v>
      </c>
      <c r="G180" s="143" t="s">
        <v>185</v>
      </c>
      <c r="H180" s="143">
        <v>1</v>
      </c>
      <c r="I180" s="562">
        <f>(K180+$K$172)*H180</f>
        <v>1199.67</v>
      </c>
      <c r="J180" s="563"/>
      <c r="K180" s="447">
        <v>1199.47</v>
      </c>
    </row>
    <row r="181" spans="1:23" s="1" customFormat="1" ht="18" customHeight="1">
      <c r="A181" s="201">
        <f t="shared" si="30"/>
        <v>9</v>
      </c>
      <c r="B181" s="140" t="s">
        <v>120</v>
      </c>
      <c r="C181" s="140" t="s">
        <v>94</v>
      </c>
      <c r="D181" s="139" t="s">
        <v>96</v>
      </c>
      <c r="E181" s="143"/>
      <c r="F181" s="143" t="s">
        <v>96</v>
      </c>
      <c r="G181" s="143" t="s">
        <v>185</v>
      </c>
      <c r="H181" s="143">
        <v>1</v>
      </c>
      <c r="I181" s="562">
        <f>(K181+$K$172)*H181</f>
        <v>1199.67</v>
      </c>
      <c r="J181" s="563"/>
      <c r="K181" s="447">
        <v>1199.47</v>
      </c>
    </row>
    <row r="182" spans="1:23" s="1" customFormat="1" ht="18" customHeight="1">
      <c r="A182" s="201">
        <f t="shared" si="30"/>
        <v>10</v>
      </c>
      <c r="B182" s="140" t="s">
        <v>131</v>
      </c>
      <c r="C182" s="140" t="s">
        <v>130</v>
      </c>
      <c r="D182" s="139" t="s">
        <v>129</v>
      </c>
      <c r="E182" s="143"/>
      <c r="F182" s="143" t="s">
        <v>129</v>
      </c>
      <c r="G182" s="143" t="s">
        <v>185</v>
      </c>
      <c r="H182" s="143">
        <v>1</v>
      </c>
      <c r="I182" s="562">
        <f t="shared" ref="I182:I183" si="31">(K182+$K$172)*H182</f>
        <v>1969.48</v>
      </c>
      <c r="J182" s="563"/>
      <c r="K182" s="447">
        <v>1969.28</v>
      </c>
      <c r="N182" s="56"/>
      <c r="O182" s="56"/>
      <c r="P182" s="56"/>
      <c r="Q182" s="289"/>
      <c r="R182" s="289"/>
      <c r="S182" s="289"/>
      <c r="T182" s="17"/>
      <c r="U182" s="17"/>
      <c r="V182" s="17"/>
      <c r="W182" s="56"/>
    </row>
    <row r="183" spans="1:23" s="1" customFormat="1" ht="18" customHeight="1">
      <c r="A183" s="201">
        <f t="shared" si="30"/>
        <v>11</v>
      </c>
      <c r="B183" s="140" t="s">
        <v>113</v>
      </c>
      <c r="C183" s="140" t="s">
        <v>502</v>
      </c>
      <c r="D183" s="139" t="s">
        <v>83</v>
      </c>
      <c r="E183" s="143"/>
      <c r="F183" s="143" t="s">
        <v>83</v>
      </c>
      <c r="G183" s="143" t="s">
        <v>185</v>
      </c>
      <c r="H183" s="143">
        <v>2</v>
      </c>
      <c r="I183" s="562">
        <f t="shared" si="31"/>
        <v>3938.96</v>
      </c>
      <c r="J183" s="563"/>
      <c r="K183" s="447">
        <v>1969.28</v>
      </c>
      <c r="N183" s="101" t="s">
        <v>227</v>
      </c>
      <c r="O183" s="246" t="s">
        <v>29</v>
      </c>
      <c r="P183" s="246" t="s">
        <v>3</v>
      </c>
      <c r="Q183" s="246" t="s">
        <v>199</v>
      </c>
      <c r="R183" s="246" t="s">
        <v>5</v>
      </c>
      <c r="S183" s="246" t="s">
        <v>28</v>
      </c>
      <c r="T183" s="246" t="s">
        <v>19</v>
      </c>
      <c r="U183" s="246" t="s">
        <v>200</v>
      </c>
      <c r="V183" s="246" t="s">
        <v>20</v>
      </c>
      <c r="W183" s="246" t="s">
        <v>201</v>
      </c>
    </row>
    <row r="184" spans="1:23" s="1" customFormat="1" ht="18" customHeight="1">
      <c r="A184" s="201">
        <f t="shared" si="30"/>
        <v>12</v>
      </c>
      <c r="B184" s="140" t="s">
        <v>112</v>
      </c>
      <c r="C184" s="140" t="s">
        <v>114</v>
      </c>
      <c r="D184" s="128" t="s">
        <v>520</v>
      </c>
      <c r="E184" s="129"/>
      <c r="F184" s="129" t="s">
        <v>520</v>
      </c>
      <c r="G184" s="143" t="s">
        <v>202</v>
      </c>
      <c r="H184" s="143">
        <v>4</v>
      </c>
      <c r="I184" s="562">
        <f t="shared" ref="I184" si="32">(K184+$K$172)*H184</f>
        <v>31.376000000000001</v>
      </c>
      <c r="J184" s="563"/>
      <c r="K184" s="444">
        <v>7.6440000000000001</v>
      </c>
      <c r="N184" s="101" t="s">
        <v>240</v>
      </c>
      <c r="O184" s="290" t="s">
        <v>234</v>
      </c>
      <c r="P184" s="290" t="s">
        <v>236</v>
      </c>
      <c r="Q184" s="280" t="s">
        <v>190</v>
      </c>
      <c r="R184" s="213"/>
      <c r="S184" s="213" t="s">
        <v>190</v>
      </c>
      <c r="T184" s="213" t="s">
        <v>198</v>
      </c>
      <c r="U184" s="291">
        <f>((($I$134*$G$134)+($I$136*$G$136)+($I$139*$G$139))/1000)*$J$120</f>
        <v>8.5030000000000001</v>
      </c>
      <c r="V184" s="291">
        <v>300</v>
      </c>
      <c r="W184" s="292">
        <f>ROUNDUP((U184)/V184,0)</f>
        <v>1</v>
      </c>
    </row>
    <row r="185" spans="1:23" s="1" customFormat="1" ht="18" customHeight="1">
      <c r="A185" s="201">
        <f t="shared" si="30"/>
        <v>13</v>
      </c>
      <c r="B185" s="140" t="s">
        <v>115</v>
      </c>
      <c r="C185" s="140" t="s">
        <v>45</v>
      </c>
      <c r="D185" s="139" t="s">
        <v>84</v>
      </c>
      <c r="E185" s="143"/>
      <c r="F185" s="143" t="s">
        <v>84</v>
      </c>
      <c r="G185" s="143" t="s">
        <v>202</v>
      </c>
      <c r="H185" s="143">
        <v>1</v>
      </c>
      <c r="I185" s="562">
        <f t="shared" ref="I185" si="33">(K185+$K$172)*H185</f>
        <v>12.299999999999999</v>
      </c>
      <c r="J185" s="563"/>
      <c r="K185" s="444">
        <v>12.1</v>
      </c>
      <c r="N185" s="101" t="s">
        <v>241</v>
      </c>
      <c r="O185" s="290" t="s">
        <v>235</v>
      </c>
      <c r="P185" s="290" t="s">
        <v>238</v>
      </c>
      <c r="Q185" s="280" t="s">
        <v>71</v>
      </c>
      <c r="R185" s="213"/>
      <c r="S185" s="213" t="s">
        <v>71</v>
      </c>
      <c r="T185" s="213" t="s">
        <v>198</v>
      </c>
      <c r="U185" s="291">
        <f>((($I$134*$G$134)+($I$136*$G$136)+($I$139*$G$139))/1000)*$J$120</f>
        <v>8.5030000000000001</v>
      </c>
      <c r="V185" s="291">
        <v>100</v>
      </c>
      <c r="W185" s="292">
        <f t="shared" ref="W185:W187" si="34">ROUNDUP((U185)/V185,0)</f>
        <v>1</v>
      </c>
    </row>
    <row r="186" spans="1:23" s="1" customFormat="1" ht="18" customHeight="1">
      <c r="A186" s="201">
        <f t="shared" si="30"/>
        <v>14</v>
      </c>
      <c r="B186" s="139" t="str">
        <f>IF($D$129="Standard",$O$184,IF($D$129="Soumdproof",$O$185,))</f>
        <v>ยางเฟรมกันน้ำ (ธรรมดา)</v>
      </c>
      <c r="C186" s="139" t="str">
        <f>IF($D$129="Standard",$P$184,IF($D$129="Soumdproof",$P$185,))</f>
        <v>FRAME SEAL (Standard)</v>
      </c>
      <c r="D186" s="139" t="str">
        <f>IF($D$129="Standard",$Q$184,IF($D$129="Soumdproof",$Q$185,))</f>
        <v>02-026</v>
      </c>
      <c r="E186" s="143">
        <f t="shared" ref="E186" si="35">IF($D$129="Standard",R185,IF($D$129="Soumdproof",R186,))</f>
        <v>0</v>
      </c>
      <c r="F186" s="143" t="str">
        <f>IF($D$129="Standard",$S$184,IF($D$129="Soumdproof",$S$185,))</f>
        <v>02-026</v>
      </c>
      <c r="G186" s="143" t="str">
        <f>IF($D$129="Standard",$T$184,IF($D$129="Soumdproof",$T$185,))</f>
        <v>M</v>
      </c>
      <c r="H186" s="261">
        <f>IF($D$129="Standard",$U$184,IF($D$129="Soumdproof",$U$185,))</f>
        <v>8.5030000000000001</v>
      </c>
      <c r="I186" s="562">
        <f t="shared" ref="I186:I189" si="36">(K186+$K$172)*H186</f>
        <v>68.070766499999991</v>
      </c>
      <c r="J186" s="563"/>
      <c r="K186" s="444">
        <v>7.8055000000000003</v>
      </c>
      <c r="N186" s="101" t="s">
        <v>240</v>
      </c>
      <c r="O186" s="290" t="s">
        <v>245</v>
      </c>
      <c r="P186" s="290" t="s">
        <v>237</v>
      </c>
      <c r="Q186" s="280" t="s">
        <v>72</v>
      </c>
      <c r="R186" s="213"/>
      <c r="S186" s="213" t="s">
        <v>72</v>
      </c>
      <c r="T186" s="213" t="s">
        <v>198</v>
      </c>
      <c r="U186" s="291">
        <f>((($I$141*$G$141*2)+($I$143*$G$143*2)+($I$144*$G$144*2)+($I$145*$G$145*2))/1000)*$J$120</f>
        <v>39.148499999999999</v>
      </c>
      <c r="V186" s="291">
        <v>350</v>
      </c>
      <c r="W186" s="292">
        <f t="shared" si="34"/>
        <v>1</v>
      </c>
    </row>
    <row r="187" spans="1:23" s="1" customFormat="1" ht="18" customHeight="1">
      <c r="A187" s="201">
        <f t="shared" si="30"/>
        <v>15</v>
      </c>
      <c r="B187" s="139" t="str">
        <f>IF($D$129="Standard",$O$186,IF($D$129="Soumdproof",$O$187,))</f>
        <v>ยางแซชกันน้ำ (ธรรมดา)</v>
      </c>
      <c r="C187" s="139" t="str">
        <f>IF($D$129="Standard",$P$186,IF($D$129="Soumdproof",$P$187,))</f>
        <v>SASH SEAL FOAM (Standard)</v>
      </c>
      <c r="D187" s="139" t="str">
        <f>IF($D$129="Standard",$Q$186,IF($D$129="Soumdproof",$Q$187,))</f>
        <v>02-031</v>
      </c>
      <c r="E187" s="143">
        <f t="shared" ref="E187" si="37">IF($D$129="Standard",R187,IF($D$129="Soumdproof",R188,))</f>
        <v>0</v>
      </c>
      <c r="F187" s="143" t="str">
        <f>IF($D$129="Standard",$S$186,IF($D$129="Soumdproof",$S$187,))</f>
        <v>02-031</v>
      </c>
      <c r="G187" s="143" t="str">
        <f>IF($D$129="Standard",$T$186,IF($D$129="Soumdproof",$T$187,))</f>
        <v>M</v>
      </c>
      <c r="H187" s="261">
        <f>IF($D$129="Standard",$U$186,IF($D$129="Soumdproof",$U$187,))</f>
        <v>39.148499999999999</v>
      </c>
      <c r="I187" s="562">
        <f t="shared" si="36"/>
        <v>254.46525</v>
      </c>
      <c r="J187" s="563"/>
      <c r="K187" s="444">
        <v>6.3</v>
      </c>
      <c r="N187" s="101" t="s">
        <v>241</v>
      </c>
      <c r="O187" s="290" t="s">
        <v>246</v>
      </c>
      <c r="P187" s="290" t="s">
        <v>239</v>
      </c>
      <c r="Q187" s="280" t="s">
        <v>193</v>
      </c>
      <c r="R187" s="213"/>
      <c r="S187" s="213" t="s">
        <v>193</v>
      </c>
      <c r="T187" s="213" t="s">
        <v>198</v>
      </c>
      <c r="U187" s="291">
        <f>((($I$141*$G$141*2)+($I$143*$G$143*2)+($I$144*$G$144*2)+($I$145*$G$145*2))/1000)*$J$120</f>
        <v>39.148499999999999</v>
      </c>
      <c r="V187" s="291">
        <v>100</v>
      </c>
      <c r="W187" s="292">
        <f t="shared" si="34"/>
        <v>1</v>
      </c>
    </row>
    <row r="188" spans="1:23" s="1" customFormat="1" ht="18" customHeight="1">
      <c r="A188" s="201">
        <f t="shared" si="30"/>
        <v>16</v>
      </c>
      <c r="B188" s="241" t="str">
        <f>IF($D$127=5,$O$175,IF($D$127=6,$O$176,IF($D$127=8,$O$177,IF($D$127=10,$O$175,IF($D$127=12,$O$175,IF($D$127=14,$O$177,IF($D$127=18,$O$175,IF($D$127=20,$O$176,IF($D$127=22,"")))))))))</f>
        <v>6,20 mm ยางอัดกระจก</v>
      </c>
      <c r="C188" s="241" t="str">
        <f>IF($D$127=5,$P$175,IF($D$127=6,$P$176,IF($D$127=8,$P$177,IF($D$127=10,$P$175,IF($D$127=12,$P$175,IF($D$127=14,$P$177,IF($D$127=18,$P$175,IF($D$127=20,$P$176,IF($D$127=22,"")))))))))</f>
        <v>6,20 mm ROLL IN WEDGE</v>
      </c>
      <c r="D188" s="241" t="str">
        <f>IF($D$127=5,$Q$175,IF($D$127=6,$Q$176,IF($D$127=8,$Q$177,IF($D$127=10,$Q$175,IF($D$127=12,$Q$175,IF($D$127=14,$Q$177,IF($D$127=18,$Q$175,IF($D$127=20,$Q$176,IF($D$127=22,"")))))))))</f>
        <v>02-034</v>
      </c>
      <c r="E188" s="241">
        <f t="shared" ref="E188" si="38">IF($D$127=5,R176,IF($D$127=6,R177,IF($D$127=8,R178,IF($D$127=10,R176,IF($D$127=12,R176,IF($D$127=14,R178,IF($D$127=18,R176,IF($D$127=20,R177,IF($D$127=22,"",)))))))))</f>
        <v>0</v>
      </c>
      <c r="F188" s="242" t="str">
        <f>IF($D$127=5,$S$175,IF($D$127=6,$S$176,IF($D$127=8,$S$177,IF($D$127=10,$S$175,IF($D$127=12,$S$175,IF($D$127=14,$S$177,IF($D$127=18,$S$175,IF($D$127=20,$S$176,IF($D$127=22,"")))))))))</f>
        <v>02-034</v>
      </c>
      <c r="G188" s="242" t="str">
        <f>IF($D$127=5,$T$175,IF($D$127=6,$T$176,IF($D$127=8,$T$177,IF($D$127=10,$T$175,IF($D$127=12,$T$175,IF($D$127=14,$T$177,IF($D$127=18,$T$175,IF($D$127=20,$T$176,IF($D$127=22,"")))))))))</f>
        <v>M</v>
      </c>
      <c r="H188" s="261">
        <f>IF($D$127=5,$U$175,IF($D$127=6,$U$176,IF($D$127=8,$U$177,IF($D$127=10,$U$175*2,IF($D$127=12,$U$175,IF($D$127=14,$U$177*2,IF($D$127=18,$U$175,IF($D$127=20,$U$176,IF($D$127=22,"")))))))))</f>
        <v>22.3245</v>
      </c>
      <c r="I188" s="562">
        <f t="shared" si="36"/>
        <v>262.08962999999994</v>
      </c>
      <c r="J188" s="563"/>
      <c r="K188" s="444">
        <v>11.54</v>
      </c>
    </row>
    <row r="189" spans="1:23" s="1" customFormat="1" ht="18" customHeight="1">
      <c r="A189" s="201">
        <f t="shared" si="30"/>
        <v>17</v>
      </c>
      <c r="B189" s="241" t="str">
        <f>IF($D$127=5,$O$173,IF($D$127=6,$O$173,IF($D$127=8,$O$175,IF($D$127=10,"",IF($D$127=12,$O$174,IF($D$127=14,"",IF($D$127=18,$O$173,IF($D$127=20,$O$174,IF($D$127=22,"",)))))))))</f>
        <v>5,6,18 mm ยางรองกระจก</v>
      </c>
      <c r="C189" s="241" t="str">
        <f>IF($D$127=5,$P$173,IF($D$127=6,$P$173,IF($D$127=8,$P$175,IF($D$127=10,"",IF($D$127=12,$P$174,IF($D$127=14,"",IF($D$127=18,$P$173,IF($D$127=20,$P$174,IF($D$127=22,"",)))))))))</f>
        <v>5,6,18 mm CAPTIVE WEDGE</v>
      </c>
      <c r="D189" s="241" t="str">
        <f>IF($D$127=5,$Q$173,IF($D$127=6,$Q$173,IF($D$127=8,$Q$175,IF($D$127=10,"",IF($D$127=12,$Q$174,IF($D$127=14,"",IF($D$127=18,$Q$173,IF($D$127=20,$Q$174,IF($D$127=22,"",)))))))))</f>
        <v>02-022</v>
      </c>
      <c r="E189" s="241">
        <f t="shared" ref="E189" si="39">IF($D$127=5,R174,IF($D$127=6,R174,IF($D$127=8,R176,IF($D$127=10,"",IF($D$127=12,R175,IF($D$127=14,"",IF($D$127=18,R174,IF($D$127=20,R175,IF($D$127=22,"",)))))))))</f>
        <v>0</v>
      </c>
      <c r="F189" s="242" t="str">
        <f>IF($D$127=5,$S$173,IF($D$127=6,$S$173,IF($D$127=8,$S$175,IF($D$127=10,"",IF($D$127=12,$S$174,IF($D$127=14,"",IF($D$127=18,$S$173,IF($D$127=20,$S$174,IF($D$127=22,"",)))))))))</f>
        <v>02-022</v>
      </c>
      <c r="G189" s="242" t="str">
        <f>IF($D$127=5,$T$173,IF($D$127=6,$T$173,IF($D$127=8,$T$175,IF($D$127=10,"",IF($D$127=12,$T$174,IF($D$127=14,"",IF($D$127=18,$T$173,IF($D$127=20,$T$174,IF($D$127=22,"",)))))))))</f>
        <v>M</v>
      </c>
      <c r="H189" s="261">
        <f>IF($D$127=5,$U$173,IF($D$127=6,$U$173,IF($D$127=8,$U$175,IF($D$127=10,"",IF($D$127=12,$U$174,IF($D$127=14,"",IF($D$127=18,$U$173,IF($D$127=20,$U$174,IF($D$127=22,"")))))))))</f>
        <v>22.3245</v>
      </c>
      <c r="I189" s="562">
        <f t="shared" si="36"/>
        <v>220.11956999999998</v>
      </c>
      <c r="J189" s="563"/>
      <c r="K189" s="444">
        <v>9.66</v>
      </c>
    </row>
    <row r="190" spans="1:23" s="1" customFormat="1" ht="18" customHeight="1">
      <c r="A190" s="201" t="str">
        <f t="shared" si="30"/>
        <v/>
      </c>
      <c r="B190" s="140"/>
      <c r="C190" s="140"/>
      <c r="D190" s="139"/>
      <c r="E190" s="143"/>
      <c r="F190" s="143"/>
      <c r="G190" s="143"/>
      <c r="H190" s="446" t="s">
        <v>661</v>
      </c>
      <c r="I190" s="566">
        <f>SUM(I173:J189)</f>
        <v>10726.4928165</v>
      </c>
      <c r="J190" s="567"/>
      <c r="K190" s="445"/>
    </row>
    <row r="191" spans="1:23" s="1" customFormat="1" ht="18" customHeight="1">
      <c r="A191" s="201" t="str">
        <f t="shared" si="30"/>
        <v/>
      </c>
      <c r="B191" s="140"/>
      <c r="C191" s="140"/>
      <c r="D191" s="139"/>
      <c r="E191" s="143"/>
      <c r="F191" s="143"/>
      <c r="G191" s="143"/>
      <c r="H191" s="143"/>
      <c r="I191" s="130"/>
      <c r="J191" s="131">
        <f t="shared" ref="J191:J192" si="40">$J$120*H191</f>
        <v>0</v>
      </c>
    </row>
    <row r="192" spans="1:23" s="1" customFormat="1" ht="18" customHeight="1">
      <c r="A192" s="201" t="str">
        <f t="shared" si="30"/>
        <v/>
      </c>
      <c r="B192" s="140"/>
      <c r="C192" s="140"/>
      <c r="D192" s="139"/>
      <c r="E192" s="143"/>
      <c r="F192" s="143"/>
      <c r="G192" s="143"/>
      <c r="H192" s="143"/>
      <c r="I192" s="130"/>
      <c r="J192" s="131">
        <f t="shared" si="40"/>
        <v>0</v>
      </c>
    </row>
    <row r="193" spans="1:36" ht="18" customHeight="1">
      <c r="A193" s="201" t="str">
        <f t="shared" si="30"/>
        <v/>
      </c>
      <c r="B193" s="140"/>
      <c r="C193" s="140"/>
      <c r="D193" s="139"/>
      <c r="E193" s="143"/>
      <c r="F193" s="143"/>
      <c r="G193" s="143"/>
      <c r="H193" s="143"/>
      <c r="I193" s="130"/>
      <c r="J193" s="131">
        <f t="shared" ref="J193:J204" si="41">$J$120*H193</f>
        <v>0</v>
      </c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s="1" customFormat="1" ht="18" customHeight="1">
      <c r="A194" s="201" t="str">
        <f t="shared" si="30"/>
        <v/>
      </c>
      <c r="B194" s="140"/>
      <c r="C194" s="140"/>
      <c r="D194" s="139"/>
      <c r="E194" s="143"/>
      <c r="F194" s="143"/>
      <c r="G194" s="143"/>
      <c r="H194" s="143"/>
      <c r="I194" s="130"/>
      <c r="J194" s="131">
        <f t="shared" si="41"/>
        <v>0</v>
      </c>
    </row>
    <row r="195" spans="1:36" s="1" customFormat="1" ht="18" customHeight="1">
      <c r="A195" s="201" t="str">
        <f t="shared" si="30"/>
        <v/>
      </c>
      <c r="B195" s="140"/>
      <c r="C195" s="140"/>
      <c r="D195" s="139"/>
      <c r="E195" s="143"/>
      <c r="F195" s="143"/>
      <c r="G195" s="143"/>
      <c r="H195" s="143"/>
      <c r="I195" s="130"/>
      <c r="J195" s="131">
        <f t="shared" si="41"/>
        <v>0</v>
      </c>
    </row>
    <row r="196" spans="1:36" s="1" customFormat="1" ht="18" customHeight="1">
      <c r="A196" s="201" t="str">
        <f t="shared" si="30"/>
        <v/>
      </c>
      <c r="B196" s="140"/>
      <c r="C196" s="140"/>
      <c r="D196" s="139"/>
      <c r="E196" s="143"/>
      <c r="F196" s="143"/>
      <c r="G196" s="143"/>
      <c r="H196" s="143"/>
      <c r="I196" s="130"/>
      <c r="J196" s="131">
        <f t="shared" si="41"/>
        <v>0</v>
      </c>
    </row>
    <row r="197" spans="1:36" s="1" customFormat="1" ht="18" customHeight="1">
      <c r="A197" s="201" t="str">
        <f t="shared" si="30"/>
        <v/>
      </c>
      <c r="B197" s="140"/>
      <c r="C197" s="140"/>
      <c r="D197" s="139"/>
      <c r="E197" s="143"/>
      <c r="F197" s="143"/>
      <c r="G197" s="143"/>
      <c r="H197" s="143"/>
      <c r="I197" s="130"/>
      <c r="J197" s="131"/>
    </row>
    <row r="198" spans="1:36" s="1" customFormat="1" ht="18" customHeight="1">
      <c r="A198" s="201" t="str">
        <f t="shared" si="30"/>
        <v/>
      </c>
      <c r="B198" s="140"/>
      <c r="C198" s="140"/>
      <c r="D198" s="139"/>
      <c r="E198" s="143"/>
      <c r="F198" s="143"/>
      <c r="G198" s="143"/>
      <c r="H198" s="143"/>
      <c r="I198" s="130"/>
      <c r="J198" s="131"/>
    </row>
    <row r="199" spans="1:36" s="1" customFormat="1" ht="18" customHeight="1">
      <c r="A199" s="201" t="str">
        <f t="shared" si="30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 t="shared" si="41"/>
        <v>0</v>
      </c>
    </row>
    <row r="200" spans="1:36" s="1" customFormat="1" ht="18" customHeight="1">
      <c r="A200" s="201" t="str">
        <f t="shared" si="30"/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si="41"/>
        <v>0</v>
      </c>
    </row>
    <row r="201" spans="1:36" s="1" customFormat="1" ht="18" customHeight="1">
      <c r="A201" s="201" t="str">
        <f>IF(B201="","",+#REF!+1)</f>
        <v/>
      </c>
      <c r="B201" s="140"/>
      <c r="C201" s="140"/>
      <c r="D201" s="139"/>
      <c r="E201" s="143"/>
      <c r="F201" s="143"/>
      <c r="G201" s="143"/>
      <c r="H201" s="143"/>
      <c r="I201" s="130"/>
      <c r="J201" s="131"/>
    </row>
    <row r="202" spans="1:36" s="1" customFormat="1" ht="18" customHeight="1">
      <c r="A202" s="201" t="str">
        <f t="shared" si="30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si="41"/>
        <v>0</v>
      </c>
    </row>
    <row r="203" spans="1:36" s="1" customFormat="1" ht="18" customHeight="1">
      <c r="A203" s="201" t="str">
        <f t="shared" si="30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si="41"/>
        <v>0</v>
      </c>
    </row>
    <row r="204" spans="1:36" s="1" customFormat="1" ht="18" customHeight="1">
      <c r="A204" s="317" t="str">
        <f t="shared" ref="A204" si="42">IF(B204="","",+A203+1)</f>
        <v/>
      </c>
      <c r="B204" s="142"/>
      <c r="C204" s="142"/>
      <c r="D204" s="141"/>
      <c r="E204" s="240"/>
      <c r="F204" s="240"/>
      <c r="G204" s="240"/>
      <c r="H204" s="240"/>
      <c r="I204" s="136"/>
      <c r="J204" s="293">
        <f t="shared" si="41"/>
        <v>0</v>
      </c>
    </row>
    <row r="205" spans="1:36" s="1" customFormat="1" ht="18" customHeight="1">
      <c r="A205" s="25"/>
      <c r="B205" s="161"/>
      <c r="C205" s="33"/>
      <c r="D205" s="30"/>
      <c r="E205" s="17"/>
      <c r="F205" s="30"/>
      <c r="G205" s="30"/>
      <c r="H205" s="161"/>
      <c r="I205" s="24"/>
      <c r="J205" s="24"/>
    </row>
    <row r="206" spans="1:36" ht="18" customHeight="1">
      <c r="A206" s="17"/>
      <c r="J206" s="99" t="str">
        <f>LEFT($J$111,13)&amp;"-02"</f>
        <v>FG-240-4P2L2R-02</v>
      </c>
    </row>
    <row r="207" spans="1:36" ht="12.75" customHeight="1">
      <c r="B207" s="56"/>
      <c r="C207" s="56"/>
      <c r="D207" s="30"/>
      <c r="E207" s="17"/>
      <c r="F207" s="17"/>
      <c r="G207" s="17"/>
      <c r="H207" s="17"/>
      <c r="K207" s="7"/>
      <c r="L207" s="7"/>
      <c r="M207" s="2"/>
      <c r="N207" s="2"/>
    </row>
    <row r="208" spans="1:36" ht="30" customHeight="1">
      <c r="I208" s="95"/>
      <c r="J208" s="90" t="str">
        <f>$J$2</f>
        <v>HOMELIFE</v>
      </c>
      <c r="K208" s="11"/>
      <c r="L208" s="11"/>
      <c r="M208" s="2"/>
      <c r="N208" s="2"/>
    </row>
    <row r="209" spans="1:14" ht="24.9" customHeight="1">
      <c r="B209" s="190"/>
      <c r="C209" s="5"/>
      <c r="D209" s="95"/>
      <c r="E209" s="95"/>
      <c r="F209" s="95"/>
      <c r="G209" s="95"/>
      <c r="H209" s="95"/>
      <c r="I209" s="28"/>
      <c r="J209" s="91" t="str">
        <f>$J$3</f>
        <v>Fabricators Guide</v>
      </c>
      <c r="K209" s="11"/>
      <c r="L209" s="11"/>
      <c r="M209" s="2"/>
      <c r="N209" s="2"/>
    </row>
    <row r="210" spans="1:14" ht="24.9" customHeight="1">
      <c r="B210" s="190"/>
      <c r="C210" s="28"/>
      <c r="D210" s="28"/>
      <c r="E210" s="28"/>
      <c r="F210" s="28"/>
      <c r="G210" s="28"/>
      <c r="H210" s="28"/>
      <c r="I210" s="28"/>
      <c r="J210" s="91" t="str">
        <f>$J$4</f>
        <v xml:space="preserve">240 Series Bi Fold Door </v>
      </c>
      <c r="K210" s="48"/>
      <c r="L210" s="48"/>
      <c r="M210" s="4"/>
      <c r="N210" s="4"/>
    </row>
    <row r="211" spans="1:14" s="1" customFormat="1" ht="15" customHeight="1" thickBot="1">
      <c r="A211" s="78"/>
      <c r="B211" s="8"/>
      <c r="C211" s="28"/>
      <c r="D211" s="28"/>
      <c r="E211" s="28"/>
      <c r="F211" s="28"/>
      <c r="G211" s="28"/>
      <c r="H211" s="28"/>
      <c r="I211" s="78"/>
      <c r="J211" s="113"/>
      <c r="K211" s="4"/>
      <c r="L211" s="4"/>
      <c r="M211" s="4"/>
      <c r="N211" s="4"/>
    </row>
    <row r="212" spans="1:14" s="1" customFormat="1" ht="24.9" customHeight="1" thickBot="1">
      <c r="A212" s="502" t="s">
        <v>30</v>
      </c>
      <c r="B212" s="503"/>
      <c r="C212" s="503"/>
      <c r="D212" s="503"/>
      <c r="E212" s="503"/>
      <c r="F212" s="503"/>
      <c r="G212" s="503"/>
      <c r="H212" s="503"/>
      <c r="I212" s="503"/>
      <c r="J212" s="504"/>
      <c r="K212" s="56"/>
      <c r="L212" s="56"/>
      <c r="M212" s="56"/>
      <c r="N212" s="56"/>
    </row>
    <row r="214" spans="1:14" s="1" customFormat="1" ht="15" customHeight="1">
      <c r="A214" s="93"/>
      <c r="B214" s="93"/>
      <c r="C214" s="56"/>
      <c r="D214" s="30"/>
      <c r="E214" s="29"/>
      <c r="F214" s="160"/>
      <c r="G214"/>
      <c r="H214"/>
      <c r="I214" s="160"/>
      <c r="J214" s="116"/>
    </row>
    <row r="215" spans="1:14" s="1" customFormat="1" ht="15" customHeight="1">
      <c r="A215" s="17"/>
      <c r="B215" s="56"/>
      <c r="C215" s="89"/>
      <c r="D215" s="30"/>
      <c r="E215" s="29"/>
      <c r="F215" s="30"/>
      <c r="G215" s="160"/>
      <c r="H215" s="160"/>
      <c r="J215" s="17"/>
    </row>
    <row r="216" spans="1:14" s="1" customFormat="1" ht="15" customHeight="1">
      <c r="A216" s="17"/>
      <c r="B216" s="56"/>
      <c r="C216" s="328"/>
      <c r="D216" s="30"/>
      <c r="E216" s="29"/>
      <c r="F216" s="30"/>
      <c r="J216" s="17"/>
    </row>
    <row r="217" spans="1:14" s="1" customFormat="1" ht="15.6">
      <c r="A217" s="109"/>
      <c r="B217" s="33"/>
      <c r="C217" s="327"/>
      <c r="D217" s="161"/>
      <c r="E217" s="109"/>
      <c r="F217" s="161"/>
      <c r="H217" s="328"/>
      <c r="J217" s="109"/>
    </row>
    <row r="218" spans="1:14" s="1" customFormat="1" ht="15" customHeight="1">
      <c r="A218" s="93"/>
      <c r="B218" s="93"/>
      <c r="C218" s="56"/>
      <c r="D218" s="30"/>
      <c r="E218" s="29"/>
      <c r="F218" s="160"/>
      <c r="H218" s="328"/>
      <c r="I218" s="109"/>
      <c r="J218" s="109"/>
    </row>
    <row r="219" spans="1:14" s="1" customFormat="1" ht="15" customHeight="1">
      <c r="A219" s="17"/>
      <c r="B219" s="56"/>
      <c r="C219" s="89" t="s">
        <v>378</v>
      </c>
      <c r="D219" s="30"/>
      <c r="E219" s="29"/>
      <c r="F219" s="30"/>
      <c r="I219" s="109"/>
      <c r="J219" s="109"/>
    </row>
    <row r="220" spans="1:14" s="1" customFormat="1" ht="15" customHeight="1">
      <c r="A220" s="17"/>
      <c r="B220" s="56"/>
      <c r="C220" s="328" t="s">
        <v>275</v>
      </c>
      <c r="D220" s="30"/>
      <c r="E220" s="29"/>
      <c r="F220" s="30"/>
      <c r="H220" s="89"/>
      <c r="J220" s="12"/>
    </row>
    <row r="221" spans="1:14" s="1" customFormat="1" ht="15" customHeight="1">
      <c r="A221" s="109"/>
      <c r="B221" s="33"/>
      <c r="C221" s="327" t="s">
        <v>273</v>
      </c>
      <c r="D221" s="161"/>
      <c r="E221" s="109"/>
      <c r="F221" s="161"/>
      <c r="J221" s="12"/>
    </row>
    <row r="222" spans="1:14" s="1" customFormat="1" ht="15" customHeight="1">
      <c r="A222" s="109"/>
      <c r="B222" s="33"/>
      <c r="C222" s="374">
        <f>$I$133</f>
        <v>3215</v>
      </c>
      <c r="D222" s="161"/>
      <c r="E222" s="35"/>
      <c r="F222" s="161"/>
      <c r="G222" s="68"/>
      <c r="J222" s="12"/>
    </row>
    <row r="223" spans="1:14" s="1" customFormat="1" ht="15" customHeight="1">
      <c r="A223" s="109"/>
      <c r="B223" s="33"/>
      <c r="C223" s="363">
        <f>$J$133</f>
        <v>1</v>
      </c>
      <c r="D223" s="161"/>
      <c r="E223" s="35"/>
      <c r="F223" s="161"/>
      <c r="G223" s="326"/>
      <c r="I223" s="109"/>
      <c r="J223" s="109"/>
    </row>
    <row r="224" spans="1:14" s="1" customFormat="1" ht="15" customHeight="1">
      <c r="A224" s="109"/>
      <c r="B224" s="33"/>
      <c r="D224" s="161"/>
      <c r="E224" s="109"/>
      <c r="F224" s="161"/>
      <c r="G224" s="326"/>
      <c r="I224" s="109"/>
      <c r="J224" s="109"/>
    </row>
    <row r="225" spans="1:10" s="1" customFormat="1" ht="15.9" customHeight="1">
      <c r="A225" s="92"/>
      <c r="B225" s="92"/>
      <c r="C225" s="13"/>
      <c r="D225" s="161"/>
      <c r="E225" s="109"/>
      <c r="F225" s="161"/>
      <c r="G225" s="68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H226" s="109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32"/>
      <c r="J227" s="40"/>
    </row>
    <row r="228" spans="1:10" s="1" customFormat="1" ht="15.9" customHeight="1">
      <c r="A228" s="92"/>
      <c r="B228" s="92"/>
      <c r="C228" s="327"/>
      <c r="D228" s="161"/>
      <c r="E228" s="109"/>
      <c r="F228" s="161"/>
      <c r="H228" s="109"/>
      <c r="I228" s="188"/>
      <c r="J228" s="117"/>
    </row>
    <row r="229" spans="1:10" s="1" customFormat="1" ht="15.9" customHeight="1">
      <c r="A229" s="45"/>
      <c r="B229" s="45"/>
      <c r="D229" s="161"/>
      <c r="E229" s="109"/>
      <c r="F229" s="161"/>
      <c r="I229" s="188"/>
      <c r="J229" s="117"/>
    </row>
    <row r="230" spans="1:10" s="1" customFormat="1" ht="15.9" customHeight="1">
      <c r="A230" s="109"/>
      <c r="B230" s="109"/>
      <c r="D230" s="161"/>
      <c r="E230" s="109"/>
      <c r="F230" s="161"/>
      <c r="I230" s="188"/>
      <c r="J230" s="117"/>
    </row>
    <row r="231" spans="1:10" s="1" customFormat="1" ht="15.9" customHeight="1">
      <c r="A231" s="39"/>
      <c r="B231" s="38"/>
      <c r="D231" s="161"/>
      <c r="E231" s="109"/>
      <c r="F231" s="109"/>
      <c r="I231" s="188"/>
      <c r="J231" s="117"/>
    </row>
    <row r="232" spans="1:10" s="1" customFormat="1" ht="15.9" customHeight="1">
      <c r="A232" s="44"/>
      <c r="B232" s="44"/>
      <c r="C232" s="89" t="s">
        <v>369</v>
      </c>
      <c r="D232" s="84"/>
      <c r="E232" s="44"/>
      <c r="F232" s="44"/>
      <c r="G232" s="109"/>
      <c r="H232" s="109"/>
      <c r="I232" s="188"/>
      <c r="J232" s="117"/>
    </row>
    <row r="233" spans="1:10" s="1" customFormat="1" ht="15.9" customHeight="1">
      <c r="A233" s="40"/>
      <c r="B233" s="40"/>
      <c r="C233" s="328" t="s">
        <v>652</v>
      </c>
      <c r="D233" s="85"/>
      <c r="E233" s="40"/>
      <c r="F233" s="32"/>
      <c r="G233" s="109"/>
      <c r="H233" s="109"/>
      <c r="J233" s="12"/>
    </row>
    <row r="234" spans="1:10" s="1" customFormat="1" ht="15.9" customHeight="1">
      <c r="A234" s="109"/>
      <c r="B234" s="33"/>
      <c r="C234" s="433" t="s">
        <v>654</v>
      </c>
      <c r="D234" s="161"/>
      <c r="E234" s="109"/>
      <c r="F234" s="161"/>
      <c r="G234" s="109"/>
      <c r="H234" s="109"/>
      <c r="I234" s="109"/>
      <c r="J234" s="24"/>
    </row>
    <row r="235" spans="1:10" s="1" customFormat="1" ht="15.9" customHeight="1">
      <c r="A235" s="109"/>
      <c r="B235" s="33"/>
      <c r="C235" s="374">
        <f>$I$134</f>
        <v>3189</v>
      </c>
      <c r="D235" s="161"/>
      <c r="E235" s="109"/>
      <c r="F235" s="161"/>
      <c r="G235" s="109"/>
      <c r="H235" s="109"/>
      <c r="I235" s="24"/>
      <c r="J235" s="24"/>
    </row>
    <row r="236" spans="1:10" s="1" customFormat="1" ht="15.9" customHeight="1">
      <c r="A236" s="109"/>
      <c r="B236" s="33"/>
      <c r="C236" s="363">
        <f>$J$134</f>
        <v>1</v>
      </c>
      <c r="D236" s="161"/>
      <c r="E236" s="109"/>
      <c r="F236" s="161"/>
      <c r="G236" s="109"/>
      <c r="H236" s="107"/>
      <c r="I236" s="89"/>
      <c r="J236" s="118"/>
    </row>
    <row r="237" spans="1:10" s="1" customFormat="1" ht="15.9" customHeight="1">
      <c r="A237" s="109"/>
      <c r="B237" s="33"/>
      <c r="C237" s="44"/>
      <c r="D237" s="161"/>
      <c r="E237" s="109"/>
      <c r="F237" s="161"/>
      <c r="G237" s="109"/>
      <c r="H237" s="107"/>
      <c r="I237" s="188"/>
      <c r="J237" s="117"/>
    </row>
    <row r="238" spans="1:10" s="1" customFormat="1" ht="15.9" customHeight="1">
      <c r="A238" s="109"/>
      <c r="B238" s="33"/>
      <c r="D238" s="161"/>
      <c r="E238" s="109"/>
      <c r="F238" s="161"/>
      <c r="G238" s="109"/>
      <c r="H238" s="109"/>
      <c r="I238" s="188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4"/>
      <c r="J239" s="24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36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109"/>
      <c r="I241" s="109"/>
      <c r="J241" s="24"/>
    </row>
    <row r="242" spans="1:10" s="1" customFormat="1" ht="15.9" customHeight="1">
      <c r="A242" s="109"/>
      <c r="B242" s="33"/>
      <c r="C242" s="89" t="s">
        <v>370</v>
      </c>
      <c r="D242" s="161"/>
      <c r="E242" s="109"/>
      <c r="F242" s="161"/>
      <c r="G242" s="109"/>
      <c r="H242" s="109"/>
      <c r="I242" s="24"/>
      <c r="J242" s="24"/>
    </row>
    <row r="243" spans="1:10" s="1" customFormat="1" ht="15.9" customHeight="1">
      <c r="A243" s="109"/>
      <c r="B243" s="33"/>
      <c r="C243" s="328" t="s">
        <v>275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" customHeight="1">
      <c r="A244" s="109"/>
      <c r="B244" s="33"/>
      <c r="C244" s="327" t="s">
        <v>273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.9" customHeight="1">
      <c r="A245" s="109"/>
      <c r="B245" s="33"/>
      <c r="C245" s="374">
        <f>$I$135</f>
        <v>3215</v>
      </c>
      <c r="D245" s="161"/>
      <c r="E245" s="109"/>
      <c r="F245" s="161"/>
      <c r="G245" s="109"/>
      <c r="H245" s="109"/>
      <c r="I245" s="44"/>
      <c r="J245" s="119"/>
    </row>
    <row r="246" spans="1:10" s="1" customFormat="1" ht="15.9" customHeight="1">
      <c r="A246" s="109"/>
      <c r="B246" s="33"/>
      <c r="C246" s="363">
        <f>$J$135</f>
        <v>1</v>
      </c>
      <c r="D246" s="161"/>
      <c r="E246" s="109"/>
      <c r="F246" s="161"/>
      <c r="G246" s="109"/>
      <c r="H246" s="109"/>
      <c r="I246" s="32"/>
      <c r="J246" s="40"/>
    </row>
    <row r="247" spans="1:10" s="1" customFormat="1" ht="15.9" customHeight="1">
      <c r="A247" s="109"/>
      <c r="B247" s="33"/>
      <c r="C247" s="161"/>
      <c r="D247" s="161"/>
      <c r="E247" s="109"/>
      <c r="F247" s="161"/>
      <c r="G247" s="109"/>
      <c r="H247" s="109"/>
      <c r="J247" s="12"/>
    </row>
    <row r="248" spans="1:10" s="1" customFormat="1" ht="15.9" customHeight="1">
      <c r="A248" s="109"/>
      <c r="B248" s="33"/>
      <c r="C248" s="33"/>
      <c r="D248" s="161"/>
      <c r="E248" s="109"/>
      <c r="F248" s="109"/>
      <c r="G248" s="44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0"/>
      <c r="H250" s="109"/>
      <c r="I250" s="24"/>
      <c r="J250" s="24"/>
    </row>
    <row r="251" spans="1:10" s="1" customFormat="1" ht="15.9" customHeight="1">
      <c r="A251" s="109"/>
      <c r="B251" s="33"/>
      <c r="D251" s="161"/>
      <c r="E251" s="109"/>
      <c r="F251" s="109"/>
      <c r="G251" s="109"/>
      <c r="H251" s="109"/>
      <c r="I251" s="24"/>
      <c r="J251" s="24"/>
    </row>
    <row r="252" spans="1:10" s="1" customFormat="1" ht="15.9" customHeight="1">
      <c r="A252" s="44"/>
      <c r="B252" s="44"/>
      <c r="D252" s="84"/>
      <c r="E252" s="44"/>
      <c r="F252" s="44"/>
      <c r="G252" s="109"/>
      <c r="H252" s="109"/>
      <c r="I252" s="24"/>
      <c r="J252" s="24"/>
    </row>
    <row r="253" spans="1:10" s="1" customFormat="1" ht="15.9" customHeight="1">
      <c r="A253" s="40"/>
      <c r="B253" s="40"/>
      <c r="C253" s="89" t="s">
        <v>371</v>
      </c>
      <c r="D253" s="85"/>
      <c r="E253" s="40"/>
      <c r="F253" s="32"/>
      <c r="G253" s="109"/>
      <c r="I253" s="24"/>
      <c r="J253" s="24"/>
    </row>
    <row r="254" spans="1:10" s="1" customFormat="1" ht="15.9" customHeight="1">
      <c r="A254" s="27"/>
      <c r="B254" s="33"/>
      <c r="C254" s="328" t="s">
        <v>275</v>
      </c>
      <c r="D254" s="161"/>
      <c r="E254" s="109"/>
      <c r="F254" s="109"/>
      <c r="G254" s="109"/>
      <c r="I254" s="24"/>
      <c r="J254" s="24"/>
    </row>
    <row r="255" spans="1:10" s="1" customFormat="1" ht="15.9" customHeight="1">
      <c r="A255" s="27"/>
      <c r="B255" s="33"/>
      <c r="C255" s="327" t="s">
        <v>273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74">
        <f>$I$136</f>
        <v>3215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63">
        <f>$J$136</f>
        <v>1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3"/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46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161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33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89" t="s">
        <v>373</v>
      </c>
      <c r="D263" s="161"/>
      <c r="E263" s="109"/>
      <c r="F263" s="109"/>
      <c r="G263" s="109"/>
      <c r="H263" s="109"/>
      <c r="I263" s="24"/>
      <c r="J263" s="24"/>
    </row>
    <row r="264" spans="1:10" s="1" customFormat="1" ht="15.9" customHeight="1">
      <c r="A264" s="27"/>
      <c r="B264" s="33"/>
      <c r="C264" s="328" t="s">
        <v>379</v>
      </c>
      <c r="D264" s="328"/>
      <c r="E264" s="328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7" t="s">
        <v>279</v>
      </c>
      <c r="D265" s="327"/>
      <c r="E265" s="327"/>
      <c r="F265" s="109"/>
      <c r="G265" s="109"/>
      <c r="H265" s="109"/>
      <c r="J265" s="12"/>
    </row>
    <row r="266" spans="1:10" s="1" customFormat="1" ht="15.9" customHeight="1">
      <c r="A266" s="27"/>
      <c r="B266" s="33"/>
      <c r="C266" s="374">
        <f>$I$137</f>
        <v>2195</v>
      </c>
      <c r="D266" s="161"/>
      <c r="E266" s="109"/>
      <c r="F266" s="109"/>
      <c r="G266" s="33"/>
      <c r="H266" s="33"/>
      <c r="J266" s="12"/>
    </row>
    <row r="267" spans="1:10" s="1" customFormat="1" ht="15.9" customHeight="1">
      <c r="A267" s="27"/>
      <c r="B267" s="33"/>
      <c r="C267" s="363">
        <f>$J$137+$J$138</f>
        <v>2</v>
      </c>
      <c r="D267" s="161"/>
      <c r="E267" s="109"/>
      <c r="F267" s="109"/>
      <c r="G267" s="109"/>
      <c r="H267" s="109"/>
      <c r="J267" s="12"/>
    </row>
    <row r="268" spans="1:10" s="1" customFormat="1" ht="15.9" customHeight="1">
      <c r="A268" s="27"/>
      <c r="B268" s="33"/>
      <c r="D268" s="89"/>
      <c r="E268" s="8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D271" s="328"/>
      <c r="E271" s="328"/>
      <c r="F271" s="109"/>
      <c r="G271" s="109"/>
      <c r="H271" s="109"/>
      <c r="J271" s="12"/>
    </row>
    <row r="272" spans="1:10" s="1" customFormat="1" ht="15.9" customHeight="1">
      <c r="A272" s="27"/>
      <c r="B272" s="33"/>
      <c r="D272" s="328"/>
      <c r="E272" s="328"/>
      <c r="F272" s="109"/>
      <c r="G272" s="109"/>
      <c r="I272" s="24"/>
      <c r="J272" s="24"/>
    </row>
    <row r="273" spans="1:10" s="1" customFormat="1" ht="15.9" customHeight="1">
      <c r="A273" s="27"/>
      <c r="B273" s="33"/>
      <c r="C273" s="33"/>
      <c r="D273" s="161"/>
      <c r="E273" s="109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89" t="s">
        <v>374</v>
      </c>
      <c r="D274" s="162"/>
      <c r="E274" s="24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328" t="s">
        <v>649</v>
      </c>
      <c r="D275" s="328"/>
      <c r="E275" s="328"/>
      <c r="F275" s="109"/>
      <c r="G275" s="109"/>
      <c r="I275" s="109"/>
      <c r="J275" s="24"/>
    </row>
    <row r="276" spans="1:10" s="1" customFormat="1" ht="15.9" customHeight="1">
      <c r="A276" s="27"/>
      <c r="B276" s="33"/>
      <c r="C276" s="433" t="s">
        <v>650</v>
      </c>
      <c r="D276" s="327"/>
      <c r="E276" s="327"/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374">
        <f>$I$139</f>
        <v>2099</v>
      </c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363">
        <f>$J$139+$J$140</f>
        <v>2</v>
      </c>
      <c r="F278" s="109"/>
      <c r="G278" s="109"/>
      <c r="I278" s="109"/>
      <c r="J278" s="24"/>
    </row>
    <row r="279" spans="1:10" s="1" customFormat="1" ht="15.9" customHeight="1">
      <c r="A279" s="27"/>
      <c r="B279" s="33"/>
      <c r="F279" s="109"/>
      <c r="G279" s="109"/>
      <c r="H279" s="109"/>
      <c r="J279" s="12"/>
    </row>
    <row r="280" spans="1:10" s="1" customFormat="1" ht="15.9" customHeight="1">
      <c r="A280" s="27"/>
      <c r="B280" s="33"/>
      <c r="F280" s="109"/>
      <c r="G280" s="109"/>
      <c r="H280" s="109"/>
      <c r="J280" s="12"/>
    </row>
    <row r="281" spans="1:10" s="1" customFormat="1" ht="15.9" customHeight="1">
      <c r="A281" s="27"/>
      <c r="B281" s="33"/>
      <c r="C281" s="33"/>
      <c r="D281" s="161"/>
      <c r="E281" s="109"/>
      <c r="F281" s="109"/>
      <c r="G281" s="109"/>
      <c r="H281" s="109"/>
      <c r="J281" s="12"/>
    </row>
    <row r="282" spans="1:10" s="1" customFormat="1" ht="15.9" customHeight="1">
      <c r="A282" s="27"/>
      <c r="B282" s="33"/>
      <c r="F282" s="109"/>
      <c r="G282" s="109"/>
      <c r="H282" s="109"/>
      <c r="J282" s="12"/>
    </row>
    <row r="283" spans="1:10" s="1" customFormat="1" ht="15.9" customHeight="1">
      <c r="A283" s="27"/>
      <c r="B283" s="33"/>
      <c r="F283" s="109"/>
      <c r="G283" s="109"/>
      <c r="H283" s="109"/>
      <c r="I283" s="162"/>
      <c r="J283" s="24"/>
    </row>
    <row r="284" spans="1:10" s="1" customFormat="1" ht="15.9" customHeight="1">
      <c r="A284" s="27"/>
      <c r="B284" s="33"/>
      <c r="C284" s="89" t="s">
        <v>375</v>
      </c>
      <c r="F284" s="109"/>
      <c r="G284" s="109"/>
      <c r="H284" s="109"/>
      <c r="I284" s="109"/>
      <c r="J284" s="24"/>
    </row>
    <row r="285" spans="1:10" s="1" customFormat="1" ht="15.9" customHeight="1">
      <c r="A285" s="27"/>
      <c r="B285" s="33"/>
      <c r="C285" s="94" t="s">
        <v>416</v>
      </c>
      <c r="D285" s="161"/>
      <c r="E285" s="109"/>
      <c r="F285" s="109"/>
      <c r="G285" s="109"/>
      <c r="H285" s="109"/>
      <c r="I285" s="24"/>
      <c r="J285" s="24"/>
    </row>
    <row r="286" spans="1:10" s="1" customFormat="1" ht="15.9" customHeight="1">
      <c r="A286" s="27"/>
      <c r="B286" s="33"/>
      <c r="C286" s="327" t="s">
        <v>417</v>
      </c>
      <c r="D286" s="161"/>
      <c r="E286" s="109"/>
      <c r="F286" s="109"/>
      <c r="G286" s="109"/>
      <c r="H286" s="109"/>
      <c r="I286" s="24"/>
      <c r="J286" s="24"/>
    </row>
    <row r="287" spans="1:10" s="1" customFormat="1" ht="15.9" customHeight="1">
      <c r="A287" s="27"/>
      <c r="B287" s="33"/>
      <c r="C287" s="328" t="s">
        <v>281</v>
      </c>
      <c r="D287" s="328"/>
      <c r="E287" s="328"/>
      <c r="F287" s="109"/>
      <c r="G287" s="109"/>
      <c r="I287" s="24"/>
      <c r="J287" s="24"/>
    </row>
    <row r="288" spans="1:10" s="23" customFormat="1" ht="15.9" customHeight="1">
      <c r="A288" s="27"/>
      <c r="B288" s="33"/>
      <c r="C288" s="327" t="s">
        <v>282</v>
      </c>
      <c r="D288" s="327"/>
      <c r="E288" s="327"/>
      <c r="F288" s="109"/>
      <c r="G288" s="109"/>
      <c r="H288" s="1"/>
      <c r="I288" s="109"/>
      <c r="J288" s="109"/>
    </row>
    <row r="289" spans="1:10" s="1" customFormat="1" ht="15.9" customHeight="1">
      <c r="A289" s="27"/>
      <c r="B289" s="33"/>
      <c r="C289" s="374">
        <f>$I$141</f>
        <v>687.5625</v>
      </c>
      <c r="F289" s="109"/>
      <c r="G289" s="109"/>
      <c r="I289" s="44"/>
      <c r="J289" s="119"/>
    </row>
    <row r="290" spans="1:10" s="1" customFormat="1" ht="15.9" customHeight="1">
      <c r="A290" s="27"/>
      <c r="B290" s="33"/>
      <c r="C290" s="363">
        <f>$J$141+$J$142</f>
        <v>8</v>
      </c>
      <c r="D290" s="161"/>
      <c r="E290" s="109"/>
      <c r="F290" s="109"/>
      <c r="G290" s="109"/>
      <c r="H290" s="161"/>
      <c r="I290" s="32"/>
      <c r="J290" s="40"/>
    </row>
    <row r="291" spans="1:10" s="1" customFormat="1" ht="15.9" customHeight="1">
      <c r="A291" s="27"/>
      <c r="B291" s="33"/>
      <c r="C291" s="374">
        <f>$I$143</f>
        <v>2103</v>
      </c>
      <c r="D291" s="161"/>
      <c r="E291" s="109"/>
      <c r="F291" s="109"/>
      <c r="G291" s="109"/>
      <c r="H291" s="109"/>
      <c r="I291" s="24"/>
      <c r="J291" s="24"/>
    </row>
    <row r="292" spans="1:10" s="1" customFormat="1" ht="15.9" customHeight="1">
      <c r="A292" s="27"/>
      <c r="B292" s="33"/>
      <c r="C292" s="363">
        <f>$J$143+$J$144+$J$145</f>
        <v>8</v>
      </c>
      <c r="D292" s="161"/>
      <c r="E292" s="109"/>
      <c r="F292" s="109"/>
      <c r="G292" s="109"/>
      <c r="H292" s="109"/>
      <c r="I292" s="24"/>
      <c r="J292" s="24"/>
    </row>
    <row r="293" spans="1:10" s="1" customFormat="1" ht="15.9" customHeight="1">
      <c r="A293" s="27"/>
      <c r="B293" s="33"/>
      <c r="D293" s="161"/>
      <c r="E293" s="109"/>
      <c r="F293" s="109"/>
      <c r="G293" s="109"/>
      <c r="H293" s="109"/>
      <c r="I293" s="24"/>
      <c r="J293" s="24"/>
    </row>
    <row r="294" spans="1:10" s="1" customFormat="1" ht="15.9" customHeight="1">
      <c r="A294" s="27"/>
      <c r="B294" s="33"/>
      <c r="C294" s="33"/>
      <c r="D294" s="161"/>
      <c r="E294" s="109"/>
      <c r="F294" s="109"/>
      <c r="G294" s="109"/>
      <c r="H294" s="109"/>
      <c r="I294" s="109"/>
      <c r="J294" s="24"/>
    </row>
    <row r="295" spans="1:10" s="1" customFormat="1" ht="15.9" customHeight="1">
      <c r="A295" s="27"/>
      <c r="B295" s="33"/>
      <c r="C295" s="23"/>
      <c r="D295" s="161"/>
      <c r="E295" s="109"/>
      <c r="F295" s="109"/>
      <c r="G295" s="109"/>
      <c r="H295" s="109"/>
      <c r="I295" s="109"/>
      <c r="J295" s="24"/>
    </row>
    <row r="296" spans="1:10" s="1" customFormat="1" ht="15.9" customHeight="1">
      <c r="A296" s="27"/>
      <c r="B296" s="33"/>
      <c r="C296" s="89" t="s">
        <v>376</v>
      </c>
      <c r="D296" s="161"/>
      <c r="E296" s="109"/>
      <c r="F296" s="109"/>
      <c r="G296" s="109"/>
      <c r="H296" s="109"/>
      <c r="I296" s="109"/>
      <c r="J296" s="24"/>
    </row>
    <row r="297" spans="1:10" s="1" customFormat="1" ht="15.9" customHeight="1">
      <c r="A297" s="27"/>
      <c r="B297" s="33"/>
      <c r="C297" s="94" t="s">
        <v>416</v>
      </c>
      <c r="D297" s="161"/>
      <c r="E297" s="109"/>
      <c r="F297" s="109"/>
      <c r="G297" s="44"/>
      <c r="H297" s="44"/>
      <c r="I297" s="109"/>
      <c r="J297" s="24"/>
    </row>
    <row r="298" spans="1:10" s="1" customFormat="1" ht="15.9" customHeight="1">
      <c r="A298" s="27"/>
      <c r="B298" s="33"/>
      <c r="C298" s="327" t="s">
        <v>418</v>
      </c>
      <c r="D298" s="328"/>
      <c r="E298" s="328"/>
      <c r="F298" s="109"/>
      <c r="G298" s="40"/>
      <c r="H298" s="32"/>
      <c r="I298" s="109"/>
      <c r="J298" s="24"/>
    </row>
    <row r="299" spans="1:10" s="1" customFormat="1" ht="15.9" customHeight="1">
      <c r="A299" s="41"/>
      <c r="B299" s="33"/>
      <c r="C299" s="328" t="s">
        <v>286</v>
      </c>
      <c r="D299" s="327"/>
      <c r="E299" s="327"/>
      <c r="F299" s="109"/>
      <c r="G299" s="109"/>
      <c r="H299" s="109"/>
      <c r="I299" s="109"/>
      <c r="J299" s="24"/>
    </row>
    <row r="300" spans="1:10" s="1" customFormat="1" ht="15.9" customHeight="1">
      <c r="A300" s="44"/>
      <c r="B300" s="44"/>
      <c r="C300" s="327" t="s">
        <v>285</v>
      </c>
      <c r="D300" s="86"/>
      <c r="E300" s="79"/>
      <c r="F300" s="44"/>
      <c r="G300" s="109"/>
      <c r="H300" s="109"/>
      <c r="I300" s="109"/>
      <c r="J300" s="24"/>
    </row>
    <row r="301" spans="1:10" s="1" customFormat="1" ht="15.9" customHeight="1">
      <c r="A301" s="40"/>
      <c r="B301" s="40"/>
      <c r="C301" s="374">
        <f>$I$146</f>
        <v>687.5625</v>
      </c>
      <c r="D301" s="87"/>
      <c r="E301" s="80"/>
      <c r="F301" s="32"/>
      <c r="G301" s="109"/>
      <c r="H301" s="109"/>
      <c r="I301" s="109"/>
      <c r="J301" s="24"/>
    </row>
    <row r="302" spans="1:10" s="1" customFormat="1" ht="15.9" customHeight="1">
      <c r="A302" s="109"/>
      <c r="B302" s="33"/>
      <c r="C302" s="363">
        <f>$J$146</f>
        <v>8</v>
      </c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C303" s="374">
        <f>$I$147</f>
        <v>1953</v>
      </c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C304" s="363">
        <f>$J$147</f>
        <v>8</v>
      </c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C305" s="374"/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C306" s="363"/>
      <c r="D306" s="15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D307" s="15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89"/>
      <c r="D308" s="161"/>
      <c r="E308" s="109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89"/>
      <c r="D309" s="161"/>
      <c r="E309" s="109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D310" s="15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D311" s="15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25"/>
      <c r="B313" s="33"/>
      <c r="D313" s="162"/>
      <c r="E313" s="24"/>
      <c r="F313" s="109"/>
      <c r="G313" s="109"/>
      <c r="H313" s="109"/>
      <c r="I313" s="27"/>
      <c r="J313" s="99" t="str">
        <f>LEFT($J$111,13)&amp;"-03"</f>
        <v>FG-240-4P2L2R-03</v>
      </c>
    </row>
    <row r="314" spans="1:14" ht="12.75" customHeight="1">
      <c r="A314" s="17"/>
      <c r="B314" s="26"/>
      <c r="C314" s="26"/>
      <c r="D314" s="83"/>
      <c r="E314" s="25"/>
      <c r="F314" s="25"/>
      <c r="G314" s="25"/>
      <c r="H314" s="25"/>
      <c r="I314" s="179"/>
      <c r="J314" s="179"/>
    </row>
    <row r="315" spans="1:14" ht="30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90" t="str">
        <f>$J$2</f>
        <v>HOMELIFE</v>
      </c>
    </row>
    <row r="316" spans="1:14" ht="24.9" customHeight="1">
      <c r="B316" s="190"/>
      <c r="C316" s="5"/>
      <c r="D316" s="95"/>
      <c r="E316" s="95"/>
      <c r="F316" s="95"/>
      <c r="G316" s="95"/>
      <c r="H316" s="95"/>
      <c r="I316" s="28"/>
      <c r="J316" s="91" t="str">
        <f>$J$3</f>
        <v>Fabricators Guide</v>
      </c>
      <c r="K316" s="11"/>
      <c r="L316" s="11"/>
      <c r="M316" s="2"/>
      <c r="N316" s="2"/>
    </row>
    <row r="317" spans="1:14" ht="24.9" customHeight="1">
      <c r="B317" s="190"/>
      <c r="C317" s="28"/>
      <c r="D317" s="28"/>
      <c r="E317" s="28"/>
      <c r="F317" s="28"/>
      <c r="G317" s="28"/>
      <c r="H317" s="28"/>
      <c r="I317" s="28"/>
      <c r="J317" s="91" t="str">
        <f>$J$4</f>
        <v xml:space="preserve">240 Series Bi Fold Door </v>
      </c>
      <c r="K317" s="48"/>
      <c r="L317" s="48"/>
      <c r="M317" s="4"/>
      <c r="N317" s="4"/>
    </row>
    <row r="318" spans="1:14" s="1" customFormat="1" ht="15" customHeight="1" thickBot="1">
      <c r="A318" s="78"/>
      <c r="B318" s="8"/>
      <c r="C318" s="28"/>
      <c r="D318" s="28"/>
      <c r="E318" s="28"/>
      <c r="F318" s="28"/>
      <c r="G318" s="28"/>
      <c r="H318" s="28"/>
      <c r="I318" s="78"/>
      <c r="J318" s="113"/>
      <c r="K318" s="4"/>
      <c r="L318" s="4"/>
      <c r="M318" s="4"/>
      <c r="N318" s="4"/>
    </row>
    <row r="319" spans="1:14" ht="24.9" customHeight="1" thickBot="1">
      <c r="A319" s="502" t="s">
        <v>33</v>
      </c>
      <c r="B319" s="503"/>
      <c r="C319" s="503"/>
      <c r="D319" s="503"/>
      <c r="E319" s="503"/>
      <c r="F319" s="503"/>
      <c r="G319" s="503"/>
      <c r="H319" s="503"/>
      <c r="I319" s="503"/>
      <c r="J319" s="504"/>
      <c r="K319" s="4"/>
      <c r="L319" s="4"/>
      <c r="M319" s="4"/>
      <c r="N319" s="4"/>
    </row>
    <row r="321" spans="1:10" s="1" customFormat="1" ht="15" customHeight="1">
      <c r="A321" s="63"/>
      <c r="B321"/>
      <c r="C321"/>
      <c r="D321" s="81"/>
      <c r="E321"/>
      <c r="F321"/>
      <c r="G321"/>
      <c r="H321"/>
      <c r="I321" s="160"/>
      <c r="J321" s="116"/>
    </row>
    <row r="322" spans="1:10" s="1" customFormat="1" ht="15" customHeight="1">
      <c r="A322" s="17"/>
      <c r="B322" s="72"/>
      <c r="C322" s="56"/>
      <c r="D322" s="30"/>
      <c r="E322" s="29"/>
      <c r="F322" s="160"/>
      <c r="G322" s="160"/>
      <c r="H322" s="160"/>
      <c r="I322" s="31"/>
      <c r="J322" s="17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09"/>
      <c r="B325" s="56"/>
      <c r="C325" s="30"/>
      <c r="D325" s="30"/>
      <c r="E325" s="29"/>
      <c r="F325" s="30"/>
      <c r="G325" s="17"/>
      <c r="H325" s="31"/>
      <c r="I325" s="109"/>
      <c r="J325" s="109"/>
    </row>
    <row r="326" spans="1:10" s="1" customFormat="1" ht="15" customHeight="1">
      <c r="A326" s="109"/>
      <c r="B326" s="33"/>
      <c r="C326" s="161"/>
      <c r="D326" s="161"/>
      <c r="E326" s="109"/>
      <c r="F326" s="161"/>
      <c r="G326" s="109"/>
      <c r="H326" s="34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35"/>
      <c r="F327" s="163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1"/>
      <c r="G328" s="109"/>
      <c r="H328" s="34"/>
      <c r="I328" s="42"/>
      <c r="J328" s="109"/>
    </row>
    <row r="329" spans="1:10" s="1" customFormat="1" ht="15" customHeight="1">
      <c r="A329" s="39"/>
      <c r="B329" s="33"/>
      <c r="C329" s="42"/>
      <c r="D329" s="161"/>
      <c r="E329" s="109"/>
      <c r="F329" s="505"/>
      <c r="G329" s="505"/>
      <c r="H329" s="187"/>
      <c r="I329" s="163"/>
      <c r="J329" s="109"/>
    </row>
    <row r="330" spans="1:10" s="1" customFormat="1" ht="15" customHeight="1">
      <c r="A330" s="92"/>
      <c r="B330" s="39"/>
      <c r="C330" s="163"/>
      <c r="D330" s="161"/>
      <c r="E330" s="109"/>
      <c r="F330" s="507"/>
      <c r="G330" s="507"/>
      <c r="H330" s="187"/>
      <c r="I330" s="161"/>
      <c r="J330" s="109"/>
    </row>
    <row r="331" spans="1:10" s="1" customFormat="1" ht="15" customHeight="1">
      <c r="A331" s="64" t="str">
        <f>A18</f>
        <v>240-4 Panel (2L2R)</v>
      </c>
      <c r="B331" s="92"/>
      <c r="C331" s="161"/>
      <c r="D331" s="161"/>
      <c r="E331" s="109"/>
      <c r="F331" s="187"/>
      <c r="G331" s="187"/>
      <c r="H331" s="187"/>
      <c r="I331" s="109"/>
      <c r="J331" s="109"/>
    </row>
    <row r="332" spans="1:10" s="1" customFormat="1" ht="15" customHeight="1">
      <c r="A332" s="76" t="str">
        <f>A19</f>
        <v xml:space="preserve">Outside Bi Fold Door </v>
      </c>
      <c r="B332" s="92"/>
      <c r="C332" s="161"/>
      <c r="D332" s="161"/>
      <c r="E332" s="109"/>
      <c r="F332" s="187"/>
      <c r="G332" s="187"/>
      <c r="H332" s="187"/>
      <c r="I332" s="109"/>
      <c r="J332" s="109"/>
    </row>
    <row r="333" spans="1:10" s="1" customFormat="1" ht="15.9" customHeight="1">
      <c r="A333" s="109"/>
      <c r="B333" s="45"/>
      <c r="C333" s="42"/>
      <c r="D333" s="161"/>
      <c r="E333" s="109"/>
      <c r="F333" s="507"/>
      <c r="G333" s="507"/>
      <c r="H333" s="187"/>
      <c r="I333" s="109"/>
      <c r="J333" s="109"/>
    </row>
    <row r="334" spans="1:10" s="1" customFormat="1" ht="15.9" customHeight="1">
      <c r="A334" s="39"/>
      <c r="B334" s="109"/>
      <c r="C334" s="161"/>
      <c r="D334" s="161"/>
      <c r="E334" s="109"/>
      <c r="F334" s="37"/>
      <c r="G334" s="38"/>
      <c r="H334" s="109"/>
      <c r="I334" s="109"/>
      <c r="J334" s="109"/>
    </row>
    <row r="335" spans="1:10" s="1" customFormat="1" ht="15.9" customHeight="1">
      <c r="A335" s="44"/>
      <c r="C335" s="43"/>
      <c r="D335" s="161"/>
      <c r="E335" s="109"/>
      <c r="F335" s="109"/>
      <c r="G335" s="109"/>
      <c r="H335" s="109"/>
      <c r="I335" s="44"/>
      <c r="J335" s="119"/>
    </row>
    <row r="336" spans="1:10" s="1" customFormat="1" ht="15.9" customHeight="1">
      <c r="A336" s="40"/>
      <c r="C336" s="44"/>
      <c r="D336" s="84"/>
      <c r="E336" s="44"/>
      <c r="F336" s="44"/>
      <c r="G336" s="44"/>
      <c r="H336" s="44"/>
      <c r="I336" s="32"/>
      <c r="J336" s="40"/>
    </row>
    <row r="337" spans="1:10" s="1" customFormat="1" ht="15.9" customHeight="1">
      <c r="A337" s="109"/>
      <c r="C337" s="161"/>
      <c r="D337" s="85"/>
      <c r="E337" s="40"/>
      <c r="F337" s="32"/>
      <c r="G337" s="40"/>
      <c r="H337" s="32"/>
      <c r="I337" s="24"/>
      <c r="J337" s="24"/>
    </row>
    <row r="338" spans="1:10" s="1" customFormat="1" ht="15.9" customHeight="1">
      <c r="A338" s="109"/>
      <c r="C338" s="163"/>
      <c r="D338" s="161"/>
      <c r="E338" s="109"/>
      <c r="F338" s="161"/>
      <c r="G338" s="109"/>
      <c r="H338" s="109"/>
      <c r="I338" s="24"/>
      <c r="J338" s="24"/>
    </row>
    <row r="339" spans="1:10" s="1" customFormat="1" ht="15.9" customHeight="1">
      <c r="A339" s="109"/>
      <c r="B339" s="33"/>
      <c r="C339" s="161"/>
      <c r="D339" s="161"/>
      <c r="E339" s="109"/>
      <c r="F339" s="161"/>
      <c r="G339" s="109"/>
      <c r="H339" s="109"/>
      <c r="I339" s="162"/>
      <c r="J339" s="162"/>
    </row>
    <row r="340" spans="1:10" s="1" customFormat="1" ht="15.9" customHeight="1">
      <c r="A340" s="109"/>
      <c r="B340" s="33"/>
      <c r="C340" s="44"/>
      <c r="D340" s="161"/>
      <c r="E340" s="109"/>
      <c r="F340" s="161"/>
      <c r="G340" s="109"/>
      <c r="H340" s="162"/>
      <c r="I340" s="161"/>
      <c r="J340" s="161"/>
    </row>
    <row r="341" spans="1:10" s="1" customFormat="1" ht="15.9" customHeight="1">
      <c r="A341" s="109"/>
      <c r="B341" s="33"/>
      <c r="C341" s="42"/>
      <c r="D341" s="161"/>
      <c r="E341" s="109"/>
      <c r="F341" s="161"/>
      <c r="G341" s="109"/>
      <c r="H341" s="161"/>
      <c r="I341" s="161"/>
      <c r="J341" s="161"/>
    </row>
    <row r="342" spans="1:10" s="1" customFormat="1" ht="15.9" customHeight="1">
      <c r="A342" s="109"/>
      <c r="B342" s="33"/>
      <c r="C342" s="163"/>
      <c r="D342" s="161"/>
      <c r="E342" s="109"/>
      <c r="F342" s="161"/>
      <c r="G342" s="109"/>
      <c r="H342" s="161"/>
      <c r="I342" s="109"/>
      <c r="J342" s="24"/>
    </row>
    <row r="343" spans="1:10" s="1" customFormat="1" ht="15.9" customHeight="1">
      <c r="A343" s="109"/>
      <c r="B343" s="33"/>
      <c r="C343" s="161"/>
      <c r="D343" s="161"/>
      <c r="E343" s="109"/>
      <c r="F343" s="161"/>
      <c r="G343" s="109"/>
      <c r="H343" s="109"/>
      <c r="I343" s="24"/>
      <c r="J343" s="24"/>
    </row>
    <row r="344" spans="1:10" s="1" customFormat="1" ht="15.9" customHeight="1">
      <c r="A344" s="109"/>
      <c r="B344" s="33"/>
      <c r="C344" s="33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44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161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3"/>
      <c r="D349" s="161"/>
      <c r="E349" s="109"/>
      <c r="F349" s="161"/>
      <c r="G349" s="109"/>
      <c r="H349" s="109"/>
      <c r="I349" s="109"/>
      <c r="J349" s="24"/>
    </row>
    <row r="350" spans="1:10" s="1" customFormat="1" ht="15.9" customHeight="1">
      <c r="A350" s="109"/>
      <c r="B350" s="33"/>
      <c r="C350" s="161"/>
      <c r="D350" s="161"/>
      <c r="E350" s="109"/>
      <c r="F350" s="161"/>
      <c r="G350" s="109"/>
      <c r="H350" s="109"/>
      <c r="I350" s="24"/>
      <c r="J350" s="24"/>
    </row>
    <row r="351" spans="1:10" s="1" customFormat="1" ht="15.9" customHeight="1">
      <c r="A351" s="109"/>
      <c r="B351" s="33"/>
      <c r="C351" s="33"/>
      <c r="D351" s="161"/>
      <c r="E351" s="109"/>
      <c r="F351" s="109"/>
      <c r="G351" s="109"/>
      <c r="H351" s="109"/>
      <c r="I351" s="24"/>
      <c r="J351" s="24"/>
    </row>
    <row r="352" spans="1:10" s="1" customFormat="1" ht="15" customHeight="1">
      <c r="A352" s="109"/>
      <c r="B352" s="33"/>
      <c r="C352" s="33"/>
      <c r="D352" s="161"/>
      <c r="E352" s="109"/>
      <c r="F352" s="109"/>
      <c r="G352" s="109"/>
      <c r="H352" s="107"/>
      <c r="I352" s="24"/>
      <c r="J352" s="24"/>
    </row>
    <row r="353" spans="1:10" s="23" customFormat="1" ht="15.9" customHeight="1">
      <c r="A353" s="109"/>
      <c r="B353" s="33"/>
      <c r="C353" s="33"/>
      <c r="D353" s="161"/>
      <c r="E353" s="109"/>
      <c r="F353" s="109"/>
      <c r="G353" s="109"/>
      <c r="H353" s="109"/>
      <c r="I353" s="109"/>
      <c r="J353" s="109"/>
    </row>
    <row r="354" spans="1:10" s="1" customFormat="1" ht="15.9" customHeight="1">
      <c r="A354" s="44"/>
      <c r="B354" s="33"/>
      <c r="C354" s="33"/>
      <c r="D354" s="161"/>
      <c r="E354" s="109"/>
      <c r="F354" s="109"/>
      <c r="G354" s="109"/>
      <c r="H354" s="109"/>
      <c r="I354" s="44"/>
      <c r="J354" s="119"/>
    </row>
    <row r="355" spans="1:10" s="1" customFormat="1" ht="15.9" customHeight="1">
      <c r="A355" s="40"/>
      <c r="B355" s="44"/>
      <c r="C355" s="44"/>
      <c r="D355" s="84"/>
      <c r="E355" s="44"/>
      <c r="F355" s="44"/>
      <c r="G355" s="44"/>
      <c r="H355" s="44"/>
      <c r="I355" s="32"/>
      <c r="J355" s="40"/>
    </row>
    <row r="356" spans="1:10" s="1" customFormat="1" ht="15.9" customHeight="1">
      <c r="A356" s="27"/>
      <c r="B356" s="40"/>
      <c r="C356" s="44"/>
      <c r="D356" s="85"/>
      <c r="E356" s="40"/>
      <c r="F356" s="32"/>
      <c r="G356" s="40"/>
      <c r="H356" s="32"/>
      <c r="I356" s="24"/>
      <c r="J356" s="24"/>
    </row>
    <row r="357" spans="1:10" s="1" customFormat="1" ht="15.9" customHeight="1">
      <c r="A357" s="27"/>
      <c r="B357" s="33"/>
      <c r="C357" s="42"/>
      <c r="D357" s="161"/>
      <c r="E357" s="109"/>
      <c r="F357" s="109"/>
      <c r="G357" s="109"/>
      <c r="H357" s="42"/>
      <c r="I357" s="163"/>
      <c r="J357" s="163"/>
    </row>
    <row r="358" spans="1:10" s="1" customFormat="1" ht="15.9" customHeight="1">
      <c r="A358" s="27"/>
      <c r="B358" s="33"/>
      <c r="C358" s="163"/>
      <c r="D358" s="161"/>
      <c r="E358" s="109"/>
      <c r="F358" s="109"/>
      <c r="G358" s="109"/>
      <c r="H358" s="163"/>
      <c r="I358" s="161"/>
      <c r="J358" s="161"/>
    </row>
    <row r="359" spans="1:10" s="1" customFormat="1" ht="15.9" customHeight="1">
      <c r="A359" s="27"/>
      <c r="B359" s="33"/>
      <c r="C359" s="161"/>
      <c r="D359" s="161"/>
      <c r="E359" s="109"/>
      <c r="F359" s="109"/>
      <c r="G359" s="109"/>
      <c r="H359" s="161"/>
      <c r="I359" s="24"/>
      <c r="J359" s="24"/>
    </row>
    <row r="360" spans="1:10" s="1" customFormat="1" ht="15.9" customHeight="1">
      <c r="A360" s="27"/>
      <c r="B360" s="33"/>
      <c r="C360" s="33"/>
      <c r="D360" s="161"/>
      <c r="E360" s="109"/>
      <c r="F360" s="109"/>
      <c r="G360" s="109"/>
      <c r="H360" s="109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46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161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33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B369" s="33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D371" s="161"/>
      <c r="E371" s="109"/>
      <c r="F371" s="109"/>
      <c r="G371" s="33"/>
      <c r="H371" s="33"/>
      <c r="I371" s="24"/>
      <c r="J371" s="24"/>
    </row>
    <row r="372" spans="1:10" s="1" customFormat="1" ht="15.9" customHeight="1">
      <c r="A372" s="27"/>
      <c r="B372" s="33"/>
      <c r="C372" s="33"/>
      <c r="D372" s="161"/>
      <c r="E372" s="109"/>
      <c r="F372" s="109"/>
      <c r="G372" s="109"/>
      <c r="H372" s="109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42"/>
      <c r="I375" s="163"/>
      <c r="J375" s="163"/>
    </row>
    <row r="376" spans="1:10" s="1" customFormat="1" ht="15.9" customHeight="1">
      <c r="A376" s="27"/>
      <c r="B376" s="33"/>
      <c r="C376" s="47"/>
      <c r="D376" s="161"/>
      <c r="E376" s="109"/>
      <c r="F376" s="109"/>
      <c r="G376" s="109"/>
      <c r="H376" s="163"/>
      <c r="I376" s="161"/>
      <c r="J376" s="161"/>
    </row>
    <row r="377" spans="1:10" s="1" customFormat="1" ht="15.9" customHeight="1">
      <c r="A377" s="27"/>
      <c r="B377" s="33"/>
      <c r="C377" s="46"/>
      <c r="D377" s="161"/>
      <c r="E377" s="109"/>
      <c r="F377" s="109"/>
      <c r="G377" s="109"/>
      <c r="H377" s="161"/>
      <c r="I377" s="24"/>
      <c r="J377" s="24"/>
    </row>
    <row r="378" spans="1:10" s="1" customFormat="1" ht="15.9" customHeight="1">
      <c r="A378" s="27"/>
      <c r="B378" s="33"/>
      <c r="C378" s="161"/>
      <c r="D378" s="161"/>
      <c r="E378" s="109"/>
      <c r="F378" s="109"/>
      <c r="G378" s="109"/>
      <c r="H378" s="42"/>
      <c r="I378" s="163"/>
      <c r="J378" s="163"/>
    </row>
    <row r="379" spans="1:10" s="1" customFormat="1" ht="15.9" customHeight="1">
      <c r="A379" s="27"/>
      <c r="B379" s="33"/>
      <c r="C379" s="33"/>
      <c r="D379" s="161"/>
      <c r="E379" s="109"/>
      <c r="F379" s="109"/>
      <c r="G379" s="109"/>
      <c r="H379" s="163"/>
      <c r="I379" s="161"/>
      <c r="J379" s="161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1"/>
      <c r="I380" s="24"/>
      <c r="J380" s="24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09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109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64"/>
      <c r="J387" s="16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64"/>
      <c r="I388" s="165"/>
      <c r="J388" s="165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5"/>
      <c r="I389" s="161"/>
      <c r="J389" s="161"/>
    </row>
    <row r="390" spans="1:10" s="1" customFormat="1" ht="15.9" customHeight="1">
      <c r="A390" s="27"/>
      <c r="B390" s="33"/>
      <c r="C390" s="47"/>
      <c r="D390" s="161"/>
      <c r="E390" s="109"/>
      <c r="F390" s="109"/>
      <c r="G390" s="109"/>
      <c r="H390" s="161"/>
      <c r="I390" s="24"/>
      <c r="J390" s="24"/>
    </row>
    <row r="391" spans="1:10" s="1" customFormat="1" ht="15.9" customHeight="1">
      <c r="A391" s="27"/>
      <c r="B391" s="33"/>
      <c r="C391" s="46"/>
      <c r="D391" s="161"/>
      <c r="E391" s="109"/>
      <c r="F391" s="109"/>
      <c r="G391" s="109"/>
      <c r="H391" s="109"/>
      <c r="I391" s="109"/>
      <c r="J391" s="24"/>
    </row>
    <row r="392" spans="1:10" s="1" customFormat="1" ht="15.9" customHeight="1">
      <c r="A392" s="27"/>
      <c r="B392" s="33"/>
      <c r="C392" s="161"/>
      <c r="D392" s="161"/>
      <c r="E392" s="109"/>
      <c r="F392" s="109"/>
      <c r="G392" s="109"/>
      <c r="H392" s="109"/>
      <c r="I392" s="24"/>
      <c r="J392" s="24"/>
    </row>
    <row r="393" spans="1:10" s="1" customFormat="1" ht="15.9" customHeight="1">
      <c r="A393" s="27"/>
      <c r="B393" s="33"/>
      <c r="C393" s="33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41"/>
      <c r="B395" s="33"/>
      <c r="C395" s="33"/>
      <c r="D395" s="161"/>
      <c r="E395" s="109"/>
      <c r="F395" s="109"/>
      <c r="G395" s="109"/>
      <c r="H395" s="109"/>
      <c r="I395" s="109"/>
      <c r="J395" s="109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23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1" customFormat="1" ht="15.9" customHeight="1">
      <c r="A404" s="44"/>
      <c r="B404" s="33"/>
      <c r="C404" s="33"/>
      <c r="D404" s="161"/>
      <c r="E404" s="109"/>
      <c r="F404" s="109"/>
      <c r="G404" s="109"/>
      <c r="H404" s="109"/>
      <c r="I404" s="44"/>
      <c r="J404" s="119"/>
    </row>
    <row r="405" spans="1:10" s="1" customFormat="1" ht="15.9" customHeight="1">
      <c r="A405" s="44"/>
      <c r="B405" s="44"/>
      <c r="C405" s="44"/>
      <c r="D405" s="84"/>
      <c r="E405" s="44"/>
      <c r="F405" s="44"/>
      <c r="G405" s="44"/>
      <c r="H405" s="44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109"/>
      <c r="B418" s="44"/>
      <c r="C418" s="44"/>
      <c r="D418" s="84"/>
      <c r="E418" s="44"/>
      <c r="F418" s="44"/>
      <c r="G418" s="44"/>
      <c r="H418" s="44"/>
      <c r="I418" s="24"/>
      <c r="J418" s="24"/>
      <c r="K418" s="71"/>
    </row>
    <row r="419" spans="1:14" s="1" customFormat="1" ht="15.9" customHeight="1">
      <c r="A419" s="109"/>
      <c r="B419" s="33"/>
      <c r="C419" s="33"/>
      <c r="D419" s="161"/>
      <c r="E419" s="109"/>
      <c r="F419" s="109"/>
      <c r="G419" s="109"/>
      <c r="H419" s="109"/>
      <c r="I419" s="24"/>
    </row>
    <row r="420" spans="1:14" ht="18">
      <c r="A420" s="109"/>
      <c r="B420" s="33"/>
      <c r="C420" s="33"/>
      <c r="D420" s="161"/>
      <c r="E420" s="109"/>
      <c r="F420" s="109"/>
      <c r="G420" s="109"/>
      <c r="H420" s="109"/>
      <c r="I420" s="109"/>
      <c r="J420" s="99" t="str">
        <f>LEFT($J$111,13)&amp;"-04"</f>
        <v>FG-240-4P2L2R-04</v>
      </c>
      <c r="K420" s="7"/>
      <c r="L420" s="7"/>
      <c r="M420" s="2"/>
      <c r="N420" s="2"/>
    </row>
    <row r="421" spans="1:14" ht="12.75" customHeight="1">
      <c r="A421" s="109"/>
      <c r="B421" s="33"/>
      <c r="C421" s="33"/>
      <c r="D421" s="161"/>
      <c r="E421" s="109"/>
      <c r="F421" s="109"/>
      <c r="G421" s="109"/>
      <c r="H421" s="109"/>
      <c r="I421" s="109"/>
      <c r="J421" s="114"/>
      <c r="K421" s="7"/>
      <c r="L421" s="7"/>
      <c r="M421" s="2"/>
      <c r="N421" s="2"/>
    </row>
    <row r="422" spans="1:14" ht="30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90" t="str">
        <f>$J$2</f>
        <v>HOMELIFE</v>
      </c>
      <c r="K422" s="7"/>
      <c r="L422" s="7"/>
      <c r="M422" s="2"/>
      <c r="N422" s="2"/>
    </row>
    <row r="423" spans="1:14" ht="24.9" customHeight="1">
      <c r="A423" s="109"/>
      <c r="B423" s="33"/>
      <c r="C423" s="33"/>
      <c r="D423" s="161"/>
      <c r="E423" s="109"/>
      <c r="F423" s="109"/>
      <c r="G423" s="109"/>
      <c r="H423" s="109"/>
      <c r="I423" s="109"/>
      <c r="J423" s="91" t="str">
        <f>$J$3</f>
        <v>Fabricators Guide</v>
      </c>
      <c r="K423" s="7"/>
      <c r="L423" s="7"/>
      <c r="M423" s="2"/>
      <c r="N423" s="2"/>
    </row>
    <row r="424" spans="1:14" ht="24.9" customHeight="1">
      <c r="B424" s="190"/>
      <c r="C424" s="28"/>
      <c r="D424" s="28"/>
      <c r="E424" s="28"/>
      <c r="F424" s="28"/>
      <c r="G424" s="28"/>
      <c r="H424" s="28"/>
      <c r="I424" s="28"/>
      <c r="J424" s="91" t="str">
        <f>$J$4</f>
        <v xml:space="preserve">240 Series Bi Fold Door </v>
      </c>
      <c r="K424" s="48"/>
      <c r="L424" s="48"/>
      <c r="M424" s="4"/>
      <c r="N424" s="4"/>
    </row>
    <row r="425" spans="1:14" s="1" customFormat="1" ht="15" customHeight="1" thickBot="1">
      <c r="A425" s="78"/>
      <c r="B425" s="8"/>
      <c r="C425" s="28"/>
      <c r="D425" s="28"/>
      <c r="E425" s="28"/>
      <c r="F425" s="28"/>
      <c r="G425" s="28"/>
      <c r="H425" s="28"/>
      <c r="I425" s="78"/>
      <c r="J425" s="100"/>
      <c r="K425" s="4"/>
      <c r="L425" s="4"/>
      <c r="M425" s="4"/>
      <c r="N425" s="4"/>
    </row>
    <row r="426" spans="1:14" s="1" customFormat="1" ht="24.9" customHeight="1" thickBot="1">
      <c r="A426" s="502" t="s">
        <v>34</v>
      </c>
      <c r="B426" s="503"/>
      <c r="C426" s="503"/>
      <c r="D426" s="503"/>
      <c r="E426" s="503"/>
      <c r="F426" s="503"/>
      <c r="G426" s="503"/>
      <c r="H426" s="503"/>
      <c r="I426" s="503"/>
      <c r="J426" s="504"/>
      <c r="K426" s="4"/>
      <c r="L426" s="4"/>
      <c r="M426" s="4"/>
      <c r="N426" s="4"/>
    </row>
    <row r="427" spans="1:14" s="1" customFormat="1" ht="15" customHeight="1">
      <c r="A427" s="193"/>
      <c r="B427" s="194"/>
      <c r="C427" s="194"/>
      <c r="D427" s="194"/>
      <c r="E427" s="194"/>
      <c r="F427" s="194"/>
      <c r="G427" s="194"/>
      <c r="H427" s="194"/>
      <c r="I427" s="193"/>
      <c r="K427" s="56"/>
      <c r="L427" s="56"/>
      <c r="M427" s="56"/>
      <c r="N427" s="56"/>
    </row>
    <row r="428" spans="1:14" s="1" customFormat="1" ht="15" customHeight="1">
      <c r="A428" s="45"/>
      <c r="B428" s="193"/>
      <c r="C428" s="193"/>
      <c r="D428" s="193"/>
      <c r="E428" s="193"/>
      <c r="F428" s="193"/>
      <c r="G428" s="193"/>
      <c r="H428" s="193"/>
      <c r="I428" s="44"/>
      <c r="J428" s="119"/>
    </row>
    <row r="429" spans="1:14" s="1" customFormat="1" ht="15" customHeight="1">
      <c r="A429" s="109"/>
      <c r="B429" s="39"/>
      <c r="C429" s="33"/>
      <c r="D429" s="161"/>
      <c r="E429" s="35"/>
      <c r="F429" s="39"/>
      <c r="G429" s="193"/>
      <c r="H429" s="44"/>
      <c r="I429" s="44"/>
      <c r="J429" s="119"/>
    </row>
    <row r="430" spans="1:14" s="1" customFormat="1" ht="15" customHeight="1">
      <c r="A430" s="109"/>
      <c r="B430" s="33"/>
      <c r="C430" s="33"/>
      <c r="D430" s="161"/>
      <c r="E430" s="35"/>
      <c r="F430" s="161"/>
      <c r="G430" s="193"/>
      <c r="H430" s="44"/>
      <c r="I430" s="44"/>
      <c r="J430" s="119"/>
    </row>
    <row r="431" spans="1:14" s="1" customFormat="1" ht="15" customHeight="1">
      <c r="A431" s="109"/>
      <c r="B431" s="56"/>
      <c r="C431" s="56"/>
      <c r="D431" s="30"/>
      <c r="E431" s="29"/>
      <c r="F431" s="30"/>
      <c r="H431" s="44"/>
      <c r="I431" s="44"/>
      <c r="J431" s="119"/>
    </row>
    <row r="432" spans="1:14" s="1" customFormat="1" ht="15" customHeight="1">
      <c r="A432" s="109"/>
      <c r="B432" s="33"/>
      <c r="C432" s="161"/>
      <c r="D432" s="161"/>
      <c r="E432" s="109"/>
      <c r="F432" s="161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35"/>
      <c r="F433" s="163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1"/>
      <c r="H434" s="44"/>
      <c r="I434" s="44"/>
      <c r="J434" s="119"/>
    </row>
    <row r="435" spans="1:10" s="1" customFormat="1" ht="15" customHeight="1">
      <c r="A435" s="39"/>
      <c r="B435" s="33"/>
      <c r="C435" s="42"/>
      <c r="D435" s="161"/>
      <c r="E435" s="109"/>
      <c r="F435" s="69"/>
      <c r="H435" s="44"/>
      <c r="I435" s="44"/>
      <c r="J435" s="119"/>
    </row>
    <row r="436" spans="1:10" s="1" customFormat="1" ht="15" customHeight="1">
      <c r="A436" s="92"/>
      <c r="B436" s="39"/>
      <c r="C436" s="163"/>
      <c r="D436" s="161"/>
      <c r="E436" s="109"/>
      <c r="F436" s="68"/>
      <c r="H436" s="44"/>
      <c r="I436" s="44"/>
      <c r="J436" s="119"/>
    </row>
    <row r="437" spans="1:10" s="1" customFormat="1" ht="15" customHeight="1">
      <c r="B437" s="92"/>
      <c r="C437" s="161"/>
      <c r="D437" s="161"/>
      <c r="E437" s="109"/>
      <c r="F437" s="187"/>
      <c r="H437" s="44"/>
      <c r="I437" s="44"/>
      <c r="J437" s="119"/>
    </row>
    <row r="438" spans="1:10" s="1" customFormat="1" ht="15" customHeight="1">
      <c r="A438" s="64" t="str">
        <f>A18</f>
        <v>240-4 Panel (2L2R)</v>
      </c>
      <c r="B438" s="92"/>
      <c r="C438" s="161"/>
      <c r="D438" s="161"/>
      <c r="E438" s="109"/>
      <c r="F438" s="187"/>
      <c r="H438" s="44"/>
      <c r="I438" s="44"/>
      <c r="J438" s="119"/>
    </row>
    <row r="439" spans="1:10" s="1" customFormat="1" ht="15.9" customHeight="1">
      <c r="A439" s="76" t="str">
        <f>A19</f>
        <v xml:space="preserve">Outside Bi Fold Door </v>
      </c>
      <c r="C439" s="42"/>
      <c r="D439" s="161"/>
      <c r="E439" s="109"/>
      <c r="F439" s="68"/>
      <c r="H439" s="44"/>
      <c r="I439" s="44"/>
      <c r="J439" s="119"/>
    </row>
    <row r="440" spans="1:10" s="1" customFormat="1" ht="15.9" customHeight="1">
      <c r="A440" s="39"/>
      <c r="C440" s="161"/>
      <c r="D440" s="161"/>
      <c r="E440" s="109"/>
      <c r="F440" s="37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39"/>
      <c r="C442" s="161"/>
      <c r="D442" s="161"/>
      <c r="E442" s="109"/>
      <c r="F442" s="37"/>
      <c r="H442" s="44"/>
      <c r="I442" s="44"/>
      <c r="J442" s="119"/>
    </row>
    <row r="443" spans="1:10" s="1" customFormat="1" ht="15.9" customHeight="1">
      <c r="A443" s="44"/>
      <c r="B443" s="38"/>
      <c r="C443" s="43"/>
      <c r="D443" s="161"/>
      <c r="E443" s="109"/>
      <c r="F443" s="109"/>
      <c r="H443" s="44"/>
      <c r="I443" s="44"/>
      <c r="J443" s="119"/>
    </row>
    <row r="444" spans="1:10" s="1" customFormat="1" ht="15.9" customHeight="1">
      <c r="A444" s="40"/>
      <c r="C444" s="44"/>
      <c r="D444" s="84"/>
      <c r="E444" s="44"/>
      <c r="F444" s="44"/>
      <c r="H444" s="44"/>
      <c r="I444" s="44"/>
      <c r="J444" s="119"/>
    </row>
    <row r="445" spans="1:10" ht="15.6">
      <c r="B445" s="64"/>
      <c r="C445" s="163"/>
      <c r="D445" s="161"/>
      <c r="E445" s="109"/>
      <c r="F445" s="161"/>
      <c r="G445" s="109"/>
      <c r="H445" s="109"/>
    </row>
    <row r="450" spans="1:10" s="1" customFormat="1" ht="15.9" customHeight="1">
      <c r="A450" s="109"/>
      <c r="B450"/>
      <c r="C450"/>
      <c r="D450" s="81"/>
      <c r="E450"/>
      <c r="F450"/>
      <c r="G450"/>
      <c r="H450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44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1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163"/>
      <c r="D456" s="161"/>
      <c r="E456" s="109"/>
      <c r="F456" s="161"/>
      <c r="G456" s="109"/>
      <c r="H456" s="109"/>
      <c r="I456" s="109"/>
      <c r="J456" s="24"/>
    </row>
    <row r="457" spans="1:10" s="1" customFormat="1" ht="15.9" customHeight="1">
      <c r="A457" s="109"/>
      <c r="B457" s="33"/>
      <c r="C457" s="161"/>
      <c r="D457" s="161"/>
      <c r="E457" s="109"/>
      <c r="F457" s="161"/>
      <c r="G457" s="109"/>
      <c r="H457" s="109"/>
      <c r="I457" s="24"/>
      <c r="J457" s="24"/>
    </row>
    <row r="458" spans="1:10" s="1" customFormat="1" ht="15.9" customHeight="1">
      <c r="A458" s="109"/>
      <c r="B458" s="33"/>
      <c r="C458" s="33"/>
      <c r="D458" s="161"/>
      <c r="E458" s="109"/>
      <c r="F458" s="109"/>
      <c r="G458" s="109"/>
      <c r="H458" s="109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7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" customHeight="1">
      <c r="A476" s="109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23" customFormat="1" ht="15.9" customHeight="1">
      <c r="A477" s="109"/>
      <c r="B477" s="33"/>
      <c r="C477" s="33"/>
      <c r="D477" s="161"/>
      <c r="E477" s="109"/>
      <c r="F477" s="109"/>
      <c r="G477" s="109"/>
      <c r="H477" s="109"/>
      <c r="I477" s="109"/>
      <c r="J477" s="109"/>
    </row>
    <row r="478" spans="1:10" s="1" customFormat="1" ht="15.9" customHeight="1">
      <c r="A478" s="44"/>
      <c r="B478" s="33"/>
      <c r="C478" s="33"/>
      <c r="D478" s="161"/>
      <c r="E478" s="109"/>
      <c r="F478" s="109"/>
      <c r="G478" s="109"/>
      <c r="H478" s="109"/>
      <c r="I478" s="44"/>
      <c r="J478" s="119"/>
    </row>
    <row r="479" spans="1:10" s="1" customFormat="1" ht="15.9" customHeight="1">
      <c r="A479" s="40"/>
      <c r="B479" s="44"/>
      <c r="C479" s="44"/>
      <c r="D479" s="84"/>
      <c r="E479" s="44"/>
      <c r="F479" s="44"/>
      <c r="G479" s="44"/>
      <c r="H479" s="44"/>
      <c r="I479" s="32"/>
      <c r="J479" s="40"/>
    </row>
    <row r="480" spans="1:10" s="1" customFormat="1" ht="15.9" customHeight="1">
      <c r="A480" s="27"/>
      <c r="B480" s="40"/>
      <c r="C480" s="44"/>
      <c r="D480" s="85"/>
      <c r="E480" s="40"/>
      <c r="F480" s="32"/>
      <c r="G480" s="40"/>
      <c r="H480" s="32"/>
      <c r="I480" s="24"/>
      <c r="J480" s="24"/>
    </row>
    <row r="481" spans="1:10" s="1" customFormat="1" ht="15.9" customHeight="1">
      <c r="A481" s="27"/>
      <c r="B481" s="33"/>
      <c r="C481" s="42"/>
      <c r="D481" s="161"/>
      <c r="E481" s="109"/>
      <c r="F481" s="109"/>
      <c r="G481" s="109"/>
      <c r="H481" s="42"/>
      <c r="I481" s="67"/>
      <c r="J481" s="165"/>
    </row>
    <row r="482" spans="1:10" s="1" customFormat="1" ht="15.9" customHeight="1">
      <c r="A482" s="27"/>
      <c r="B482" s="33"/>
      <c r="C482" s="163"/>
      <c r="D482" s="161"/>
      <c r="E482" s="109"/>
      <c r="F482" s="109"/>
      <c r="G482" s="109"/>
      <c r="H482" s="67"/>
      <c r="I482" s="38"/>
      <c r="J482" s="109"/>
    </row>
    <row r="483" spans="1:10" s="1" customFormat="1" ht="15.9" customHeight="1">
      <c r="A483" s="27"/>
      <c r="B483" s="33"/>
      <c r="C483" s="161"/>
      <c r="D483" s="161"/>
      <c r="E483" s="109"/>
      <c r="F483" s="109"/>
      <c r="G483" s="109"/>
      <c r="H483" s="38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46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161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D495" s="161"/>
      <c r="E495" s="109"/>
      <c r="F495" s="109"/>
      <c r="G495" s="33"/>
      <c r="H495" s="33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42"/>
      <c r="I499" s="67"/>
      <c r="J499" s="165"/>
    </row>
    <row r="500" spans="1:10" s="1" customFormat="1" ht="15.9" customHeight="1">
      <c r="A500" s="27"/>
      <c r="B500" s="33"/>
      <c r="C500" s="47"/>
      <c r="D500" s="161"/>
      <c r="E500" s="109"/>
      <c r="F500" s="109"/>
      <c r="G500" s="109"/>
      <c r="H500" s="67"/>
      <c r="I500" s="38"/>
      <c r="J500" s="109"/>
    </row>
    <row r="501" spans="1:10" s="1" customFormat="1" ht="15.9" customHeight="1">
      <c r="A501" s="27"/>
      <c r="B501" s="33"/>
      <c r="C501" s="46"/>
      <c r="D501" s="161"/>
      <c r="E501" s="109"/>
      <c r="F501" s="109"/>
      <c r="G501" s="109"/>
      <c r="H501" s="38"/>
      <c r="I501" s="24"/>
      <c r="J501" s="24"/>
    </row>
    <row r="502" spans="1:10" s="1" customFormat="1" ht="15.9" customHeight="1">
      <c r="A502" s="27"/>
      <c r="B502" s="33"/>
      <c r="C502" s="161"/>
      <c r="D502" s="161"/>
      <c r="E502" s="109"/>
      <c r="F502" s="109"/>
      <c r="G502" s="109"/>
      <c r="H502" s="42"/>
      <c r="I502" s="67"/>
      <c r="J502" s="165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67"/>
      <c r="I503" s="38"/>
      <c r="J503" s="109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38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24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24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109"/>
      <c r="J512" s="24"/>
    </row>
    <row r="513" spans="1:15" s="1" customFormat="1" ht="15.9" customHeight="1">
      <c r="A513" s="27"/>
      <c r="B513" s="33"/>
      <c r="C513" s="33"/>
      <c r="D513" s="161"/>
      <c r="E513" s="109"/>
      <c r="F513" s="109"/>
      <c r="G513" s="109"/>
      <c r="H513" s="109"/>
      <c r="I513" s="109"/>
      <c r="J513" s="24"/>
    </row>
    <row r="514" spans="1:15" s="1" customFormat="1" ht="15.9" customHeight="1">
      <c r="A514" s="27"/>
      <c r="B514" s="33"/>
      <c r="C514" s="33"/>
      <c r="D514" s="161"/>
      <c r="E514" s="109"/>
      <c r="F514" s="109"/>
      <c r="G514" s="109"/>
      <c r="H514" s="109"/>
      <c r="I514" s="109"/>
      <c r="J514" s="24"/>
    </row>
    <row r="515" spans="1:15" s="1" customFormat="1" ht="15.9" customHeight="1">
      <c r="A515" s="44"/>
      <c r="B515" s="44"/>
      <c r="C515" s="44"/>
      <c r="D515" s="84"/>
      <c r="E515" s="44"/>
      <c r="F515" s="44"/>
      <c r="G515" s="44"/>
      <c r="H515" s="44"/>
      <c r="I515" s="44"/>
      <c r="J515" s="119"/>
    </row>
    <row r="516" spans="1:15" s="1" customFormat="1" ht="15.9" customHeight="1">
      <c r="B516" s="44"/>
      <c r="C516" s="44"/>
      <c r="D516" s="84"/>
      <c r="E516" s="44"/>
      <c r="F516" s="44"/>
      <c r="G516" s="44"/>
      <c r="H516" s="44"/>
    </row>
    <row r="517" spans="1:15" s="1" customFormat="1" ht="15.9" customHeight="1" thickBot="1"/>
    <row r="518" spans="1:15" s="1" customFormat="1" ht="24.9" customHeight="1" thickBot="1">
      <c r="A518" s="502" t="s">
        <v>401</v>
      </c>
      <c r="B518" s="503"/>
      <c r="C518" s="503"/>
      <c r="D518" s="503"/>
      <c r="E518" s="503"/>
      <c r="F518" s="503"/>
      <c r="G518" s="503"/>
      <c r="H518" s="503"/>
      <c r="I518" s="503"/>
      <c r="J518" s="504"/>
    </row>
    <row r="519" spans="1:15" s="1" customFormat="1" ht="35.1" customHeight="1" thickBot="1">
      <c r="A519" s="102" t="s">
        <v>2</v>
      </c>
      <c r="B519" s="103" t="s">
        <v>3</v>
      </c>
      <c r="C519" s="103" t="s">
        <v>3</v>
      </c>
      <c r="D519" s="104" t="s">
        <v>35</v>
      </c>
      <c r="E519" s="103" t="s">
        <v>5</v>
      </c>
      <c r="F519" s="339" t="s">
        <v>27</v>
      </c>
      <c r="G519" s="305"/>
      <c r="H519" s="104" t="s">
        <v>27</v>
      </c>
      <c r="I519" s="104" t="s">
        <v>26</v>
      </c>
      <c r="J519" s="115" t="s">
        <v>6</v>
      </c>
      <c r="N519" s="249" t="s">
        <v>3</v>
      </c>
      <c r="O519" s="249" t="s">
        <v>3</v>
      </c>
    </row>
    <row r="520" spans="1:15" s="1" customFormat="1" ht="15.9" customHeight="1">
      <c r="A520" s="123">
        <f>IF(C520="","",1)</f>
        <v>1</v>
      </c>
      <c r="B520" s="121" t="str">
        <f>IF($D$127=5,N520,IF($D$127=6,N521,IF($D$127=8,N522,IF($D$127=10,N523,IF($D$127=12,N524,IF($D$127=14,N525,IF($D$127=18,N526,IF($D$127=20,N527,IF($D$127=22,N528,)))))))))</f>
        <v>กระจก 6 mm (สูง) (กว้าง)</v>
      </c>
      <c r="C520" s="121" t="str">
        <f>IF($D$127=5,O520,IF($D$127=6,O521,IF($D$127=8,O522,IF($D$127=10,O523,IF($D$127=12,O524,IF($D$127=14,O525,IF($D$127=18,O526,IF($D$127=20,O527,IF($D$127=22,O528,)))))))))</f>
        <v>GLASS thk.6 mm (H) (W)</v>
      </c>
      <c r="D520" s="124">
        <f>$J$123-215</f>
        <v>1980</v>
      </c>
      <c r="E520" s="123" t="s">
        <v>11</v>
      </c>
      <c r="F520" s="527" t="s">
        <v>271</v>
      </c>
      <c r="G520" s="528"/>
      <c r="H520" s="123" t="s">
        <v>403</v>
      </c>
      <c r="I520" s="124">
        <f>(($J$126-185-(113.25*3))/4)-13</f>
        <v>674.5625</v>
      </c>
      <c r="J520" s="151">
        <f>$J$120*4</f>
        <v>4</v>
      </c>
      <c r="K520" s="1">
        <f>(D520*I520)/10^6</f>
        <v>1.33563375</v>
      </c>
      <c r="M520" s="1">
        <f>ROW()</f>
        <v>520</v>
      </c>
      <c r="N520" s="19" t="s">
        <v>194</v>
      </c>
      <c r="O520" s="19" t="s">
        <v>195</v>
      </c>
    </row>
    <row r="521" spans="1:15" s="1" customFormat="1" ht="15.9" customHeight="1">
      <c r="A521" s="346"/>
      <c r="B521" s="295"/>
      <c r="C521" s="295"/>
      <c r="D521" s="296"/>
      <c r="E521" s="238"/>
      <c r="F521" s="251"/>
      <c r="G521" s="297"/>
      <c r="H521" s="238"/>
      <c r="I521" s="298"/>
      <c r="J521" s="299"/>
      <c r="K521" s="1">
        <f>K520*J520</f>
        <v>5.3425349999999998</v>
      </c>
      <c r="M521" s="1">
        <f>ROW()</f>
        <v>521</v>
      </c>
      <c r="N521" s="19" t="s">
        <v>53</v>
      </c>
      <c r="O521" s="19" t="s">
        <v>54</v>
      </c>
    </row>
    <row r="522" spans="1:15" s="1" customFormat="1" ht="15.9" customHeight="1">
      <c r="A522" s="346"/>
      <c r="B522" s="295"/>
      <c r="C522" s="295"/>
      <c r="D522" s="296"/>
      <c r="E522" s="238"/>
      <c r="F522" s="251"/>
      <c r="G522" s="297"/>
      <c r="H522" s="238"/>
      <c r="I522" s="298"/>
      <c r="J522" s="299"/>
      <c r="M522" s="1">
        <f>ROW()</f>
        <v>522</v>
      </c>
      <c r="N522" s="19" t="s">
        <v>257</v>
      </c>
      <c r="O522" s="19" t="s">
        <v>258</v>
      </c>
    </row>
    <row r="523" spans="1:15" s="1" customFormat="1" ht="15.9" customHeight="1">
      <c r="A523" s="129" t="str">
        <f>IF(B523="","",+#REF!+1)</f>
        <v/>
      </c>
      <c r="B523" s="127"/>
      <c r="C523" s="127"/>
      <c r="D523" s="128"/>
      <c r="E523" s="129"/>
      <c r="F523" s="155"/>
      <c r="G523" s="157"/>
      <c r="H523" s="129"/>
      <c r="I523" s="144"/>
      <c r="J523" s="130"/>
      <c r="M523" s="1">
        <f>ROW()</f>
        <v>523</v>
      </c>
      <c r="N523" s="19" t="s">
        <v>259</v>
      </c>
      <c r="O523" s="19" t="s">
        <v>265</v>
      </c>
    </row>
    <row r="524" spans="1:15" s="1" customFormat="1" ht="15.9" customHeight="1">
      <c r="A524" s="135" t="str">
        <f>IF(B524="","",+A523+1)</f>
        <v/>
      </c>
      <c r="B524" s="133"/>
      <c r="C524" s="133"/>
      <c r="D524" s="134"/>
      <c r="E524" s="135"/>
      <c r="F524" s="158"/>
      <c r="G524" s="159"/>
      <c r="H524" s="135"/>
      <c r="I524" s="145"/>
      <c r="J524" s="136"/>
      <c r="M524" s="1">
        <f>ROW()</f>
        <v>524</v>
      </c>
      <c r="N524" s="19" t="s">
        <v>260</v>
      </c>
      <c r="O524" s="19" t="s">
        <v>266</v>
      </c>
    </row>
    <row r="525" spans="1:15" s="1" customFormat="1" ht="15.9" customHeight="1">
      <c r="A525" s="17"/>
      <c r="B525" s="56"/>
      <c r="C525" s="56"/>
      <c r="D525" s="30"/>
      <c r="E525" s="17"/>
      <c r="F525" s="17"/>
      <c r="G525" s="17"/>
      <c r="H525" s="109"/>
      <c r="I525" s="109"/>
      <c r="J525" s="24"/>
      <c r="M525" s="1">
        <f>ROW()</f>
        <v>525</v>
      </c>
      <c r="N525" s="19" t="s">
        <v>261</v>
      </c>
      <c r="O525" s="19" t="s">
        <v>267</v>
      </c>
    </row>
    <row r="526" spans="1:15">
      <c r="J526" s="99" t="str">
        <f>LEFT($J$111,13)&amp;"-05"</f>
        <v>FG-240-4P2L2R-05</v>
      </c>
      <c r="M526" s="1">
        <f>ROW()</f>
        <v>526</v>
      </c>
      <c r="N526" s="19" t="s">
        <v>262</v>
      </c>
      <c r="O526" s="19" t="s">
        <v>268</v>
      </c>
    </row>
    <row r="527" spans="1:15">
      <c r="M527" s="1">
        <f>ROW()</f>
        <v>527</v>
      </c>
      <c r="N527" s="19" t="s">
        <v>263</v>
      </c>
      <c r="O527" s="19" t="s">
        <v>269</v>
      </c>
    </row>
    <row r="528" spans="1:15">
      <c r="M528" s="1">
        <f>ROW()</f>
        <v>528</v>
      </c>
      <c r="N528" s="19" t="s">
        <v>264</v>
      </c>
      <c r="O528" s="19" t="s">
        <v>270</v>
      </c>
    </row>
  </sheetData>
  <dataConsolidate function="product">
    <dataRefs count="1">
      <dataRef ref="O154:O162" sheet="240_2Panel(L)" r:id="rId1"/>
    </dataRefs>
  </dataConsolidate>
  <mergeCells count="68">
    <mergeCell ref="I190:J190"/>
    <mergeCell ref="I187:J187"/>
    <mergeCell ref="I188:J188"/>
    <mergeCell ref="I189:J189"/>
    <mergeCell ref="I182:J182"/>
    <mergeCell ref="I183:J183"/>
    <mergeCell ref="I184:J184"/>
    <mergeCell ref="I185:J185"/>
    <mergeCell ref="I186:J186"/>
    <mergeCell ref="I177:J177"/>
    <mergeCell ref="I178:J178"/>
    <mergeCell ref="I179:J179"/>
    <mergeCell ref="I180:J180"/>
    <mergeCell ref="I181:J181"/>
    <mergeCell ref="I172:J172"/>
    <mergeCell ref="I173:J173"/>
    <mergeCell ref="I174:J174"/>
    <mergeCell ref="I175:J175"/>
    <mergeCell ref="I176:J176"/>
    <mergeCell ref="I170:J170"/>
    <mergeCell ref="I165:J165"/>
    <mergeCell ref="I166:J166"/>
    <mergeCell ref="I167:J167"/>
    <mergeCell ref="I168:J168"/>
    <mergeCell ref="I169:J169"/>
    <mergeCell ref="I160:J160"/>
    <mergeCell ref="I161:J161"/>
    <mergeCell ref="I162:J162"/>
    <mergeCell ref="I163:J163"/>
    <mergeCell ref="I164:J164"/>
    <mergeCell ref="I155:J155"/>
    <mergeCell ref="I156:J156"/>
    <mergeCell ref="I157:J157"/>
    <mergeCell ref="I158:J158"/>
    <mergeCell ref="I159:J159"/>
    <mergeCell ref="A6:J6"/>
    <mergeCell ref="H120:I121"/>
    <mergeCell ref="J120:J121"/>
    <mergeCell ref="A117:J117"/>
    <mergeCell ref="H123:I124"/>
    <mergeCell ref="J123:J124"/>
    <mergeCell ref="D119:G119"/>
    <mergeCell ref="D121:G121"/>
    <mergeCell ref="D123:G123"/>
    <mergeCell ref="F520:G520"/>
    <mergeCell ref="A212:J212"/>
    <mergeCell ref="A518:J518"/>
    <mergeCell ref="A426:J426"/>
    <mergeCell ref="A319:J319"/>
    <mergeCell ref="F329:G329"/>
    <mergeCell ref="F330:G330"/>
    <mergeCell ref="F333:G333"/>
    <mergeCell ref="D159:D160"/>
    <mergeCell ref="H159:H160"/>
    <mergeCell ref="A171:J171"/>
    <mergeCell ref="A125:B125"/>
    <mergeCell ref="H126:I127"/>
    <mergeCell ref="J126:J127"/>
    <mergeCell ref="D127:G127"/>
    <mergeCell ref="A131:J131"/>
    <mergeCell ref="I154:J154"/>
    <mergeCell ref="D168:D169"/>
    <mergeCell ref="H168:H169"/>
    <mergeCell ref="D129:G129"/>
    <mergeCell ref="D161:D162"/>
    <mergeCell ref="D163:D167"/>
    <mergeCell ref="H163:H167"/>
    <mergeCell ref="H161:H162"/>
  </mergeCells>
  <dataValidations count="4">
    <dataValidation type="list" allowBlank="1" showInputMessage="1" showErrorMessage="1" sqref="D127:G127">
      <formula1>$N$120:$N$128</formula1>
    </dataValidation>
    <dataValidation type="list" allowBlank="1" showInputMessage="1" showErrorMessage="1" sqref="C205">
      <formula1>$AA$173:$AA$191</formula1>
    </dataValidation>
    <dataValidation type="list" allowBlank="1" showInputMessage="1" showErrorMessage="1" sqref="D129:G129">
      <formula1>$O$120</formula1>
    </dataValidation>
    <dataValidation type="list" allowBlank="1" showInputMessage="1" showErrorMessage="1" sqref="D123:G123">
      <formula1>$P$119:$P$130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4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6" max="9" man="1"/>
    <brk id="313" max="16383" man="1"/>
    <brk id="420" max="9" man="1"/>
  </rowBreaks>
  <drawing r:id="rId3"/>
  <legacy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-0.249977111117893"/>
  </sheetPr>
  <dimension ref="A1:AJ529"/>
  <sheetViews>
    <sheetView showGridLines="0" view="pageBreakPreview" topLeftCell="A112" zoomScale="75" zoomScaleNormal="75" zoomScaleSheetLayoutView="75" workbookViewId="0">
      <selection activeCell="C115" sqref="C115"/>
    </sheetView>
  </sheetViews>
  <sheetFormatPr defaultRowHeight="14.4" outlineLevelRow="1" outlineLevelCol="1"/>
  <cols>
    <col min="1" max="1" width="7" customWidth="1"/>
    <col min="2" max="2" width="40.6640625" customWidth="1"/>
    <col min="3" max="3" width="61.3320312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7.6640625" customWidth="1"/>
    <col min="9" max="9" width="11.109375" bestFit="1" customWidth="1"/>
    <col min="10" max="10" width="11.6640625" style="112" customWidth="1"/>
    <col min="12" max="12" width="10" bestFit="1" customWidth="1"/>
    <col min="14" max="14" width="22.5546875" hidden="1" customWidth="1" outlineLevel="1"/>
    <col min="15" max="15" width="25.6640625" hidden="1" customWidth="1" outlineLevel="1"/>
    <col min="16" max="16" width="41.554687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3.4414062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79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79"/>
      <c r="E3" s="279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134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>
      <c r="G45" s="10"/>
    </row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/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330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79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79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43" t="s">
        <v>31</v>
      </c>
      <c r="B117" s="544"/>
      <c r="C117" s="544"/>
      <c r="D117" s="544"/>
      <c r="E117" s="544"/>
      <c r="F117" s="544"/>
      <c r="G117" s="544"/>
      <c r="H117" s="544"/>
      <c r="I117" s="544"/>
      <c r="J117" s="545"/>
      <c r="K117" s="11"/>
      <c r="L117" s="4"/>
      <c r="M117" s="4"/>
      <c r="N117" s="4"/>
    </row>
    <row r="118" spans="1:16" s="1" customFormat="1" ht="15.6">
      <c r="A118" s="12"/>
      <c r="C118" s="8"/>
      <c r="D118" s="15"/>
      <c r="E118" s="13"/>
      <c r="J118" s="360"/>
      <c r="K118" s="11"/>
      <c r="L118" s="56"/>
      <c r="M118" s="56"/>
      <c r="N118" s="56"/>
    </row>
    <row r="119" spans="1:16" s="1" customFormat="1" ht="18" customHeight="1">
      <c r="A119" s="12"/>
      <c r="C119" s="110" t="s">
        <v>635</v>
      </c>
      <c r="D119" s="524" t="s">
        <v>664</v>
      </c>
      <c r="E119" s="525"/>
      <c r="F119" s="525"/>
      <c r="G119" s="526"/>
      <c r="I119" s="16"/>
      <c r="J119" s="12"/>
      <c r="N119" s="243" t="s">
        <v>191</v>
      </c>
      <c r="O119" s="12" t="s">
        <v>227</v>
      </c>
      <c r="P119" s="247" t="s">
        <v>16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4">
        <v>5</v>
      </c>
      <c r="O120" s="12" t="s">
        <v>243</v>
      </c>
      <c r="P120" s="335" t="s">
        <v>389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6</v>
      </c>
      <c r="O121" s="12" t="s">
        <v>244</v>
      </c>
      <c r="P121" s="336" t="s">
        <v>390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8</v>
      </c>
      <c r="P122" s="336" t="s">
        <v>391</v>
      </c>
    </row>
    <row r="123" spans="1:16" s="1" customFormat="1" ht="15" customHeight="1">
      <c r="A123" s="12"/>
      <c r="C123" s="110" t="s">
        <v>629</v>
      </c>
      <c r="D123" s="524" t="s">
        <v>396</v>
      </c>
      <c r="E123" s="525"/>
      <c r="F123" s="525"/>
      <c r="G123" s="526"/>
      <c r="H123" s="519" t="s">
        <v>638</v>
      </c>
      <c r="I123" s="520"/>
      <c r="J123" s="517">
        <v>2600</v>
      </c>
      <c r="N123" s="245">
        <v>10</v>
      </c>
      <c r="P123" s="336" t="s">
        <v>392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12</v>
      </c>
      <c r="P124" s="335" t="s">
        <v>393</v>
      </c>
    </row>
    <row r="125" spans="1:16" s="1" customFormat="1" ht="15" customHeight="1">
      <c r="A125" s="532"/>
      <c r="B125" s="532"/>
      <c r="C125" s="111" t="s">
        <v>630</v>
      </c>
      <c r="D125" s="275" t="s">
        <v>1</v>
      </c>
      <c r="E125" s="276"/>
      <c r="F125" s="276"/>
      <c r="G125" s="277"/>
      <c r="H125" s="41"/>
      <c r="I125" s="109" t="s">
        <v>468</v>
      </c>
      <c r="J125" s="12" t="s">
        <v>469</v>
      </c>
      <c r="K125" s="358"/>
      <c r="L125" s="77"/>
      <c r="N125" s="245">
        <v>14</v>
      </c>
      <c r="P125" s="335" t="s">
        <v>394</v>
      </c>
    </row>
    <row r="126" spans="1:16" s="1" customFormat="1" ht="15" customHeight="1">
      <c r="A126" s="360"/>
      <c r="B126" s="360"/>
      <c r="C126" s="423" t="s">
        <v>631</v>
      </c>
      <c r="D126" s="15"/>
      <c r="I126" s="366">
        <v>600</v>
      </c>
      <c r="J126" s="372">
        <v>2000</v>
      </c>
      <c r="K126" s="358"/>
      <c r="L126" s="77"/>
      <c r="N126" s="245">
        <v>18</v>
      </c>
      <c r="P126" s="335" t="s">
        <v>395</v>
      </c>
    </row>
    <row r="127" spans="1:16" s="1" customFormat="1" ht="15" customHeight="1">
      <c r="A127" s="360"/>
      <c r="B127" s="360"/>
      <c r="C127" s="110" t="s">
        <v>633</v>
      </c>
      <c r="D127" s="534">
        <v>6</v>
      </c>
      <c r="E127" s="535"/>
      <c r="F127" s="535"/>
      <c r="G127" s="536"/>
      <c r="N127" s="245">
        <v>20</v>
      </c>
      <c r="P127" s="335" t="s">
        <v>396</v>
      </c>
    </row>
    <row r="128" spans="1:16" s="1" customFormat="1" ht="18.75" customHeight="1">
      <c r="C128" s="423" t="s">
        <v>632</v>
      </c>
      <c r="H128" s="519" t="s">
        <v>639</v>
      </c>
      <c r="I128" s="520"/>
      <c r="J128" s="517">
        <v>4150</v>
      </c>
      <c r="N128" s="245">
        <v>22</v>
      </c>
      <c r="P128" s="335" t="s">
        <v>397</v>
      </c>
    </row>
    <row r="129" spans="1:23" s="1" customFormat="1" ht="15" customHeight="1">
      <c r="A129" s="88" t="str">
        <f>A18</f>
        <v>240-4 Panel (2L2R)</v>
      </c>
      <c r="C129" s="110" t="s">
        <v>242</v>
      </c>
      <c r="D129" s="537" t="s">
        <v>243</v>
      </c>
      <c r="E129" s="538"/>
      <c r="F129" s="538"/>
      <c r="G129" s="539"/>
      <c r="H129" s="520"/>
      <c r="I129" s="520"/>
      <c r="J129" s="518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$J$128-60</f>
        <v>4090</v>
      </c>
      <c r="J133" s="125">
        <f t="shared" ref="J133:J153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24</v>
      </c>
      <c r="U133" s="283" t="s">
        <v>292</v>
      </c>
      <c r="V133" s="307">
        <f>($J$128-185-(113.25*3))/4</f>
        <v>906.3125</v>
      </c>
      <c r="W133" s="286">
        <f>$J$120*T133</f>
        <v>24</v>
      </c>
    </row>
    <row r="134" spans="1:23" s="1" customFormat="1" ht="18" customHeight="1">
      <c r="A134" s="143">
        <f t="shared" ref="A134:A153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$J$128-86</f>
        <v>4064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24</v>
      </c>
      <c r="U134" s="283" t="s">
        <v>292</v>
      </c>
      <c r="V134" s="307">
        <f>($J$128-185-(113.25*3))/4</f>
        <v>906.3125</v>
      </c>
      <c r="W134" s="286">
        <f t="shared" ref="W134:W141" si="2">$J$120*T134</f>
        <v>24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$J$128-60</f>
        <v>4090</v>
      </c>
      <c r="J135" s="131">
        <f t="shared" si="0"/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24</v>
      </c>
      <c r="U135" s="283" t="s">
        <v>292</v>
      </c>
      <c r="V135" s="307">
        <f>($J$128-185-(113.25*3))/4</f>
        <v>906.3125</v>
      </c>
      <c r="W135" s="286">
        <f t="shared" si="2"/>
        <v>24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$J$128-60</f>
        <v>4090</v>
      </c>
      <c r="J136" s="131">
        <f t="shared" si="0"/>
        <v>1</v>
      </c>
      <c r="N136" s="101" t="s">
        <v>468</v>
      </c>
      <c r="O136" s="281" t="s">
        <v>219</v>
      </c>
      <c r="P136" s="281" t="s">
        <v>472</v>
      </c>
      <c r="Q136" s="282" t="s">
        <v>51</v>
      </c>
      <c r="R136" s="283">
        <v>0.23100000000000001</v>
      </c>
      <c r="S136" s="284" t="s">
        <v>321</v>
      </c>
      <c r="T136" s="283">
        <v>16</v>
      </c>
      <c r="U136" s="18" t="s">
        <v>470</v>
      </c>
      <c r="V136" s="307">
        <f>$I$143-$I$126-$J$126-112.5</f>
        <v>-204.5</v>
      </c>
      <c r="W136" s="286">
        <f t="shared" si="2"/>
        <v>16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2600</v>
      </c>
      <c r="J137" s="131">
        <f t="shared" ref="J137:J145" si="3">$J$120*G137</f>
        <v>1</v>
      </c>
      <c r="N137" s="101"/>
      <c r="O137" s="127" t="s">
        <v>220</v>
      </c>
      <c r="P137" s="127" t="s">
        <v>473</v>
      </c>
      <c r="Q137" s="127" t="s">
        <v>398</v>
      </c>
      <c r="R137" s="129">
        <v>0.215</v>
      </c>
      <c r="S137" s="127" t="s">
        <v>400</v>
      </c>
      <c r="T137" s="129">
        <v>16</v>
      </c>
      <c r="U137" s="18" t="s">
        <v>470</v>
      </c>
      <c r="V137" s="307">
        <f>$I$143-$I$126-$J$126-112.5</f>
        <v>-204.5</v>
      </c>
      <c r="W137" s="286">
        <f t="shared" si="2"/>
        <v>16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2600</v>
      </c>
      <c r="J138" s="131">
        <f t="shared" si="3"/>
        <v>1</v>
      </c>
      <c r="N138" s="101"/>
      <c r="O138" s="133" t="s">
        <v>221</v>
      </c>
      <c r="P138" s="133" t="s">
        <v>474</v>
      </c>
      <c r="Q138" s="141" t="s">
        <v>224</v>
      </c>
      <c r="R138" s="135">
        <v>0.16900000000000001</v>
      </c>
      <c r="S138" s="133" t="s">
        <v>322</v>
      </c>
      <c r="T138" s="135">
        <v>16</v>
      </c>
      <c r="U138" s="18" t="s">
        <v>470</v>
      </c>
      <c r="V138" s="307">
        <f>$I$143-$I$126-$J$126-112.5</f>
        <v>-204.5</v>
      </c>
      <c r="W138" s="286">
        <f t="shared" si="2"/>
        <v>16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2504</v>
      </c>
      <c r="J139" s="131">
        <f t="shared" si="3"/>
        <v>1</v>
      </c>
      <c r="N139" s="101" t="s">
        <v>469</v>
      </c>
      <c r="O139" s="281" t="s">
        <v>219</v>
      </c>
      <c r="P139" s="281" t="s">
        <v>475</v>
      </c>
      <c r="Q139" s="282" t="s">
        <v>51</v>
      </c>
      <c r="R139" s="283">
        <v>0.23100000000000001</v>
      </c>
      <c r="S139" s="284" t="s">
        <v>321</v>
      </c>
      <c r="T139" s="283">
        <v>8</v>
      </c>
      <c r="U139" s="283" t="s">
        <v>471</v>
      </c>
      <c r="V139" s="307">
        <f>$I$143-($I$126*2)-75</f>
        <v>1233</v>
      </c>
      <c r="W139" s="286">
        <f t="shared" si="2"/>
        <v>8</v>
      </c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2504</v>
      </c>
      <c r="J140" s="131">
        <f t="shared" si="3"/>
        <v>1</v>
      </c>
      <c r="N140" s="98"/>
      <c r="O140" s="127" t="s">
        <v>220</v>
      </c>
      <c r="P140" s="127" t="s">
        <v>476</v>
      </c>
      <c r="Q140" s="127" t="s">
        <v>398</v>
      </c>
      <c r="R140" s="129">
        <v>0.215</v>
      </c>
      <c r="S140" s="127" t="s">
        <v>400</v>
      </c>
      <c r="T140" s="129">
        <v>8</v>
      </c>
      <c r="U140" s="283" t="s">
        <v>471</v>
      </c>
      <c r="V140" s="307">
        <f>$I$143-($I$126*2)-75</f>
        <v>1233</v>
      </c>
      <c r="W140" s="286">
        <f t="shared" si="2"/>
        <v>8</v>
      </c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4</v>
      </c>
      <c r="H141" s="143" t="s">
        <v>292</v>
      </c>
      <c r="I141" s="178">
        <f>($J$128-185-(113.25*3))/4</f>
        <v>906.3125</v>
      </c>
      <c r="J141" s="131">
        <f t="shared" si="3"/>
        <v>4</v>
      </c>
      <c r="N141" s="98"/>
      <c r="O141" s="133" t="s">
        <v>221</v>
      </c>
      <c r="P141" s="133" t="s">
        <v>477</v>
      </c>
      <c r="Q141" s="141" t="s">
        <v>224</v>
      </c>
      <c r="R141" s="135">
        <v>0.16900000000000001</v>
      </c>
      <c r="S141" s="133" t="s">
        <v>322</v>
      </c>
      <c r="T141" s="135">
        <v>8</v>
      </c>
      <c r="U141" s="18" t="s">
        <v>471</v>
      </c>
      <c r="V141" s="367">
        <f>$I$143-($I$126*2)-75</f>
        <v>1233</v>
      </c>
      <c r="W141" s="373">
        <f t="shared" si="2"/>
        <v>8</v>
      </c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4</v>
      </c>
      <c r="H142" s="143" t="s">
        <v>292</v>
      </c>
      <c r="I142" s="178">
        <f>($J$128-185-(113.25*3))/4</f>
        <v>906.3125</v>
      </c>
      <c r="J142" s="131">
        <f t="shared" si="3"/>
        <v>4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375" t="s">
        <v>50</v>
      </c>
      <c r="E143" s="376">
        <v>1.1060000000000001</v>
      </c>
      <c r="F143" s="375" t="s">
        <v>478</v>
      </c>
      <c r="G143" s="143">
        <v>6</v>
      </c>
      <c r="H143" s="143" t="s">
        <v>63</v>
      </c>
      <c r="I143" s="130">
        <f>$J$123-92</f>
        <v>2508</v>
      </c>
      <c r="J143" s="131">
        <f t="shared" si="3"/>
        <v>6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375" t="s">
        <v>50</v>
      </c>
      <c r="E144" s="376">
        <v>1.1060000000000001</v>
      </c>
      <c r="F144" s="375" t="s">
        <v>479</v>
      </c>
      <c r="G144" s="143">
        <v>1</v>
      </c>
      <c r="H144" s="143" t="s">
        <v>63</v>
      </c>
      <c r="I144" s="130">
        <f>$J$123-92</f>
        <v>2508</v>
      </c>
      <c r="J144" s="131">
        <f t="shared" si="3"/>
        <v>1</v>
      </c>
      <c r="N144" s="98"/>
    </row>
    <row r="145" spans="1:14" s="1" customFormat="1" ht="18" customHeight="1">
      <c r="A145" s="143">
        <f t="shared" si="1"/>
        <v>13</v>
      </c>
      <c r="B145" s="140" t="s">
        <v>8</v>
      </c>
      <c r="C145" s="140" t="s">
        <v>58</v>
      </c>
      <c r="D145" s="375" t="s">
        <v>50</v>
      </c>
      <c r="E145" s="376">
        <v>1.1060000000000001</v>
      </c>
      <c r="F145" s="375" t="s">
        <v>480</v>
      </c>
      <c r="G145" s="143">
        <v>1</v>
      </c>
      <c r="H145" s="143" t="s">
        <v>63</v>
      </c>
      <c r="I145" s="130">
        <f>$J$123-92</f>
        <v>2508</v>
      </c>
      <c r="J145" s="131">
        <f t="shared" si="3"/>
        <v>1</v>
      </c>
      <c r="N145" s="98"/>
    </row>
    <row r="146" spans="1:14" s="1" customFormat="1" ht="18" customHeight="1">
      <c r="A146" s="143">
        <f t="shared" si="1"/>
        <v>14</v>
      </c>
      <c r="B146" s="127" t="str">
        <f t="shared" ref="B146:J146" si="4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27" t="str">
        <f t="shared" si="4"/>
        <v>5-6mm GLAZING BEAD HORIZONTAL</v>
      </c>
      <c r="D146" s="127" t="str">
        <f t="shared" si="4"/>
        <v>B24008</v>
      </c>
      <c r="E146" s="127">
        <f t="shared" si="4"/>
        <v>0.23100000000000001</v>
      </c>
      <c r="F146" s="127" t="str">
        <f t="shared" si="4"/>
        <v>B24008-001</v>
      </c>
      <c r="G146" s="129">
        <f t="shared" si="4"/>
        <v>24</v>
      </c>
      <c r="H146" s="129" t="str">
        <f t="shared" si="4"/>
        <v>(W-185-(113.25 × 3))/4</v>
      </c>
      <c r="I146" s="178">
        <f t="shared" si="4"/>
        <v>906.3125</v>
      </c>
      <c r="J146" s="144">
        <f t="shared" si="4"/>
        <v>24</v>
      </c>
      <c r="N146" s="98"/>
    </row>
    <row r="147" spans="1:14" s="1" customFormat="1" ht="18" customHeight="1">
      <c r="A147" s="143">
        <f t="shared" si="1"/>
        <v>15</v>
      </c>
      <c r="B147" s="127" t="str">
        <f t="shared" ref="B147:J147" si="5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27" t="str">
        <f t="shared" si="5"/>
        <v>5-6mm GLAZING BEAD VERTICAL P1</v>
      </c>
      <c r="D147" s="127" t="str">
        <f t="shared" si="5"/>
        <v>B24008</v>
      </c>
      <c r="E147" s="127">
        <f t="shared" si="5"/>
        <v>0.23100000000000001</v>
      </c>
      <c r="F147" s="127" t="str">
        <f t="shared" si="5"/>
        <v>B24008-002</v>
      </c>
      <c r="G147" s="129">
        <f t="shared" si="5"/>
        <v>16</v>
      </c>
      <c r="H147" s="129" t="str">
        <f t="shared" si="5"/>
        <v>SASH -P1-P2-112.5</v>
      </c>
      <c r="I147" s="144">
        <f t="shared" si="5"/>
        <v>-204.5</v>
      </c>
      <c r="J147" s="144">
        <f t="shared" si="5"/>
        <v>16</v>
      </c>
      <c r="N147" s="98"/>
    </row>
    <row r="148" spans="1:14" s="1" customFormat="1" ht="18" customHeight="1">
      <c r="A148" s="143">
        <f t="shared" si="1"/>
        <v>16</v>
      </c>
      <c r="B148" s="127" t="str">
        <f t="shared" ref="B148:J148" si="6">IF($D$127=5,O139,IF($D$127=6,O139,IF($D$127=8,O140,IF($D$127=10,O140,IF($D$127=12,O140,IF($D$127=14,O141,IF($D$127=18,O141,IF($D$127=20,O141,IF($D$127=22,O141,)))))))))</f>
        <v>5-6mm คิ้วตบกระจกแนวตั้ง</v>
      </c>
      <c r="C148" s="127" t="str">
        <f t="shared" si="6"/>
        <v>5-6mm GLAZING BEAD VERTICAL P2</v>
      </c>
      <c r="D148" s="127" t="str">
        <f t="shared" si="6"/>
        <v>B24008</v>
      </c>
      <c r="E148" s="127">
        <f t="shared" si="6"/>
        <v>0.23100000000000001</v>
      </c>
      <c r="F148" s="127" t="str">
        <f t="shared" si="6"/>
        <v>B24008-002</v>
      </c>
      <c r="G148" s="129">
        <f t="shared" si="6"/>
        <v>8</v>
      </c>
      <c r="H148" s="129" t="str">
        <f t="shared" si="6"/>
        <v>SASH -(2P1)-75</v>
      </c>
      <c r="I148" s="144">
        <f t="shared" si="6"/>
        <v>1233</v>
      </c>
      <c r="J148" s="144">
        <f t="shared" si="6"/>
        <v>8</v>
      </c>
      <c r="N148" s="98"/>
    </row>
    <row r="149" spans="1:14" s="1" customFormat="1" ht="18" customHeight="1">
      <c r="A149" s="143">
        <f t="shared" si="1"/>
        <v>17</v>
      </c>
      <c r="B149" s="140" t="s">
        <v>466</v>
      </c>
      <c r="C149" s="140" t="s">
        <v>464</v>
      </c>
      <c r="D149" s="139" t="s">
        <v>465</v>
      </c>
      <c r="E149" s="143">
        <v>0.93200000000000005</v>
      </c>
      <c r="F149" s="139" t="s">
        <v>467</v>
      </c>
      <c r="G149" s="143">
        <v>8</v>
      </c>
      <c r="H149" s="143" t="s">
        <v>292</v>
      </c>
      <c r="I149" s="178">
        <f>($J$128-185-(113.25*3))/4</f>
        <v>906.3125</v>
      </c>
      <c r="J149" s="131">
        <f>$J$120*G149</f>
        <v>8</v>
      </c>
      <c r="N149" s="98"/>
    </row>
    <row r="150" spans="1:14" s="1" customFormat="1" ht="18" customHeight="1">
      <c r="A150" s="143" t="str">
        <f t="shared" si="1"/>
        <v/>
      </c>
      <c r="B150" s="140"/>
      <c r="C150" s="140"/>
      <c r="D150" s="139"/>
      <c r="E150" s="143"/>
      <c r="F150" s="139"/>
      <c r="G150" s="143"/>
      <c r="H150" s="143"/>
      <c r="I150" s="130"/>
      <c r="J150" s="131">
        <f t="shared" si="0"/>
        <v>0</v>
      </c>
      <c r="N150" s="98"/>
    </row>
    <row r="151" spans="1:14" s="1" customFormat="1" ht="18" customHeight="1">
      <c r="A151" s="143" t="str">
        <f t="shared" si="1"/>
        <v/>
      </c>
      <c r="B151" s="140"/>
      <c r="C151" s="140"/>
      <c r="D151" s="139"/>
      <c r="E151" s="143"/>
      <c r="F151" s="139"/>
      <c r="G151" s="143"/>
      <c r="H151" s="143"/>
      <c r="I151" s="130"/>
      <c r="J151" s="131">
        <f t="shared" si="0"/>
        <v>0</v>
      </c>
      <c r="N151" s="98"/>
    </row>
    <row r="152" spans="1:14" s="1" customFormat="1" ht="18" customHeight="1">
      <c r="A152" s="143" t="str">
        <f t="shared" si="1"/>
        <v/>
      </c>
      <c r="B152" s="140"/>
      <c r="C152" s="140"/>
      <c r="D152" s="139"/>
      <c r="E152" s="143"/>
      <c r="F152" s="139"/>
      <c r="G152" s="143"/>
      <c r="H152" s="143"/>
      <c r="I152" s="144"/>
      <c r="J152" s="131">
        <f t="shared" si="0"/>
        <v>0</v>
      </c>
      <c r="N152" s="98"/>
    </row>
    <row r="153" spans="1:14" s="1" customFormat="1" ht="18" customHeight="1" thickBot="1">
      <c r="A153" s="143" t="str">
        <f t="shared" si="1"/>
        <v/>
      </c>
      <c r="B153" s="167"/>
      <c r="C153" s="167"/>
      <c r="D153" s="168"/>
      <c r="E153" s="166"/>
      <c r="F153" s="168"/>
      <c r="G153" s="166"/>
      <c r="H153" s="166"/>
      <c r="I153" s="171"/>
      <c r="J153" s="172">
        <f t="shared" si="0"/>
        <v>0</v>
      </c>
    </row>
    <row r="154" spans="1:14" s="1" customFormat="1" ht="27" outlineLevel="1" thickBot="1">
      <c r="A154" s="211" t="s">
        <v>2</v>
      </c>
      <c r="B154" s="210" t="s">
        <v>29</v>
      </c>
      <c r="C154" s="169" t="s">
        <v>3</v>
      </c>
      <c r="D154" s="169" t="s">
        <v>4</v>
      </c>
      <c r="E154" s="169" t="s">
        <v>5</v>
      </c>
      <c r="F154" s="177" t="s">
        <v>85</v>
      </c>
      <c r="G154" s="169" t="s">
        <v>22</v>
      </c>
      <c r="H154" s="170" t="s">
        <v>23</v>
      </c>
      <c r="I154" s="540"/>
      <c r="J154" s="541"/>
    </row>
    <row r="155" spans="1:14" s="1" customFormat="1" ht="15" customHeight="1" outlineLevel="1">
      <c r="A155" s="212">
        <f>IF(B133="","",1)</f>
        <v>1</v>
      </c>
      <c r="B155" s="173" t="str">
        <f t="shared" ref="B155:C161" si="7">B133</f>
        <v>เฟรมบน</v>
      </c>
      <c r="C155" s="173" t="str">
        <f t="shared" si="7"/>
        <v>HEAD</v>
      </c>
      <c r="D155" s="174" t="str">
        <f>VLOOKUP(C155,$C$133:$H$153,2,0)</f>
        <v>B24001</v>
      </c>
      <c r="E155" s="175">
        <f t="shared" ref="E155:E161" si="8">VLOOKUP(C155,$C$133:$H$153,3,0)</f>
        <v>1.603</v>
      </c>
      <c r="F155" s="353">
        <f>VLOOKUP(C155,$C$133:$J$153,7,0)</f>
        <v>4090</v>
      </c>
      <c r="G155" s="175">
        <f t="shared" ref="G155:G161" si="9">VLOOKUP(C155,$C$133:$J$153,8,0)</f>
        <v>1</v>
      </c>
      <c r="H155" s="191">
        <f>ROUNDUP((F155*G155)/6400,0)</f>
        <v>1</v>
      </c>
      <c r="I155" s="501"/>
      <c r="J155" s="501"/>
    </row>
    <row r="156" spans="1:14" s="1" customFormat="1" ht="15" customHeight="1" outlineLevel="1">
      <c r="A156" s="213">
        <f>IF(B156="","",+A155+1)</f>
        <v>2</v>
      </c>
      <c r="B156" s="173" t="str">
        <f t="shared" si="7"/>
        <v>บังใบบน</v>
      </c>
      <c r="C156" s="173" t="str">
        <f t="shared" si="7"/>
        <v>DOOR STOP HEAD</v>
      </c>
      <c r="D156" s="174" t="str">
        <f>VLOOKUP(C156,$C$133:$H$153,2,0)</f>
        <v>B24002</v>
      </c>
      <c r="E156" s="175">
        <f t="shared" si="8"/>
        <v>0.27800000000000002</v>
      </c>
      <c r="F156" s="353">
        <f t="shared" ref="F156:F161" si="10">VLOOKUP(C156,$C$133:$I$153,7,0)</f>
        <v>4064</v>
      </c>
      <c r="G156" s="175">
        <f t="shared" si="9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213">
        <f t="shared" ref="A157:A161" si="11">IF(B157="","",+A156+1)</f>
        <v>3</v>
      </c>
      <c r="B157" s="173" t="str">
        <f t="shared" si="7"/>
        <v xml:space="preserve">เฟรมล่าง </v>
      </c>
      <c r="C157" s="173" t="str">
        <f t="shared" si="7"/>
        <v>SILL</v>
      </c>
      <c r="D157" s="174" t="str">
        <f>VLOOKUP(C157,$C$133:$H$153,2,0)</f>
        <v>B24003</v>
      </c>
      <c r="E157" s="175">
        <f t="shared" si="8"/>
        <v>1.603</v>
      </c>
      <c r="F157" s="353">
        <f t="shared" si="10"/>
        <v>4090</v>
      </c>
      <c r="G157" s="175">
        <f t="shared" si="9"/>
        <v>1</v>
      </c>
      <c r="H157" s="192">
        <f t="shared" ref="H157:H158" si="12">ROUNDUP((F157*G157)/6400,0)</f>
        <v>1</v>
      </c>
      <c r="I157" s="501"/>
      <c r="J157" s="501"/>
    </row>
    <row r="158" spans="1:14" s="1" customFormat="1" ht="15" customHeight="1" outlineLevel="1">
      <c r="A158" s="213">
        <f t="shared" si="11"/>
        <v>4</v>
      </c>
      <c r="B158" s="173" t="str">
        <f t="shared" si="7"/>
        <v>ตัวตับธรณี</v>
      </c>
      <c r="C158" s="173" t="str">
        <f t="shared" si="7"/>
        <v>DOOR STOP SILL</v>
      </c>
      <c r="D158" s="174" t="str">
        <f>VLOOKUP(C158,$C$133:$H$153,2,0)</f>
        <v>B24004</v>
      </c>
      <c r="E158" s="175">
        <f t="shared" si="8"/>
        <v>0.51600000000000001</v>
      </c>
      <c r="F158" s="353">
        <f t="shared" si="10"/>
        <v>4090</v>
      </c>
      <c r="G158" s="175">
        <f t="shared" si="9"/>
        <v>1</v>
      </c>
      <c r="H158" s="192">
        <f t="shared" si="12"/>
        <v>1</v>
      </c>
      <c r="I158" s="501"/>
      <c r="J158" s="501"/>
    </row>
    <row r="159" spans="1:14" s="1" customFormat="1" ht="15" customHeight="1" outlineLevel="1">
      <c r="A159" s="213">
        <f t="shared" si="11"/>
        <v>5</v>
      </c>
      <c r="B159" s="173" t="str">
        <f t="shared" si="7"/>
        <v>เฟรมข้าง (ซ้าย)</v>
      </c>
      <c r="C159" s="173" t="str">
        <f t="shared" si="7"/>
        <v>JAMB (L)</v>
      </c>
      <c r="D159" s="508" t="str">
        <f>VLOOKUP(C159,$C$133:$H$153,2,0)</f>
        <v>B24005</v>
      </c>
      <c r="E159" s="175">
        <f t="shared" si="8"/>
        <v>0.89300000000000002</v>
      </c>
      <c r="F159" s="353">
        <f t="shared" si="10"/>
        <v>2600</v>
      </c>
      <c r="G159" s="175">
        <f t="shared" si="9"/>
        <v>1</v>
      </c>
      <c r="H159" s="516">
        <f>ROUNDUP(((F159*G159)+(F160*G160))/6400,0)</f>
        <v>1</v>
      </c>
      <c r="I159" s="506"/>
      <c r="J159" s="506"/>
    </row>
    <row r="160" spans="1:14" s="1" customFormat="1" ht="15" customHeight="1" outlineLevel="1">
      <c r="A160" s="213">
        <f t="shared" si="11"/>
        <v>6</v>
      </c>
      <c r="B160" s="173" t="str">
        <f t="shared" si="7"/>
        <v>เฟรมข้าง (ขวา)</v>
      </c>
      <c r="C160" s="173" t="str">
        <f t="shared" si="7"/>
        <v>JAMB (R)</v>
      </c>
      <c r="D160" s="509"/>
      <c r="E160" s="175">
        <f t="shared" si="8"/>
        <v>0.89300000000000002</v>
      </c>
      <c r="F160" s="353">
        <f t="shared" si="10"/>
        <v>2600</v>
      </c>
      <c r="G160" s="175">
        <f t="shared" si="9"/>
        <v>1</v>
      </c>
      <c r="H160" s="516"/>
      <c r="I160" s="506"/>
      <c r="J160" s="506"/>
    </row>
    <row r="161" spans="1:36" s="1" customFormat="1" ht="15" customHeight="1" outlineLevel="1">
      <c r="A161" s="213">
        <f t="shared" si="11"/>
        <v>7</v>
      </c>
      <c r="B161" s="173" t="str">
        <f t="shared" si="7"/>
        <v>บังใบข้าง (ซ้าย)</v>
      </c>
      <c r="C161" s="173" t="str">
        <f t="shared" si="7"/>
        <v>DOOR STOP JAMB (L)</v>
      </c>
      <c r="D161" s="508" t="str">
        <f>VLOOKUP(C161,$C$133:$H$153,2,0)</f>
        <v>B24006</v>
      </c>
      <c r="E161" s="175">
        <f t="shared" si="8"/>
        <v>0.23499999999999999</v>
      </c>
      <c r="F161" s="353">
        <f t="shared" si="10"/>
        <v>2504</v>
      </c>
      <c r="G161" s="175">
        <f t="shared" si="9"/>
        <v>1</v>
      </c>
      <c r="H161" s="516">
        <f>ROUNDUP(((F161*G161)+(F162*G162))/6400,0)</f>
        <v>1</v>
      </c>
      <c r="I161" s="501"/>
      <c r="J161" s="501"/>
    </row>
    <row r="162" spans="1:36" s="1" customFormat="1" ht="15" customHeight="1" outlineLevel="1">
      <c r="A162" s="213">
        <f t="shared" ref="A162:A171" si="13">IF(B162="","",+A161+1)</f>
        <v>8</v>
      </c>
      <c r="B162" s="173" t="str">
        <f t="shared" ref="B162:C162" si="14">B140</f>
        <v>บังใบข้าง (ขวา)</v>
      </c>
      <c r="C162" s="173" t="str">
        <f t="shared" si="14"/>
        <v>DOOR STOP JAMB (R)</v>
      </c>
      <c r="D162" s="509"/>
      <c r="E162" s="175">
        <f t="shared" ref="E162:E171" si="15">VLOOKUP(C162,$C$133:$H$153,3,0)</f>
        <v>0.23499999999999999</v>
      </c>
      <c r="F162" s="353">
        <f t="shared" ref="F162:F171" si="16">VLOOKUP(C162,$C$133:$I$153,7,0)</f>
        <v>2504</v>
      </c>
      <c r="G162" s="175">
        <f t="shared" ref="G162:G171" si="17">VLOOKUP(C162,$C$133:$J$153,8,0)</f>
        <v>1</v>
      </c>
      <c r="H162" s="516"/>
      <c r="I162" s="506"/>
      <c r="J162" s="506"/>
    </row>
    <row r="163" spans="1:36" s="1" customFormat="1" ht="13.8" outlineLevel="1">
      <c r="A163" s="213">
        <f t="shared" si="13"/>
        <v>9</v>
      </c>
      <c r="B163" s="173" t="str">
        <f t="shared" ref="B163:C163" si="18">B141</f>
        <v>ขวางบน</v>
      </c>
      <c r="C163" s="173" t="str">
        <f t="shared" si="18"/>
        <v>SASH (Hor) (T)</v>
      </c>
      <c r="D163" s="508" t="str">
        <f t="shared" ref="D163:D171" si="19">VLOOKUP(C163,$C$133:$H$153,2,0)</f>
        <v>B24007</v>
      </c>
      <c r="E163" s="175">
        <f t="shared" si="15"/>
        <v>1.1060000000000001</v>
      </c>
      <c r="F163" s="353">
        <f t="shared" si="16"/>
        <v>906.3125</v>
      </c>
      <c r="G163" s="175">
        <f t="shared" si="17"/>
        <v>4</v>
      </c>
      <c r="H163" s="512">
        <f>ROUNDUP(((F163*G163)+(F164*G164)+(F165*G165)+(F166*G166)+(F167*G167))/6400,0)</f>
        <v>5</v>
      </c>
      <c r="I163" s="506"/>
      <c r="J163" s="506"/>
    </row>
    <row r="164" spans="1:36" s="1" customFormat="1" ht="13.8" outlineLevel="1">
      <c r="A164" s="213">
        <f t="shared" si="13"/>
        <v>10</v>
      </c>
      <c r="B164" s="173" t="str">
        <f t="shared" ref="B164:C164" si="20">B142</f>
        <v>ขวางล่าง</v>
      </c>
      <c r="C164" s="173" t="str">
        <f t="shared" si="20"/>
        <v>SASH (Hor) (B)</v>
      </c>
      <c r="D164" s="510"/>
      <c r="E164" s="175">
        <f t="shared" si="15"/>
        <v>1.1060000000000001</v>
      </c>
      <c r="F164" s="353">
        <f t="shared" si="16"/>
        <v>906.3125</v>
      </c>
      <c r="G164" s="175">
        <f t="shared" si="17"/>
        <v>4</v>
      </c>
      <c r="H164" s="514"/>
      <c r="I164" s="506"/>
      <c r="J164" s="506"/>
    </row>
    <row r="165" spans="1:36" s="1" customFormat="1" ht="13.8" outlineLevel="1">
      <c r="A165" s="213">
        <f t="shared" si="13"/>
        <v>11</v>
      </c>
      <c r="B165" s="173" t="str">
        <f t="shared" ref="B165:C165" si="21">B143</f>
        <v>เสา</v>
      </c>
      <c r="C165" s="173" t="str">
        <f t="shared" si="21"/>
        <v xml:space="preserve">SASH (Ver) </v>
      </c>
      <c r="D165" s="510"/>
      <c r="E165" s="175">
        <f t="shared" si="15"/>
        <v>1.1060000000000001</v>
      </c>
      <c r="F165" s="353">
        <f t="shared" si="16"/>
        <v>2508</v>
      </c>
      <c r="G165" s="175">
        <f t="shared" si="17"/>
        <v>6</v>
      </c>
      <c r="H165" s="514"/>
      <c r="I165" s="506"/>
      <c r="J165" s="506"/>
    </row>
    <row r="166" spans="1:36" s="1" customFormat="1" ht="13.8" outlineLevel="1">
      <c r="A166" s="213">
        <f t="shared" si="13"/>
        <v>12</v>
      </c>
      <c r="B166" s="173" t="str">
        <f t="shared" ref="B166:C166" si="22">B144</f>
        <v>เสากุญแจ</v>
      </c>
      <c r="C166" s="173" t="str">
        <f t="shared" si="22"/>
        <v xml:space="preserve">SASH (Ver) LOCK </v>
      </c>
      <c r="D166" s="510"/>
      <c r="E166" s="175">
        <f t="shared" si="15"/>
        <v>1.1060000000000001</v>
      </c>
      <c r="F166" s="353">
        <f t="shared" si="16"/>
        <v>2508</v>
      </c>
      <c r="G166" s="175">
        <f t="shared" si="17"/>
        <v>1</v>
      </c>
      <c r="H166" s="514"/>
      <c r="I166" s="506"/>
      <c r="J166" s="506"/>
    </row>
    <row r="167" spans="1:36" s="1" customFormat="1" ht="15" customHeight="1" outlineLevel="1">
      <c r="A167" s="213">
        <f t="shared" si="13"/>
        <v>13</v>
      </c>
      <c r="B167" s="173" t="str">
        <f t="shared" ref="B167:C167" si="23">B145</f>
        <v>เสากุญแจ</v>
      </c>
      <c r="C167" s="173" t="str">
        <f t="shared" si="23"/>
        <v xml:space="preserve">SASH (Ver) LOCK </v>
      </c>
      <c r="D167" s="509"/>
      <c r="E167" s="175">
        <f t="shared" si="15"/>
        <v>1.1060000000000001</v>
      </c>
      <c r="F167" s="353">
        <f t="shared" si="16"/>
        <v>2508</v>
      </c>
      <c r="G167" s="175">
        <f t="shared" si="17"/>
        <v>1</v>
      </c>
      <c r="H167" s="515"/>
      <c r="I167" s="506"/>
      <c r="J167" s="506"/>
    </row>
    <row r="168" spans="1:36" s="1" customFormat="1" ht="13.8" outlineLevel="1">
      <c r="A168" s="213">
        <f t="shared" si="13"/>
        <v>14</v>
      </c>
      <c r="B168" s="173" t="str">
        <f t="shared" ref="B168:C168" si="24">B146</f>
        <v>5-6mm คิ้วตบกระจกแนวนอน</v>
      </c>
      <c r="C168" s="173" t="str">
        <f t="shared" si="24"/>
        <v>5-6mm GLAZING BEAD HORIZONTAL</v>
      </c>
      <c r="D168" s="508" t="str">
        <f t="shared" si="19"/>
        <v>B24008</v>
      </c>
      <c r="E168" s="175">
        <f t="shared" si="15"/>
        <v>0.23100000000000001</v>
      </c>
      <c r="F168" s="353">
        <f t="shared" si="16"/>
        <v>906.3125</v>
      </c>
      <c r="G168" s="175">
        <f t="shared" si="17"/>
        <v>24</v>
      </c>
      <c r="H168" s="512">
        <f>ROUNDUP(((F168*G168)+(F169*G169)+(F170*G170))/6400,0)</f>
        <v>5</v>
      </c>
      <c r="I168" s="501"/>
      <c r="J168" s="501"/>
    </row>
    <row r="169" spans="1:36" s="1" customFormat="1" ht="15" customHeight="1" outlineLevel="1">
      <c r="A169" s="213">
        <f t="shared" si="13"/>
        <v>15</v>
      </c>
      <c r="B169" s="173" t="str">
        <f t="shared" ref="B169:C169" si="25">B147</f>
        <v>5-6mm คิ้วตบกระจกแนวตั้ง</v>
      </c>
      <c r="C169" s="173" t="str">
        <f t="shared" si="25"/>
        <v>5-6mm GLAZING BEAD VERTICAL P1</v>
      </c>
      <c r="D169" s="510"/>
      <c r="E169" s="175">
        <f t="shared" si="15"/>
        <v>0.23100000000000001</v>
      </c>
      <c r="F169" s="353">
        <f t="shared" si="16"/>
        <v>-204.5</v>
      </c>
      <c r="G169" s="175">
        <f t="shared" si="17"/>
        <v>16</v>
      </c>
      <c r="H169" s="514"/>
      <c r="I169" s="359"/>
      <c r="J169" s="359"/>
    </row>
    <row r="170" spans="1:36" s="23" customFormat="1" ht="15" customHeight="1" outlineLevel="1">
      <c r="A170" s="213">
        <f t="shared" si="13"/>
        <v>16</v>
      </c>
      <c r="B170" s="173" t="str">
        <f t="shared" ref="B170:C170" si="26">B148</f>
        <v>5-6mm คิ้วตบกระจกแนวตั้ง</v>
      </c>
      <c r="C170" s="173" t="str">
        <f t="shared" si="26"/>
        <v>5-6mm GLAZING BEAD VERTICAL P2</v>
      </c>
      <c r="D170" s="509"/>
      <c r="E170" s="175">
        <f t="shared" si="15"/>
        <v>0.23100000000000001</v>
      </c>
      <c r="F170" s="353">
        <f t="shared" si="16"/>
        <v>1233</v>
      </c>
      <c r="G170" s="175">
        <f t="shared" si="17"/>
        <v>8</v>
      </c>
      <c r="H170" s="515"/>
      <c r="I170" s="500"/>
      <c r="J170" s="50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s="23" customFormat="1" ht="15" customHeight="1" outlineLevel="1" thickBot="1">
      <c r="A171" s="213">
        <f t="shared" si="13"/>
        <v>17</v>
      </c>
      <c r="B171" s="173" t="str">
        <f t="shared" ref="B171:C171" si="27">B149</f>
        <v>ตัวแบ่งบาน</v>
      </c>
      <c r="C171" s="173" t="str">
        <f t="shared" si="27"/>
        <v>Door Middle</v>
      </c>
      <c r="D171" s="369" t="str">
        <f t="shared" si="19"/>
        <v>B25006</v>
      </c>
      <c r="E171" s="175">
        <f t="shared" si="15"/>
        <v>0.93200000000000005</v>
      </c>
      <c r="F171" s="353">
        <f t="shared" si="16"/>
        <v>906.3125</v>
      </c>
      <c r="G171" s="175">
        <f t="shared" si="17"/>
        <v>8</v>
      </c>
      <c r="H171" s="192">
        <f>ROUNDUP((F171*G171)/6400,0)</f>
        <v>2</v>
      </c>
      <c r="I171" s="388"/>
      <c r="J171" s="388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s="1" customFormat="1" ht="24.9" customHeight="1" thickBot="1">
      <c r="A172" s="529" t="s">
        <v>9</v>
      </c>
      <c r="B172" s="530"/>
      <c r="C172" s="530"/>
      <c r="D172" s="530"/>
      <c r="E172" s="530"/>
      <c r="F172" s="530"/>
      <c r="G172" s="530"/>
      <c r="H172" s="530"/>
      <c r="I172" s="530"/>
      <c r="J172" s="531"/>
    </row>
    <row r="173" spans="1:36" s="1" customFormat="1" ht="35.1" customHeight="1" thickBot="1">
      <c r="A173" s="102" t="s">
        <v>2</v>
      </c>
      <c r="B173" s="103" t="s">
        <v>29</v>
      </c>
      <c r="C173" s="103" t="s">
        <v>3</v>
      </c>
      <c r="D173" s="103" t="s">
        <v>199</v>
      </c>
      <c r="E173" s="103" t="s">
        <v>5</v>
      </c>
      <c r="F173" s="104" t="s">
        <v>28</v>
      </c>
      <c r="G173" s="103" t="s">
        <v>19</v>
      </c>
      <c r="H173" s="104" t="s">
        <v>200</v>
      </c>
      <c r="I173" s="104" t="s">
        <v>20</v>
      </c>
      <c r="J173" s="115" t="s">
        <v>201</v>
      </c>
      <c r="N173" s="101" t="s">
        <v>191</v>
      </c>
      <c r="O173" s="246" t="s">
        <v>29</v>
      </c>
      <c r="P173" s="246" t="s">
        <v>3</v>
      </c>
      <c r="Q173" s="246" t="s">
        <v>199</v>
      </c>
      <c r="R173" s="246" t="s">
        <v>5</v>
      </c>
      <c r="S173" s="246" t="s">
        <v>28</v>
      </c>
      <c r="T173" s="246" t="s">
        <v>19</v>
      </c>
      <c r="U173" s="246" t="s">
        <v>200</v>
      </c>
      <c r="V173" s="246" t="s">
        <v>20</v>
      </c>
      <c r="W173" s="246" t="s">
        <v>201</v>
      </c>
    </row>
    <row r="174" spans="1:36" s="1" customFormat="1" ht="18" customHeight="1">
      <c r="A174" s="200">
        <f>IF(B174="","",1)</f>
        <v>1</v>
      </c>
      <c r="B174" s="140" t="s">
        <v>110</v>
      </c>
      <c r="C174" s="140" t="s">
        <v>66</v>
      </c>
      <c r="D174" s="139" t="s">
        <v>73</v>
      </c>
      <c r="E174" s="143"/>
      <c r="F174" s="143" t="s">
        <v>73</v>
      </c>
      <c r="G174" s="143" t="s">
        <v>202</v>
      </c>
      <c r="H174" s="143">
        <v>2</v>
      </c>
      <c r="I174" s="130"/>
      <c r="J174" s="131">
        <f t="shared" ref="J174:J186" si="28">$J$120*H174</f>
        <v>2</v>
      </c>
      <c r="N174" s="101" t="s">
        <v>226</v>
      </c>
      <c r="O174" s="280" t="s">
        <v>252</v>
      </c>
      <c r="P174" s="290" t="s">
        <v>248</v>
      </c>
      <c r="Q174" s="280" t="s">
        <v>69</v>
      </c>
      <c r="R174" s="213"/>
      <c r="S174" s="213" t="s">
        <v>69</v>
      </c>
      <c r="T174" s="213" t="s">
        <v>198</v>
      </c>
      <c r="U174" s="291">
        <f>((($I$141*$G$141)+($I$142*$G$142)+($I$143*$G$143)+($I$144*$G$144)+($I$145*$G$145)+($G$149*$I$149*2))/1000)*$J$120</f>
        <v>41.8155</v>
      </c>
      <c r="V174" s="291">
        <v>100</v>
      </c>
      <c r="W174" s="292">
        <f>ROUNDUP((U174)/100,0)</f>
        <v>1</v>
      </c>
    </row>
    <row r="175" spans="1:36" s="1" customFormat="1" ht="18" customHeight="1">
      <c r="A175" s="201">
        <f>IF(B175="","",+A174+1)</f>
        <v>2</v>
      </c>
      <c r="B175" s="140" t="s">
        <v>111</v>
      </c>
      <c r="C175" s="140" t="s">
        <v>67</v>
      </c>
      <c r="D175" s="139" t="s">
        <v>74</v>
      </c>
      <c r="E175" s="143"/>
      <c r="F175" s="143" t="s">
        <v>74</v>
      </c>
      <c r="G175" s="143" t="s">
        <v>202</v>
      </c>
      <c r="H175" s="143">
        <v>8</v>
      </c>
      <c r="I175" s="130"/>
      <c r="J175" s="131">
        <f t="shared" si="28"/>
        <v>8</v>
      </c>
      <c r="N175" s="101" t="s">
        <v>230</v>
      </c>
      <c r="O175" s="280" t="s">
        <v>253</v>
      </c>
      <c r="P175" s="290" t="s">
        <v>249</v>
      </c>
      <c r="Q175" s="280" t="s">
        <v>188</v>
      </c>
      <c r="R175" s="213"/>
      <c r="S175" s="213" t="s">
        <v>188</v>
      </c>
      <c r="T175" s="213" t="s">
        <v>198</v>
      </c>
      <c r="U175" s="291">
        <f>((($I$141*$G$141)+($I$142*$G$142)+($I$143*$G$143)+($I$144*$G$144)+($I$145*$G$145)+($G$149*$I$149*2))/1000)*$J$120</f>
        <v>41.8155</v>
      </c>
      <c r="V175" s="291">
        <v>100</v>
      </c>
      <c r="W175" s="292">
        <f t="shared" ref="W175:W177" si="29">ROUNDUP((U175)/100,0)</f>
        <v>1</v>
      </c>
    </row>
    <row r="176" spans="1:36" s="1" customFormat="1" ht="18" customHeight="1">
      <c r="A176" s="201">
        <f>IF(B176="","",+A175+1)</f>
        <v>3</v>
      </c>
      <c r="B176" s="140" t="s">
        <v>106</v>
      </c>
      <c r="C176" s="140" t="s">
        <v>503</v>
      </c>
      <c r="D176" s="139" t="s">
        <v>75</v>
      </c>
      <c r="E176" s="143"/>
      <c r="F176" s="143" t="s">
        <v>75</v>
      </c>
      <c r="G176" s="143" t="s">
        <v>202</v>
      </c>
      <c r="H176" s="143">
        <v>2</v>
      </c>
      <c r="I176" s="130"/>
      <c r="J176" s="131">
        <f t="shared" si="28"/>
        <v>2</v>
      </c>
      <c r="N176" s="101" t="s">
        <v>229</v>
      </c>
      <c r="O176" s="290" t="s">
        <v>254</v>
      </c>
      <c r="P176" s="290" t="s">
        <v>250</v>
      </c>
      <c r="Q176" s="280" t="s">
        <v>70</v>
      </c>
      <c r="R176" s="213"/>
      <c r="S176" s="213" t="s">
        <v>70</v>
      </c>
      <c r="T176" s="213" t="s">
        <v>198</v>
      </c>
      <c r="U176" s="291">
        <f>((($I$141*$G$141)+($I$142*$G$142)+($I$143*$G$143)+($I$144*$G$144)+($I$145*$G$145)+($G$149*$I$149*2))/1000)*$J$120</f>
        <v>41.8155</v>
      </c>
      <c r="V176" s="291">
        <v>100</v>
      </c>
      <c r="W176" s="292">
        <f t="shared" si="29"/>
        <v>1</v>
      </c>
    </row>
    <row r="177" spans="1:23" s="1" customFormat="1" ht="18" customHeight="1">
      <c r="A177" s="201">
        <f t="shared" ref="A177:A205" si="30">IF(B177="","",+A176+1)</f>
        <v>4</v>
      </c>
      <c r="B177" s="140" t="s">
        <v>107</v>
      </c>
      <c r="C177" s="140" t="s">
        <v>504</v>
      </c>
      <c r="D177" s="139" t="s">
        <v>76</v>
      </c>
      <c r="E177" s="143"/>
      <c r="F177" s="143" t="s">
        <v>76</v>
      </c>
      <c r="G177" s="143" t="s">
        <v>202</v>
      </c>
      <c r="H177" s="143">
        <v>2</v>
      </c>
      <c r="I177" s="130"/>
      <c r="J177" s="131">
        <f t="shared" si="28"/>
        <v>2</v>
      </c>
      <c r="N177" s="101" t="s">
        <v>231</v>
      </c>
      <c r="O177" s="290" t="s">
        <v>255</v>
      </c>
      <c r="P177" s="290" t="s">
        <v>251</v>
      </c>
      <c r="Q177" s="280" t="s">
        <v>189</v>
      </c>
      <c r="R177" s="213"/>
      <c r="S177" s="213" t="s">
        <v>189</v>
      </c>
      <c r="T177" s="213" t="s">
        <v>198</v>
      </c>
      <c r="U177" s="291">
        <f>((($I$141*$G$141)+($I$142*$G$142)+($I$143*$G$143)+($I$144*$G$144)+($I$145*$G$145)+($G$149*$I$149*2))/1000)*$J$120</f>
        <v>41.8155</v>
      </c>
      <c r="V177" s="291">
        <v>100</v>
      </c>
      <c r="W177" s="292">
        <f t="shared" si="29"/>
        <v>1</v>
      </c>
    </row>
    <row r="178" spans="1:23" s="1" customFormat="1" ht="18" customHeight="1">
      <c r="A178" s="201">
        <f t="shared" si="30"/>
        <v>5</v>
      </c>
      <c r="B178" s="140" t="s">
        <v>108</v>
      </c>
      <c r="C178" s="140" t="s">
        <v>10</v>
      </c>
      <c r="D178" s="139">
        <v>9</v>
      </c>
      <c r="E178" s="143"/>
      <c r="F178" s="143">
        <v>9</v>
      </c>
      <c r="G178" s="143" t="s">
        <v>202</v>
      </c>
      <c r="H178" s="143">
        <v>64</v>
      </c>
      <c r="I178" s="130"/>
      <c r="J178" s="131">
        <f t="shared" si="28"/>
        <v>64</v>
      </c>
      <c r="N178" s="101" t="s">
        <v>232</v>
      </c>
      <c r="O178" s="290" t="s">
        <v>256</v>
      </c>
      <c r="P178" s="290" t="s">
        <v>247</v>
      </c>
      <c r="Q178" s="280" t="s">
        <v>233</v>
      </c>
      <c r="R178" s="213"/>
      <c r="S178" s="213" t="s">
        <v>233</v>
      </c>
      <c r="T178" s="213" t="s">
        <v>198</v>
      </c>
      <c r="U178" s="291">
        <f>((($I$141*$G$141)+($I$142*$G$142)+($I$143*$G$143)+($I$144*$G$144)+($I$145*$G$145)+($G$149*$I$149*2))/1000)*$J$120</f>
        <v>41.8155</v>
      </c>
      <c r="V178" s="291">
        <v>100</v>
      </c>
      <c r="W178" s="292">
        <f>ROUNDUP((U178)/100,0)</f>
        <v>1</v>
      </c>
    </row>
    <row r="179" spans="1:23" s="1" customFormat="1" ht="18" customHeight="1">
      <c r="A179" s="201">
        <f t="shared" si="30"/>
        <v>6</v>
      </c>
      <c r="B179" s="140" t="s">
        <v>109</v>
      </c>
      <c r="C179" s="140" t="s">
        <v>68</v>
      </c>
      <c r="D179" s="139">
        <v>9</v>
      </c>
      <c r="E179" s="143"/>
      <c r="F179" s="143">
        <v>9</v>
      </c>
      <c r="G179" s="143" t="s">
        <v>202</v>
      </c>
      <c r="H179" s="143">
        <v>64</v>
      </c>
      <c r="I179" s="130"/>
      <c r="J179" s="131">
        <f t="shared" si="28"/>
        <v>64</v>
      </c>
    </row>
    <row r="180" spans="1:23" s="1" customFormat="1" ht="18" customHeight="1">
      <c r="A180" s="201">
        <f t="shared" si="30"/>
        <v>7</v>
      </c>
      <c r="B180" s="140" t="s">
        <v>118</v>
      </c>
      <c r="C180" s="140" t="s">
        <v>77</v>
      </c>
      <c r="D180" s="139" t="s">
        <v>80</v>
      </c>
      <c r="E180" s="143"/>
      <c r="F180" s="143" t="s">
        <v>80</v>
      </c>
      <c r="G180" s="143" t="s">
        <v>185</v>
      </c>
      <c r="H180" s="143">
        <v>1</v>
      </c>
      <c r="I180" s="130"/>
      <c r="J180" s="131">
        <f t="shared" si="28"/>
        <v>1</v>
      </c>
    </row>
    <row r="181" spans="1:23" s="1" customFormat="1" ht="18" customHeight="1">
      <c r="A181" s="201">
        <f t="shared" si="30"/>
        <v>8</v>
      </c>
      <c r="B181" s="140" t="s">
        <v>120</v>
      </c>
      <c r="C181" s="140" t="s">
        <v>94</v>
      </c>
      <c r="D181" s="139" t="s">
        <v>96</v>
      </c>
      <c r="E181" s="143"/>
      <c r="F181" s="143" t="s">
        <v>96</v>
      </c>
      <c r="G181" s="143" t="s">
        <v>185</v>
      </c>
      <c r="H181" s="143">
        <v>1</v>
      </c>
      <c r="I181" s="130"/>
      <c r="J181" s="131">
        <f t="shared" si="28"/>
        <v>1</v>
      </c>
    </row>
    <row r="182" spans="1:23" s="1" customFormat="1" ht="18" customHeight="1">
      <c r="A182" s="201">
        <f t="shared" si="30"/>
        <v>9</v>
      </c>
      <c r="B182" s="140" t="s">
        <v>131</v>
      </c>
      <c r="C182" s="140" t="s">
        <v>130</v>
      </c>
      <c r="D182" s="139" t="s">
        <v>129</v>
      </c>
      <c r="E182" s="143"/>
      <c r="F182" s="143" t="s">
        <v>129</v>
      </c>
      <c r="G182" s="143" t="s">
        <v>185</v>
      </c>
      <c r="H182" s="143">
        <v>1</v>
      </c>
      <c r="I182" s="130"/>
      <c r="J182" s="131">
        <f t="shared" si="28"/>
        <v>1</v>
      </c>
    </row>
    <row r="183" spans="1:23" s="1" customFormat="1" ht="18" customHeight="1">
      <c r="A183" s="201">
        <f t="shared" si="30"/>
        <v>10</v>
      </c>
      <c r="B183" s="140" t="s">
        <v>132</v>
      </c>
      <c r="C183" s="140" t="s">
        <v>79</v>
      </c>
      <c r="D183" s="139" t="s">
        <v>82</v>
      </c>
      <c r="E183" s="143"/>
      <c r="F183" s="143" t="s">
        <v>82</v>
      </c>
      <c r="G183" s="143" t="s">
        <v>185</v>
      </c>
      <c r="H183" s="143">
        <v>2</v>
      </c>
      <c r="I183" s="130"/>
      <c r="J183" s="131">
        <f t="shared" si="28"/>
        <v>2</v>
      </c>
      <c r="N183" s="56"/>
      <c r="O183" s="56"/>
      <c r="P183" s="56"/>
      <c r="Q183" s="289"/>
      <c r="R183" s="289"/>
      <c r="S183" s="289"/>
      <c r="T183" s="17"/>
      <c r="U183" s="17"/>
      <c r="V183" s="17"/>
      <c r="W183" s="56"/>
    </row>
    <row r="184" spans="1:23" s="1" customFormat="1" ht="18" customHeight="1">
      <c r="A184" s="201">
        <f t="shared" si="30"/>
        <v>11</v>
      </c>
      <c r="B184" s="140" t="s">
        <v>113</v>
      </c>
      <c r="C184" s="140" t="s">
        <v>502</v>
      </c>
      <c r="D184" s="139" t="s">
        <v>83</v>
      </c>
      <c r="E184" s="143"/>
      <c r="F184" s="143" t="s">
        <v>83</v>
      </c>
      <c r="G184" s="143" t="s">
        <v>185</v>
      </c>
      <c r="H184" s="143">
        <v>2</v>
      </c>
      <c r="I184" s="144"/>
      <c r="J184" s="131">
        <f t="shared" si="28"/>
        <v>2</v>
      </c>
      <c r="N184" s="101" t="s">
        <v>227</v>
      </c>
      <c r="O184" s="246" t="s">
        <v>29</v>
      </c>
      <c r="P184" s="246" t="s">
        <v>3</v>
      </c>
      <c r="Q184" s="246" t="s">
        <v>199</v>
      </c>
      <c r="R184" s="246" t="s">
        <v>5</v>
      </c>
      <c r="S184" s="246" t="s">
        <v>28</v>
      </c>
      <c r="T184" s="246" t="s">
        <v>19</v>
      </c>
      <c r="U184" s="246" t="s">
        <v>200</v>
      </c>
      <c r="V184" s="246" t="s">
        <v>20</v>
      </c>
      <c r="W184" s="246" t="s">
        <v>201</v>
      </c>
    </row>
    <row r="185" spans="1:23" s="1" customFormat="1" ht="18" customHeight="1">
      <c r="A185" s="201">
        <f t="shared" si="30"/>
        <v>12</v>
      </c>
      <c r="B185" s="140" t="s">
        <v>112</v>
      </c>
      <c r="C185" s="140" t="s">
        <v>114</v>
      </c>
      <c r="D185" s="128" t="s">
        <v>520</v>
      </c>
      <c r="E185" s="129"/>
      <c r="F185" s="129" t="s">
        <v>520</v>
      </c>
      <c r="G185" s="143" t="s">
        <v>202</v>
      </c>
      <c r="H185" s="143">
        <v>4</v>
      </c>
      <c r="I185" s="144"/>
      <c r="J185" s="131">
        <f t="shared" si="28"/>
        <v>4</v>
      </c>
      <c r="N185" s="101" t="s">
        <v>240</v>
      </c>
      <c r="O185" s="290" t="s">
        <v>234</v>
      </c>
      <c r="P185" s="290" t="s">
        <v>236</v>
      </c>
      <c r="Q185" s="280" t="s">
        <v>190</v>
      </c>
      <c r="R185" s="213"/>
      <c r="S185" s="213" t="s">
        <v>190</v>
      </c>
      <c r="T185" s="213" t="s">
        <v>198</v>
      </c>
      <c r="U185" s="291">
        <f>((($I$134*$G$134)+($I$136*$G$136)+($I$139*$G$139))/1000)*$J$120</f>
        <v>10.657999999999999</v>
      </c>
      <c r="V185" s="291">
        <v>300</v>
      </c>
      <c r="W185" s="292">
        <f>ROUNDUP((U185)/V185,0)</f>
        <v>1</v>
      </c>
    </row>
    <row r="186" spans="1:23" s="1" customFormat="1" ht="18" customHeight="1">
      <c r="A186" s="201">
        <f t="shared" si="30"/>
        <v>13</v>
      </c>
      <c r="B186" s="140" t="s">
        <v>115</v>
      </c>
      <c r="C186" s="140" t="s">
        <v>45</v>
      </c>
      <c r="D186" s="139" t="s">
        <v>84</v>
      </c>
      <c r="E186" s="143"/>
      <c r="F186" s="143" t="s">
        <v>84</v>
      </c>
      <c r="G186" s="143" t="s">
        <v>202</v>
      </c>
      <c r="H186" s="143">
        <v>1</v>
      </c>
      <c r="I186" s="144"/>
      <c r="J186" s="131">
        <f t="shared" si="28"/>
        <v>1</v>
      </c>
      <c r="N186" s="101" t="s">
        <v>241</v>
      </c>
      <c r="O186" s="290" t="s">
        <v>235</v>
      </c>
      <c r="P186" s="290" t="s">
        <v>238</v>
      </c>
      <c r="Q186" s="280" t="s">
        <v>71</v>
      </c>
      <c r="R186" s="213"/>
      <c r="S186" s="213" t="s">
        <v>71</v>
      </c>
      <c r="T186" s="213" t="s">
        <v>198</v>
      </c>
      <c r="U186" s="291">
        <f>((($I$134*$G$134)+($I$136*$G$136)+($I$139*$G$139))/1000)*$J$120</f>
        <v>10.657999999999999</v>
      </c>
      <c r="V186" s="291">
        <v>100</v>
      </c>
      <c r="W186" s="292">
        <f t="shared" ref="W186:W188" si="31">ROUNDUP((U186)/V186,0)</f>
        <v>1</v>
      </c>
    </row>
    <row r="187" spans="1:23" s="1" customFormat="1" ht="18" customHeight="1">
      <c r="A187" s="201">
        <f t="shared" si="30"/>
        <v>14</v>
      </c>
      <c r="B187" s="139" t="str">
        <f>IF($D$129="Standard",$O$185,IF($D$129="Soumdproof",$O$186,))</f>
        <v>ยางเฟรมกันน้ำ (ธรรมดา)</v>
      </c>
      <c r="C187" s="139" t="str">
        <f>IF($D$129="Standard",$P$185,IF($D$129="Soumdproof",$P$186,))</f>
        <v>FRAME SEAL (Standard)</v>
      </c>
      <c r="D187" s="139" t="str">
        <f>IF($D$129="Standard",$Q$185,IF($D$129="Soumdproof",$Q$186,))</f>
        <v>02-026</v>
      </c>
      <c r="E187" s="143">
        <f t="shared" ref="E187" si="32">IF($D$129="Standard",R186,IF($D$129="Soumdproof",R187,))</f>
        <v>0</v>
      </c>
      <c r="F187" s="143" t="str">
        <f>IF($D$129="Standard",$S$185,IF($D$129="Soumdproof",$S$186,))</f>
        <v>02-026</v>
      </c>
      <c r="G187" s="143" t="str">
        <f>IF($D$129="Standard",$T$185,IF($D$129="Soumdproof",$T$186,))</f>
        <v>M</v>
      </c>
      <c r="H187" s="261">
        <f>IF($D$129="Standard",$U$185,IF($D$129="Soumdproof",$U$186,))</f>
        <v>10.657999999999999</v>
      </c>
      <c r="I187" s="258">
        <f>IF($D$129="Standard",$V$185,IF($D$129="Soumdproof",$V$186,))</f>
        <v>300</v>
      </c>
      <c r="J187" s="267">
        <f>ROUNDUP((H187)/100,0)</f>
        <v>1</v>
      </c>
      <c r="N187" s="101" t="s">
        <v>240</v>
      </c>
      <c r="O187" s="290" t="s">
        <v>245</v>
      </c>
      <c r="P187" s="290" t="s">
        <v>237</v>
      </c>
      <c r="Q187" s="280" t="s">
        <v>72</v>
      </c>
      <c r="R187" s="213"/>
      <c r="S187" s="213" t="s">
        <v>72</v>
      </c>
      <c r="T187" s="213" t="s">
        <v>198</v>
      </c>
      <c r="U187" s="291">
        <f>((($I$141*$G$141*2)+($I$143*$G$143*2)+($I$144*$G$144*2)+($I$145*$G$145*2))/1000)*$J$120</f>
        <v>47.378500000000003</v>
      </c>
      <c r="V187" s="291">
        <v>350</v>
      </c>
      <c r="W187" s="292">
        <f t="shared" si="31"/>
        <v>1</v>
      </c>
    </row>
    <row r="188" spans="1:23" s="1" customFormat="1" ht="18" customHeight="1">
      <c r="A188" s="201">
        <f t="shared" si="30"/>
        <v>15</v>
      </c>
      <c r="B188" s="139" t="str">
        <f>IF($D$129="Standard",$O$187,IF($D$129="Soumdproof",$O$188,))</f>
        <v>ยางแซชกันน้ำ (ธรรมดา)</v>
      </c>
      <c r="C188" s="139" t="str">
        <f>IF($D$129="Standard",$P$187,IF($D$129="Soumdproof",$P$188,))</f>
        <v>SASH SEAL FOAM (Standard)</v>
      </c>
      <c r="D188" s="139" t="str">
        <f>IF($D$129="Standard",$Q$187,IF($D$129="Soumdproof",$Q$188,))</f>
        <v>02-031</v>
      </c>
      <c r="E188" s="143">
        <f t="shared" ref="E188" si="33">IF($D$129="Standard",R188,IF($D$129="Soumdproof",R189,))</f>
        <v>0</v>
      </c>
      <c r="F188" s="143" t="str">
        <f>IF($D$129="Standard",$S$187,IF($D$129="Soumdproof",$S$188,))</f>
        <v>02-031</v>
      </c>
      <c r="G188" s="143" t="str">
        <f>IF($D$129="Standard",$T$187,IF($D$129="Soumdproof",$T$188,))</f>
        <v>M</v>
      </c>
      <c r="H188" s="261">
        <f>IF($D$129="Standard",$U$187,IF($D$129="Soumdproof",$U$188,))</f>
        <v>47.378500000000003</v>
      </c>
      <c r="I188" s="258">
        <f>IF($D$129="Standard",$V$187,IF($D$129="Soumdproof",$V$188,))</f>
        <v>350</v>
      </c>
      <c r="J188" s="267">
        <f t="shared" ref="J188:J190" si="34">ROUNDUP((H188)/100,0)</f>
        <v>1</v>
      </c>
      <c r="N188" s="101" t="s">
        <v>241</v>
      </c>
      <c r="O188" s="290" t="s">
        <v>246</v>
      </c>
      <c r="P188" s="290" t="s">
        <v>239</v>
      </c>
      <c r="Q188" s="280" t="s">
        <v>193</v>
      </c>
      <c r="R188" s="213"/>
      <c r="S188" s="213" t="s">
        <v>193</v>
      </c>
      <c r="T188" s="213" t="s">
        <v>198</v>
      </c>
      <c r="U188" s="291">
        <f>((($I$141*$G$141*2)+($I$143*$G$143*2)+($I$144*$G$144*2)+($I$145*$G$145*2))/1000)*$J$120</f>
        <v>47.378500000000003</v>
      </c>
      <c r="V188" s="291">
        <v>100</v>
      </c>
      <c r="W188" s="292">
        <f t="shared" si="31"/>
        <v>1</v>
      </c>
    </row>
    <row r="189" spans="1:23" s="1" customFormat="1" ht="18" customHeight="1">
      <c r="A189" s="201">
        <f t="shared" si="30"/>
        <v>16</v>
      </c>
      <c r="B189" s="241" t="str">
        <f>IF($D$127=5,$O$176,IF($D$127=6,$O$177,IF($D$127=8,$O$178,IF($D$127=10,$O$176,IF($D$127=12,$O$176,IF($D$127=14,$O$178,IF($D$127=18,$O$176,IF($D$127=20,$O$177,IF($D$127=22,"")))))))))</f>
        <v>6,20 mm ยางอัดกระจก</v>
      </c>
      <c r="C189" s="241" t="str">
        <f>IF($D$127=5,$P$176,IF($D$127=6,$P$177,IF($D$127=8,$P$178,IF($D$127=10,$P$176,IF($D$127=12,$P$176,IF($D$127=14,$P$178,IF($D$127=18,$P$176,IF($D$127=20,$P$177,IF($D$127=22,"")))))))))</f>
        <v>6,20 mm ROLL IN WEDGE</v>
      </c>
      <c r="D189" s="241" t="str">
        <f>IF($D$127=5,$Q$176,IF($D$127=6,$Q$177,IF($D$127=8,$Q$178,IF($D$127=10,$Q$176,IF($D$127=12,$Q$176,IF($D$127=14,$Q$178,IF($D$127=18,$Q$176,IF($D$127=20,$Q$177,IF($D$127=22,"")))))))))</f>
        <v>02-034</v>
      </c>
      <c r="E189" s="241">
        <f t="shared" ref="E189" si="35">IF($D$127=5,R177,IF($D$127=6,R178,IF($D$127=8,R179,IF($D$127=10,R177,IF($D$127=12,R177,IF($D$127=14,R179,IF($D$127=18,R177,IF($D$127=20,R178,IF($D$127=22,"",)))))))))</f>
        <v>0</v>
      </c>
      <c r="F189" s="242" t="str">
        <f>IF($D$127=5,$S$176,IF($D$127=6,$S$177,IF($D$127=8,$S$178,IF($D$127=10,$S$176,IF($D$127=12,$S$176,IF($D$127=14,$S$178,IF($D$127=18,$S$176,IF($D$127=20,$S$177,IF($D$127=22,"")))))))))</f>
        <v>02-034</v>
      </c>
      <c r="G189" s="242" t="str">
        <f>IF($D$127=5,$T$176,IF($D$127=6,$T$177,IF($D$127=8,$T$178,IF($D$127=10,$T$176,IF($D$127=12,$T$176,IF($D$127=14,$T$178,IF($D$127=18,$T$176,IF($D$127=20,$T$177,IF($D$127=22,"")))))))))</f>
        <v>M</v>
      </c>
      <c r="H189" s="261">
        <f>IF($D$127=5,$U$176,IF($D$127=6,$U$177,IF($D$127=8,$U$178,IF($D$127=10,$U$176*2,IF($D$127=12,$U$176,IF($D$127=14,$U$178*2,IF($D$127=18,$U$176,IF($D$127=20,$U$177,IF($D$127=22,"")))))))))</f>
        <v>41.8155</v>
      </c>
      <c r="I189" s="258">
        <f>IF($D$127=5,$V$176,IF($D$127=6,$V$177,IF($D$127=8,$V$178,IF($D$127=10,$V$176,IF($D$127=12,$V$176,IF($D$127=14,$V$178,IF($D$127=18,$V$176,IF($D$127=20,$V$177,IF($D$127=22,"")))))))))</f>
        <v>100</v>
      </c>
      <c r="J189" s="267">
        <f t="shared" si="34"/>
        <v>1</v>
      </c>
    </row>
    <row r="190" spans="1:23" s="1" customFormat="1" ht="18" customHeight="1">
      <c r="A190" s="201">
        <f t="shared" si="30"/>
        <v>17</v>
      </c>
      <c r="B190" s="241" t="str">
        <f>IF($D$127=5,$O$174,IF($D$127=6,$O$174,IF($D$127=8,$O$176,IF($D$127=10,"",IF($D$127=12,$O$175,IF($D$127=14,"",IF($D$127=18,$O$174,IF($D$127=20,$O$175,IF($D$127=22,"",)))))))))</f>
        <v>5,6,18 mm ยางรองกระจก</v>
      </c>
      <c r="C190" s="241" t="str">
        <f>IF($D$127=5,$P$174,IF($D$127=6,$P$174,IF($D$127=8,$P$176,IF($D$127=10,"",IF($D$127=12,$P$175,IF($D$127=14,"",IF($D$127=18,$P$174,IF($D$127=20,$P$175,IF($D$127=22,"",)))))))))</f>
        <v>5,6,18 mm CAPTIVE WEDGE</v>
      </c>
      <c r="D190" s="241" t="str">
        <f>IF($D$127=5,$Q$174,IF($D$127=6,$Q$174,IF($D$127=8,$Q$176,IF($D$127=10,"",IF($D$127=12,$Q$175,IF($D$127=14,"",IF($D$127=18,$Q$174,IF($D$127=20,$Q$175,IF($D$127=22,"",)))))))))</f>
        <v>02-022</v>
      </c>
      <c r="E190" s="241">
        <f t="shared" ref="E190" si="36">IF($D$127=5,R175,IF($D$127=6,R175,IF($D$127=8,R177,IF($D$127=10,"",IF($D$127=12,R176,IF($D$127=14,"",IF($D$127=18,R175,IF($D$127=20,R176,IF($D$127=22,"",)))))))))</f>
        <v>0</v>
      </c>
      <c r="F190" s="242" t="str">
        <f>IF($D$127=5,$S$174,IF($D$127=6,$S$174,IF($D$127=8,$S$176,IF($D$127=10,"",IF($D$127=12,$S$175,IF($D$127=14,"",IF($D$127=18,$S$174,IF($D$127=20,$S$175,IF($D$127=22,"",)))))))))</f>
        <v>02-022</v>
      </c>
      <c r="G190" s="242" t="str">
        <f>IF($D$127=5,$T$174,IF($D$127=6,$T$174,IF($D$127=8,$T$176,IF($D$127=10,"",IF($D$127=12,$T$175,IF($D$127=14,"",IF($D$127=18,$T$174,IF($D$127=20,$T$175,IF($D$127=22,"",)))))))))</f>
        <v>M</v>
      </c>
      <c r="H190" s="261">
        <f>IF($D$127=5,$U$174,IF($D$127=6,$U$174,IF($D$127=8,$U$176,IF($D$127=10,"",IF($D$127=12,$U$175,IF($D$127=14,"",IF($D$127=18,$U$174,IF($D$127=20,$U$175,IF($D$127=22,"")))))))))</f>
        <v>41.8155</v>
      </c>
      <c r="I190" s="258">
        <f>IF($D$127=5,$V$174,IF($D$127=6,$V$174,IF($D$127=8,$V$176,IF($D$127=10,"",IF($D$127=12,$V$175,IF($D$127=14,"",IF($D$127=18,$V$174,IF($D$127=20,$V$175,IF($D$127=22,"",)))))))))</f>
        <v>100</v>
      </c>
      <c r="J190" s="267">
        <f t="shared" si="34"/>
        <v>1</v>
      </c>
    </row>
    <row r="191" spans="1:23" s="1" customFormat="1" ht="18" customHeight="1">
      <c r="A191" s="201" t="str">
        <f t="shared" si="30"/>
        <v/>
      </c>
      <c r="B191" s="140"/>
      <c r="C191" s="140"/>
      <c r="D191" s="139"/>
      <c r="E191" s="143"/>
      <c r="F191" s="143"/>
      <c r="G191" s="143"/>
      <c r="H191" s="143"/>
      <c r="I191" s="144"/>
      <c r="J191" s="131">
        <f t="shared" ref="J191:J197" si="37">$J$120*H191</f>
        <v>0</v>
      </c>
    </row>
    <row r="192" spans="1:23" s="1" customFormat="1" ht="18" customHeight="1">
      <c r="A192" s="201" t="str">
        <f t="shared" si="30"/>
        <v/>
      </c>
      <c r="B192" s="140"/>
      <c r="C192" s="140"/>
      <c r="D192" s="139"/>
      <c r="E192" s="143"/>
      <c r="F192" s="143"/>
      <c r="G192" s="143"/>
      <c r="H192" s="143"/>
      <c r="I192" s="130"/>
      <c r="J192" s="131">
        <f t="shared" si="37"/>
        <v>0</v>
      </c>
    </row>
    <row r="193" spans="1:36" s="1" customFormat="1" ht="18" customHeight="1">
      <c r="A193" s="201" t="str">
        <f t="shared" si="30"/>
        <v/>
      </c>
      <c r="B193" s="140"/>
      <c r="C193" s="140"/>
      <c r="D193" s="139"/>
      <c r="E193" s="143"/>
      <c r="F193" s="143"/>
      <c r="G193" s="143"/>
      <c r="H193" s="143"/>
      <c r="I193" s="130"/>
      <c r="J193" s="131">
        <f t="shared" si="37"/>
        <v>0</v>
      </c>
    </row>
    <row r="194" spans="1:36" ht="18" customHeight="1">
      <c r="A194" s="201" t="str">
        <f t="shared" si="30"/>
        <v/>
      </c>
      <c r="B194" s="140"/>
      <c r="C194" s="140"/>
      <c r="D194" s="139"/>
      <c r="E194" s="143"/>
      <c r="F194" s="143"/>
      <c r="G194" s="143"/>
      <c r="H194" s="143"/>
      <c r="I194" s="130"/>
      <c r="J194" s="131">
        <f t="shared" si="37"/>
        <v>0</v>
      </c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s="1" customFormat="1" ht="18" customHeight="1">
      <c r="A195" s="201" t="str">
        <f t="shared" si="30"/>
        <v/>
      </c>
      <c r="B195" s="140"/>
      <c r="C195" s="140"/>
      <c r="D195" s="139"/>
      <c r="E195" s="143"/>
      <c r="F195" s="143"/>
      <c r="G195" s="143"/>
      <c r="H195" s="143"/>
      <c r="I195" s="130"/>
      <c r="J195" s="131">
        <f t="shared" si="37"/>
        <v>0</v>
      </c>
    </row>
    <row r="196" spans="1:36" s="1" customFormat="1" ht="18" customHeight="1">
      <c r="A196" s="201" t="str">
        <f t="shared" si="30"/>
        <v/>
      </c>
      <c r="B196" s="140"/>
      <c r="C196" s="140"/>
      <c r="D196" s="139"/>
      <c r="E196" s="143"/>
      <c r="F196" s="143"/>
      <c r="G196" s="143"/>
      <c r="H196" s="143"/>
      <c r="I196" s="130"/>
      <c r="J196" s="131">
        <f t="shared" si="37"/>
        <v>0</v>
      </c>
    </row>
    <row r="197" spans="1:36" s="1" customFormat="1" ht="18" customHeight="1">
      <c r="A197" s="201" t="str">
        <f>IF(B197="","",+#REF!+1)</f>
        <v/>
      </c>
      <c r="B197" s="140"/>
      <c r="C197" s="140"/>
      <c r="D197" s="139"/>
      <c r="E197" s="143"/>
      <c r="F197" s="143"/>
      <c r="G197" s="143"/>
      <c r="H197" s="143"/>
      <c r="I197" s="130"/>
      <c r="J197" s="131">
        <f t="shared" si="37"/>
        <v>0</v>
      </c>
    </row>
    <row r="198" spans="1:36" s="1" customFormat="1" ht="18" customHeight="1">
      <c r="A198" s="201"/>
      <c r="B198" s="140"/>
      <c r="C198" s="140"/>
      <c r="D198" s="139"/>
      <c r="E198" s="143"/>
      <c r="F198" s="143"/>
      <c r="G198" s="143"/>
      <c r="H198" s="143"/>
      <c r="I198" s="130"/>
      <c r="J198" s="131"/>
    </row>
    <row r="199" spans="1:36" s="1" customFormat="1" ht="18" customHeight="1">
      <c r="A199" s="201"/>
      <c r="B199" s="140"/>
      <c r="C199" s="140"/>
      <c r="D199" s="139"/>
      <c r="E199" s="143"/>
      <c r="F199" s="143"/>
      <c r="G199" s="143"/>
      <c r="H199" s="143"/>
      <c r="I199" s="130"/>
      <c r="J199" s="131"/>
    </row>
    <row r="200" spans="1:36" s="1" customFormat="1" ht="18" customHeight="1">
      <c r="A200" s="201"/>
      <c r="B200" s="140"/>
      <c r="C200" s="140"/>
      <c r="D200" s="139"/>
      <c r="E200" s="143"/>
      <c r="F200" s="143"/>
      <c r="G200" s="143"/>
      <c r="H200" s="143"/>
      <c r="I200" s="130"/>
      <c r="J200" s="131"/>
    </row>
    <row r="201" spans="1:36" s="1" customFormat="1" ht="18" customHeight="1">
      <c r="A201" s="201"/>
      <c r="B201" s="140"/>
      <c r="C201" s="140"/>
      <c r="D201" s="139"/>
      <c r="E201" s="143"/>
      <c r="F201" s="143"/>
      <c r="G201" s="143"/>
      <c r="H201" s="143"/>
      <c r="I201" s="130"/>
      <c r="J201" s="131"/>
    </row>
    <row r="202" spans="1:36" s="1" customFormat="1" ht="18" customHeight="1">
      <c r="A202" s="201"/>
      <c r="B202" s="140"/>
      <c r="C202" s="140"/>
      <c r="D202" s="139"/>
      <c r="E202" s="143"/>
      <c r="F202" s="143"/>
      <c r="G202" s="143"/>
      <c r="H202" s="143"/>
      <c r="I202" s="130"/>
      <c r="J202" s="131"/>
    </row>
    <row r="203" spans="1:36" s="1" customFormat="1" ht="18" customHeight="1">
      <c r="A203" s="201" t="str">
        <f>IF(B203="","",+#REF!+1)</f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>$J$120*H203</f>
        <v>0</v>
      </c>
    </row>
    <row r="204" spans="1:36" s="1" customFormat="1" ht="18" customHeight="1">
      <c r="A204" s="201" t="str">
        <f>IF(B204="","",+#REF!+1)</f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>$J$120*H204</f>
        <v>0</v>
      </c>
    </row>
    <row r="205" spans="1:36" s="1" customFormat="1" ht="18" customHeight="1">
      <c r="A205" s="317" t="str">
        <f t="shared" si="30"/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>$J$120*H205</f>
        <v>0</v>
      </c>
    </row>
    <row r="206" spans="1:36" s="1" customFormat="1" ht="18" customHeight="1">
      <c r="A206" s="25"/>
      <c r="B206" s="161"/>
      <c r="C206" s="33"/>
      <c r="D206" s="30"/>
      <c r="E206" s="17"/>
      <c r="F206" s="30"/>
      <c r="G206" s="30"/>
      <c r="H206" s="161"/>
      <c r="I206" s="24"/>
      <c r="J206" s="24"/>
    </row>
    <row r="207" spans="1:36" ht="18" customHeight="1">
      <c r="A207" s="17"/>
      <c r="J207" s="99" t="str">
        <f>LEFT($J$111,13)&amp;"-02"</f>
        <v>FG-240-4P2L2R-02</v>
      </c>
    </row>
    <row r="208" spans="1:36" ht="12.75" customHeight="1">
      <c r="B208" s="56"/>
      <c r="C208" s="56"/>
      <c r="D208" s="30"/>
      <c r="E208" s="17"/>
      <c r="F208" s="17"/>
      <c r="G208" s="17"/>
      <c r="H208" s="17"/>
      <c r="K208" s="7"/>
      <c r="L208" s="7"/>
      <c r="M208" s="2"/>
      <c r="N208" s="2"/>
    </row>
    <row r="209" spans="1:14" ht="30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279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279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 s="93"/>
      <c r="C215" s="56"/>
      <c r="D215" s="30"/>
      <c r="E215" s="29"/>
      <c r="F215" s="160"/>
      <c r="G215"/>
      <c r="H215"/>
      <c r="I215" s="160"/>
      <c r="J215" s="116"/>
    </row>
    <row r="216" spans="1:14" s="1" customFormat="1" ht="15" customHeight="1">
      <c r="A216" s="17"/>
      <c r="B216" s="56"/>
      <c r="C216" s="89"/>
      <c r="D216" s="30"/>
      <c r="E216" s="29"/>
      <c r="F216" s="30"/>
      <c r="G216" s="160"/>
      <c r="H216" s="16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s="1" customFormat="1" ht="15.6">
      <c r="A218" s="109"/>
      <c r="B218" s="33"/>
      <c r="C218" s="361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I219" s="109"/>
      <c r="J219" s="109"/>
    </row>
    <row r="220" spans="1:14" s="1" customFormat="1" ht="15" customHeight="1">
      <c r="A220" s="17"/>
      <c r="B220" s="56"/>
      <c r="C220" s="89" t="s">
        <v>378</v>
      </c>
      <c r="D220" s="30"/>
      <c r="E220" s="29"/>
      <c r="F220" s="30"/>
      <c r="H220" s="89" t="s">
        <v>464</v>
      </c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94" t="s">
        <v>485</v>
      </c>
      <c r="J221" s="12"/>
    </row>
    <row r="222" spans="1:14" s="1" customFormat="1" ht="15" customHeight="1">
      <c r="A222" s="109"/>
      <c r="B222" s="33"/>
      <c r="C222" s="361" t="s">
        <v>273</v>
      </c>
      <c r="D222" s="161"/>
      <c r="E222" s="109"/>
      <c r="F222" s="161"/>
      <c r="H222" s="361" t="s">
        <v>486</v>
      </c>
      <c r="J222" s="12"/>
    </row>
    <row r="223" spans="1:14" s="1" customFormat="1" ht="15" customHeight="1">
      <c r="A223" s="109"/>
      <c r="B223" s="33"/>
      <c r="C223" s="374">
        <f>$I$133</f>
        <v>4090</v>
      </c>
      <c r="D223" s="161"/>
      <c r="E223" s="35"/>
      <c r="F223" s="161"/>
      <c r="G223" s="68"/>
      <c r="H223" s="374">
        <f>$I$149</f>
        <v>906.3125</v>
      </c>
      <c r="J223" s="12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358"/>
      <c r="H224" s="363">
        <f>$J$149</f>
        <v>8</v>
      </c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358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361"/>
      <c r="D229" s="161"/>
      <c r="E229" s="109"/>
      <c r="F229" s="161"/>
      <c r="H229" s="109"/>
      <c r="I229" s="328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328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328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328"/>
      <c r="J232" s="117"/>
    </row>
    <row r="233" spans="1:10" s="1" customFormat="1" ht="15.9" customHeight="1">
      <c r="A233" s="44"/>
      <c r="B233" s="44"/>
      <c r="C233" s="89" t="s">
        <v>369</v>
      </c>
      <c r="D233" s="84"/>
      <c r="E233" s="44"/>
      <c r="F233" s="44"/>
      <c r="G233" s="109"/>
      <c r="H233" s="109"/>
      <c r="I233" s="328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4064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328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328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109"/>
      <c r="J242" s="24"/>
    </row>
    <row r="243" spans="1:10" s="1" customFormat="1" ht="15.9" customHeight="1">
      <c r="A243" s="109"/>
      <c r="B243" s="33"/>
      <c r="C243" s="89" t="s">
        <v>370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.9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" customHeight="1">
      <c r="A245" s="109"/>
      <c r="B245" s="33"/>
      <c r="C245" s="361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4090</v>
      </c>
      <c r="D246" s="161"/>
      <c r="E246" s="109"/>
      <c r="F246" s="161"/>
      <c r="G246" s="109"/>
      <c r="H246" s="109"/>
      <c r="I246" s="44"/>
      <c r="J246" s="119"/>
    </row>
    <row r="247" spans="1:10" s="1" customFormat="1" ht="15.9" customHeight="1">
      <c r="A247" s="109"/>
      <c r="B247" s="33"/>
      <c r="C247" s="363">
        <f>$J$135</f>
        <v>1</v>
      </c>
      <c r="D247" s="161"/>
      <c r="E247" s="109"/>
      <c r="F247" s="161"/>
      <c r="G247" s="109"/>
      <c r="H247" s="109"/>
      <c r="I247" s="32"/>
      <c r="J247" s="40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0"/>
      <c r="H251" s="109"/>
      <c r="I251" s="24"/>
      <c r="J251" s="24"/>
    </row>
    <row r="252" spans="1:10" s="1" customFormat="1" ht="15.9" customHeight="1">
      <c r="A252" s="109"/>
      <c r="B252" s="33"/>
      <c r="D252" s="161"/>
      <c r="E252" s="109"/>
      <c r="F252" s="109"/>
      <c r="G252" s="109"/>
      <c r="H252" s="109"/>
      <c r="I252" s="24"/>
      <c r="J252" s="24"/>
    </row>
    <row r="253" spans="1:10" s="1" customFormat="1" ht="15.9" customHeight="1">
      <c r="A253" s="44"/>
      <c r="B253" s="44"/>
      <c r="D253" s="84"/>
      <c r="E253" s="44"/>
      <c r="F253" s="44"/>
      <c r="G253" s="109"/>
      <c r="H253" s="109"/>
      <c r="I253" s="24"/>
      <c r="J253" s="24"/>
    </row>
    <row r="254" spans="1:10" s="1" customFormat="1" ht="15.9" customHeight="1">
      <c r="A254" s="40"/>
      <c r="B254" s="40"/>
      <c r="C254" s="89" t="s">
        <v>371</v>
      </c>
      <c r="D254" s="85"/>
      <c r="E254" s="40"/>
      <c r="F254" s="32"/>
      <c r="G254" s="109"/>
      <c r="I254" s="24"/>
      <c r="J254" s="24"/>
    </row>
    <row r="255" spans="1:10" s="1" customFormat="1" ht="15.9" customHeight="1">
      <c r="A255" s="27"/>
      <c r="B255" s="33"/>
      <c r="C255" s="328" t="s">
        <v>275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61" t="s">
        <v>273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74">
        <f>$I$136</f>
        <v>4090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63">
        <f>$J$136</f>
        <v>1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46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161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89" t="s">
        <v>373</v>
      </c>
      <c r="D264" s="161"/>
      <c r="E264" s="109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8" t="s">
        <v>379</v>
      </c>
      <c r="D265" s="328"/>
      <c r="E265" s="328"/>
      <c r="F265" s="109"/>
      <c r="G265" s="109"/>
      <c r="H265" s="109"/>
      <c r="I265" s="24"/>
      <c r="J265" s="24"/>
    </row>
    <row r="266" spans="1:10" s="1" customFormat="1" ht="15.9" customHeight="1">
      <c r="A266" s="27"/>
      <c r="B266" s="33"/>
      <c r="C266" s="361" t="s">
        <v>279</v>
      </c>
      <c r="D266" s="361"/>
      <c r="E266" s="361"/>
      <c r="F266" s="109"/>
      <c r="G266" s="109"/>
      <c r="H266" s="109"/>
      <c r="J266" s="12"/>
    </row>
    <row r="267" spans="1:10" s="1" customFormat="1" ht="15.9" customHeight="1">
      <c r="A267" s="27"/>
      <c r="B267" s="33"/>
      <c r="C267" s="374">
        <f>$I$137</f>
        <v>2600</v>
      </c>
      <c r="D267" s="161"/>
      <c r="E267" s="109"/>
      <c r="F267" s="109"/>
      <c r="G267" s="33"/>
      <c r="H267" s="33"/>
      <c r="J267" s="12"/>
    </row>
    <row r="268" spans="1:10" s="1" customFormat="1" ht="15.9" customHeight="1">
      <c r="A268" s="27"/>
      <c r="B268" s="33"/>
      <c r="C268" s="363">
        <f>$J$137+$J$138</f>
        <v>2</v>
      </c>
      <c r="D268" s="161"/>
      <c r="E268" s="10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B271" s="33"/>
      <c r="D271" s="89"/>
      <c r="E271" s="89"/>
      <c r="F271" s="109"/>
      <c r="G271" s="109"/>
      <c r="H271" s="109"/>
      <c r="J271" s="12"/>
    </row>
    <row r="272" spans="1:10" s="1" customFormat="1" ht="15.9" customHeight="1">
      <c r="A272" s="27"/>
      <c r="B272" s="33"/>
      <c r="D272" s="89"/>
      <c r="E272" s="89"/>
      <c r="F272" s="109"/>
      <c r="G272" s="109"/>
      <c r="H272" s="109"/>
      <c r="J272" s="12"/>
    </row>
    <row r="273" spans="1:10" s="1" customFormat="1" ht="15.9" customHeight="1">
      <c r="A273" s="27"/>
      <c r="D273" s="328"/>
      <c r="E273" s="328"/>
      <c r="F273" s="109"/>
      <c r="G273" s="109"/>
      <c r="H273" s="109"/>
      <c r="J273" s="12"/>
    </row>
    <row r="274" spans="1:10" s="1" customFormat="1" ht="15.9" customHeight="1">
      <c r="A274" s="27"/>
      <c r="B274" s="33"/>
      <c r="D274" s="328"/>
      <c r="E274" s="328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33"/>
      <c r="D275" s="161"/>
      <c r="E275" s="109"/>
      <c r="F275" s="109"/>
      <c r="G275" s="109"/>
      <c r="I275" s="24"/>
      <c r="J275" s="24"/>
    </row>
    <row r="276" spans="1:10" s="1" customFormat="1" ht="15.9" customHeight="1">
      <c r="A276" s="27"/>
      <c r="B276" s="33"/>
      <c r="C276" s="89" t="s">
        <v>374</v>
      </c>
      <c r="D276" s="162"/>
      <c r="E276" s="24"/>
      <c r="F276" s="109"/>
      <c r="G276" s="109"/>
      <c r="I276" s="24"/>
      <c r="J276" s="24"/>
    </row>
    <row r="277" spans="1:10" s="1" customFormat="1" ht="15.9" customHeight="1">
      <c r="A277" s="27"/>
      <c r="B277" s="33"/>
      <c r="C277" s="328" t="s">
        <v>649</v>
      </c>
      <c r="D277" s="328"/>
      <c r="E277" s="328"/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433" t="s">
        <v>650</v>
      </c>
      <c r="D278" s="361"/>
      <c r="E278" s="361"/>
      <c r="F278" s="109"/>
      <c r="G278" s="109"/>
      <c r="I278" s="109"/>
      <c r="J278" s="24"/>
    </row>
    <row r="279" spans="1:10" s="1" customFormat="1" ht="15.9" customHeight="1">
      <c r="A279" s="27"/>
      <c r="B279" s="33"/>
      <c r="C279" s="374">
        <f>$I$139</f>
        <v>2504</v>
      </c>
      <c r="F279" s="109"/>
      <c r="G279" s="109"/>
      <c r="I279" s="109"/>
      <c r="J279" s="24"/>
    </row>
    <row r="280" spans="1:10" s="1" customFormat="1" ht="15.9" customHeight="1">
      <c r="A280" s="27"/>
      <c r="B280" s="33"/>
      <c r="C280" s="363">
        <f>$J$139+$J$140</f>
        <v>2</v>
      </c>
      <c r="F280" s="109"/>
      <c r="G280" s="109"/>
      <c r="I280" s="109"/>
      <c r="J280" s="24"/>
    </row>
    <row r="281" spans="1:10" s="1" customFormat="1" ht="15.9" customHeight="1">
      <c r="A281" s="27"/>
      <c r="B281" s="33"/>
      <c r="F281" s="109"/>
      <c r="G281" s="109"/>
      <c r="H281" s="109"/>
      <c r="J281" s="12"/>
    </row>
    <row r="282" spans="1:10" s="1" customFormat="1" ht="15.9" customHeight="1">
      <c r="A282" s="27"/>
      <c r="B282" s="33"/>
      <c r="F282" s="109"/>
      <c r="G282" s="109"/>
      <c r="H282" s="109"/>
      <c r="J282" s="12"/>
    </row>
    <row r="283" spans="1:10" s="1" customFormat="1" ht="15.9" customHeight="1">
      <c r="A283" s="27"/>
      <c r="B283" s="33"/>
      <c r="F283" s="109"/>
      <c r="G283" s="109"/>
      <c r="H283" s="109"/>
      <c r="J283" s="12"/>
    </row>
    <row r="284" spans="1:10" s="1" customFormat="1" ht="15.9" customHeight="1">
      <c r="A284" s="27"/>
      <c r="B284" s="33"/>
      <c r="C284" s="33"/>
      <c r="D284" s="161"/>
      <c r="E284" s="109"/>
      <c r="F284" s="109"/>
      <c r="G284" s="109"/>
      <c r="H284" s="109"/>
      <c r="J284" s="12"/>
    </row>
    <row r="285" spans="1:10" s="1" customFormat="1" ht="15.9" customHeight="1">
      <c r="A285" s="27"/>
      <c r="B285" s="33"/>
      <c r="F285" s="109"/>
      <c r="G285" s="109"/>
      <c r="H285" s="109"/>
      <c r="J285" s="12"/>
    </row>
    <row r="286" spans="1:10" s="1" customFormat="1" ht="15.9" customHeight="1">
      <c r="A286" s="27"/>
      <c r="B286" s="33"/>
      <c r="F286" s="109"/>
      <c r="G286" s="109"/>
      <c r="H286" s="109"/>
      <c r="I286" s="162"/>
      <c r="J286" s="24"/>
    </row>
    <row r="287" spans="1:10" s="1" customFormat="1" ht="15.9" customHeight="1">
      <c r="A287" s="27"/>
      <c r="B287" s="33"/>
      <c r="C287" s="89" t="s">
        <v>375</v>
      </c>
      <c r="F287" s="109"/>
      <c r="G287" s="109"/>
      <c r="H287" s="109"/>
      <c r="I287" s="109"/>
      <c r="J287" s="24"/>
    </row>
    <row r="288" spans="1:10" s="1" customFormat="1" ht="15.9" customHeight="1">
      <c r="A288" s="27"/>
      <c r="B288" s="33"/>
      <c r="C288" s="94" t="s">
        <v>416</v>
      </c>
      <c r="D288" s="161"/>
      <c r="E288" s="109"/>
      <c r="F288" s="109"/>
      <c r="G288" s="109"/>
      <c r="H288" s="109"/>
      <c r="I288" s="24"/>
      <c r="J288" s="24"/>
    </row>
    <row r="289" spans="1:10" s="1" customFormat="1" ht="15.9" customHeight="1">
      <c r="A289" s="27"/>
      <c r="B289" s="33"/>
      <c r="C289" s="361" t="s">
        <v>417</v>
      </c>
      <c r="D289" s="161"/>
      <c r="E289" s="109"/>
      <c r="F289" s="109"/>
      <c r="G289" s="109"/>
      <c r="H289" s="109"/>
      <c r="I289" s="24"/>
      <c r="J289" s="24"/>
    </row>
    <row r="290" spans="1:10" s="1" customFormat="1" ht="15.9" customHeight="1">
      <c r="A290" s="27"/>
      <c r="B290" s="33"/>
      <c r="C290" s="328" t="s">
        <v>281</v>
      </c>
      <c r="D290" s="328"/>
      <c r="E290" s="328"/>
      <c r="F290" s="109"/>
      <c r="G290" s="109"/>
      <c r="I290" s="24"/>
      <c r="J290" s="24"/>
    </row>
    <row r="291" spans="1:10" s="23" customFormat="1" ht="15.9" customHeight="1">
      <c r="A291" s="27"/>
      <c r="B291" s="33"/>
      <c r="C291" s="361" t="s">
        <v>282</v>
      </c>
      <c r="D291" s="361"/>
      <c r="E291" s="361"/>
      <c r="F291" s="109"/>
      <c r="G291" s="109"/>
      <c r="H291" s="1"/>
      <c r="I291" s="109"/>
      <c r="J291" s="109"/>
    </row>
    <row r="292" spans="1:10" s="1" customFormat="1" ht="15.9" customHeight="1">
      <c r="A292" s="27"/>
      <c r="B292" s="33"/>
      <c r="C292" s="374">
        <f>$I$141</f>
        <v>906.3125</v>
      </c>
      <c r="F292" s="109"/>
      <c r="G292" s="109"/>
      <c r="I292" s="44"/>
      <c r="J292" s="119"/>
    </row>
    <row r="293" spans="1:10" s="1" customFormat="1" ht="15.9" customHeight="1">
      <c r="A293" s="27"/>
      <c r="B293" s="33"/>
      <c r="C293" s="363">
        <f>$J$141+$J$142</f>
        <v>8</v>
      </c>
      <c r="D293" s="161"/>
      <c r="E293" s="109"/>
      <c r="F293" s="109"/>
      <c r="G293" s="109"/>
      <c r="H293" s="161"/>
      <c r="I293" s="32"/>
      <c r="J293" s="40"/>
    </row>
    <row r="294" spans="1:10" s="1" customFormat="1" ht="15.9" customHeight="1">
      <c r="A294" s="27"/>
      <c r="B294" s="33"/>
      <c r="C294" s="374">
        <f>$I$143</f>
        <v>2508</v>
      </c>
      <c r="D294" s="161"/>
      <c r="E294" s="109"/>
      <c r="F294" s="109"/>
      <c r="G294" s="109"/>
      <c r="H294" s="109"/>
      <c r="I294" s="24"/>
      <c r="J294" s="24"/>
    </row>
    <row r="295" spans="1:10" s="1" customFormat="1" ht="15.9" customHeight="1">
      <c r="A295" s="27"/>
      <c r="B295" s="33"/>
      <c r="C295" s="363">
        <f>$J$143+$J$144+$J$145</f>
        <v>8</v>
      </c>
      <c r="D295" s="161"/>
      <c r="E295" s="109"/>
      <c r="F295" s="109"/>
      <c r="G295" s="109"/>
      <c r="H295" s="109"/>
      <c r="I295" s="24"/>
      <c r="J295" s="24"/>
    </row>
    <row r="296" spans="1:10" s="1" customFormat="1" ht="15.9" customHeight="1">
      <c r="A296" s="27"/>
      <c r="B296" s="33"/>
      <c r="D296" s="161"/>
      <c r="E296" s="109"/>
      <c r="F296" s="109"/>
      <c r="G296" s="109"/>
      <c r="H296" s="109"/>
      <c r="I296" s="24"/>
      <c r="J296" s="24"/>
    </row>
    <row r="297" spans="1:10" s="1" customFormat="1" ht="15.9" customHeight="1">
      <c r="A297" s="27"/>
      <c r="B297" s="33"/>
      <c r="D297" s="161"/>
      <c r="E297" s="109"/>
      <c r="F297" s="109"/>
      <c r="G297" s="109"/>
      <c r="H297" s="109"/>
      <c r="I297" s="24"/>
      <c r="J297" s="24"/>
    </row>
    <row r="298" spans="1:10" s="1" customFormat="1" ht="15.9" customHeight="1">
      <c r="A298" s="27"/>
      <c r="B298" s="33"/>
      <c r="C298" s="33"/>
      <c r="D298" s="161"/>
      <c r="E298" s="109"/>
      <c r="F298" s="109"/>
      <c r="G298" s="109"/>
      <c r="H298" s="109"/>
      <c r="I298" s="109"/>
      <c r="J298" s="24"/>
    </row>
    <row r="299" spans="1:10" s="1" customFormat="1" ht="15.9" customHeight="1">
      <c r="A299" s="27"/>
      <c r="B299" s="33"/>
      <c r="C299" s="23"/>
      <c r="D299" s="161"/>
      <c r="E299" s="109"/>
      <c r="F299" s="109"/>
      <c r="G299" s="109"/>
      <c r="H299" s="109"/>
      <c r="I299" s="109"/>
      <c r="J299" s="24"/>
    </row>
    <row r="300" spans="1:10" s="1" customFormat="1" ht="15.9" customHeight="1">
      <c r="A300" s="27"/>
      <c r="B300" s="33"/>
      <c r="C300" s="89" t="s">
        <v>376</v>
      </c>
      <c r="D300" s="161"/>
      <c r="E300" s="109"/>
      <c r="F300" s="109"/>
      <c r="G300" s="109"/>
      <c r="H300" s="109"/>
      <c r="I300" s="109"/>
      <c r="J300" s="24"/>
    </row>
    <row r="301" spans="1:10" s="1" customFormat="1" ht="15.9" customHeight="1">
      <c r="A301" s="27"/>
      <c r="B301" s="33"/>
      <c r="C301" s="94" t="s">
        <v>416</v>
      </c>
      <c r="D301" s="161"/>
      <c r="E301" s="109"/>
      <c r="F301" s="109"/>
      <c r="G301" s="44"/>
      <c r="H301" s="44"/>
      <c r="I301" s="109"/>
      <c r="J301" s="24"/>
    </row>
    <row r="302" spans="1:10" s="1" customFormat="1" ht="15.9" customHeight="1">
      <c r="A302" s="27"/>
      <c r="B302" s="33"/>
      <c r="C302" s="361" t="s">
        <v>418</v>
      </c>
      <c r="D302" s="328"/>
      <c r="E302" s="328"/>
      <c r="F302" s="109"/>
      <c r="G302" s="40"/>
      <c r="H302" s="32"/>
      <c r="I302" s="109"/>
      <c r="J302" s="24"/>
    </row>
    <row r="303" spans="1:10" s="1" customFormat="1" ht="15.9" customHeight="1">
      <c r="A303" s="41"/>
      <c r="B303" s="33"/>
      <c r="C303" s="328" t="s">
        <v>286</v>
      </c>
      <c r="D303" s="361"/>
      <c r="E303" s="361"/>
      <c r="F303" s="109"/>
      <c r="G303" s="109"/>
      <c r="H303" s="109"/>
      <c r="I303" s="109"/>
      <c r="J303" s="24"/>
    </row>
    <row r="304" spans="1:10" s="1" customFormat="1" ht="15.9" customHeight="1">
      <c r="A304" s="44"/>
      <c r="B304" s="44"/>
      <c r="C304" s="361" t="s">
        <v>285</v>
      </c>
      <c r="D304" s="86"/>
      <c r="E304" s="79"/>
      <c r="F304" s="44"/>
      <c r="G304" s="109"/>
      <c r="H304" s="109"/>
      <c r="I304" s="109"/>
      <c r="J304" s="24"/>
    </row>
    <row r="305" spans="1:14" s="1" customFormat="1" ht="15.9" customHeight="1">
      <c r="A305" s="40"/>
      <c r="B305" s="40"/>
      <c r="C305" s="374">
        <f>$I$146</f>
        <v>906.3125</v>
      </c>
      <c r="D305" s="87"/>
      <c r="E305" s="80"/>
      <c r="F305" s="32"/>
      <c r="G305" s="109"/>
      <c r="H305" s="109"/>
      <c r="I305" s="109"/>
      <c r="J305" s="24"/>
    </row>
    <row r="306" spans="1:14" s="1" customFormat="1" ht="15.9" customHeight="1">
      <c r="A306" s="109"/>
      <c r="B306" s="33"/>
      <c r="C306" s="363">
        <f>$J$146</f>
        <v>24</v>
      </c>
      <c r="D306" s="15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374">
        <f>$I$147</f>
        <v>-204.5</v>
      </c>
      <c r="D307" s="15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363">
        <f>$J$147</f>
        <v>16</v>
      </c>
      <c r="D308" s="15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74">
        <f>$I$148</f>
        <v>1233</v>
      </c>
      <c r="D309" s="15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63">
        <f>$J$148</f>
        <v>8</v>
      </c>
      <c r="D310" s="15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D311" s="15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C312" s="89"/>
      <c r="D312" s="161"/>
      <c r="E312" s="109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33"/>
      <c r="D314" s="162"/>
      <c r="E314" s="24"/>
      <c r="F314" s="109"/>
      <c r="G314" s="109"/>
      <c r="H314" s="109"/>
      <c r="I314" s="27"/>
      <c r="J314" s="99" t="str">
        <f>LEFT($J$111,13)&amp;"-03"</f>
        <v>FG-240-4P2L2R-03</v>
      </c>
    </row>
    <row r="315" spans="1:14" ht="12.75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30" customHeight="1">
      <c r="A316" s="17"/>
      <c r="B316" s="26"/>
      <c r="C316" s="26"/>
      <c r="D316" s="83"/>
      <c r="E316" s="25"/>
      <c r="F316" s="25"/>
      <c r="G316" s="25"/>
      <c r="H316" s="25"/>
      <c r="I316" s="179"/>
      <c r="J316" s="90" t="str">
        <f>$J$2</f>
        <v>HOMELIFE</v>
      </c>
    </row>
    <row r="317" spans="1:14" ht="24.9" customHeight="1">
      <c r="B317" s="279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279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s="1" customFormat="1" ht="15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  <c r="K320" s="4"/>
      <c r="L320" s="4"/>
      <c r="M320" s="4"/>
      <c r="N320" s="4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72"/>
      <c r="C324" s="56"/>
      <c r="D324" s="30"/>
      <c r="E324" s="29"/>
      <c r="F324" s="160"/>
      <c r="G324" s="160"/>
      <c r="H324" s="160"/>
      <c r="I324" s="31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358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358"/>
      <c r="I331" s="161"/>
      <c r="J331" s="109"/>
    </row>
    <row r="332" spans="1:10" s="1" customFormat="1" ht="15" customHeight="1">
      <c r="A332" s="64" t="str">
        <f>A18</f>
        <v>240-4 Panel (2L2R)</v>
      </c>
      <c r="B332" s="92"/>
      <c r="C332" s="161"/>
      <c r="D332" s="161"/>
      <c r="E332" s="109"/>
      <c r="F332" s="358"/>
      <c r="G332" s="358"/>
      <c r="H332" s="358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92"/>
      <c r="C333" s="161"/>
      <c r="D333" s="161"/>
      <c r="E333" s="109"/>
      <c r="F333" s="358"/>
      <c r="G333" s="358"/>
      <c r="H333" s="358"/>
      <c r="I333" s="109"/>
      <c r="J333" s="109"/>
    </row>
    <row r="334" spans="1:10" s="1" customFormat="1" ht="15.9" customHeight="1">
      <c r="A334" s="109"/>
      <c r="B334" s="45"/>
      <c r="C334" s="42"/>
      <c r="D334" s="161"/>
      <c r="E334" s="109"/>
      <c r="F334" s="507"/>
      <c r="G334" s="507"/>
      <c r="H334" s="358"/>
      <c r="I334" s="109"/>
      <c r="J334" s="109"/>
    </row>
    <row r="335" spans="1:10" s="1" customFormat="1" ht="15.9" customHeight="1">
      <c r="A335" s="39"/>
      <c r="B335" s="109"/>
      <c r="C335" s="161"/>
      <c r="D335" s="161"/>
      <c r="E335" s="109"/>
      <c r="F335" s="37"/>
      <c r="G335" s="38"/>
      <c r="H335" s="109"/>
      <c r="I335" s="109"/>
      <c r="J335" s="109"/>
    </row>
    <row r="336" spans="1:10" s="1" customFormat="1" ht="15.9" customHeight="1">
      <c r="A336" s="44"/>
      <c r="C336" s="43"/>
      <c r="D336" s="161"/>
      <c r="E336" s="109"/>
      <c r="F336" s="109"/>
      <c r="G336" s="109"/>
      <c r="H336" s="109"/>
      <c r="I336" s="44"/>
      <c r="J336" s="119"/>
    </row>
    <row r="337" spans="1:10" s="1" customFormat="1" ht="15.9" customHeight="1">
      <c r="A337" s="40"/>
      <c r="C337" s="44"/>
      <c r="D337" s="84"/>
      <c r="E337" s="44"/>
      <c r="F337" s="44"/>
      <c r="G337" s="44"/>
      <c r="H337" s="44"/>
      <c r="I337" s="32"/>
      <c r="J337" s="40"/>
    </row>
    <row r="338" spans="1:10" s="1" customFormat="1" ht="15.9" customHeight="1">
      <c r="A338" s="109"/>
      <c r="C338" s="161"/>
      <c r="D338" s="85"/>
      <c r="E338" s="40"/>
      <c r="F338" s="32"/>
      <c r="G338" s="40"/>
      <c r="H338" s="32"/>
      <c r="I338" s="24"/>
      <c r="J338" s="24"/>
    </row>
    <row r="339" spans="1:10" s="1" customFormat="1" ht="15.9" customHeight="1">
      <c r="A339" s="109"/>
      <c r="C339" s="163"/>
      <c r="D339" s="161"/>
      <c r="E339" s="109"/>
      <c r="F339" s="161"/>
      <c r="G339" s="109"/>
      <c r="H339" s="109"/>
      <c r="I339" s="24"/>
      <c r="J339" s="24"/>
    </row>
    <row r="340" spans="1:10" s="1" customFormat="1" ht="15.9" customHeight="1">
      <c r="A340" s="109"/>
      <c r="B340" s="33"/>
      <c r="C340" s="161"/>
      <c r="D340" s="161"/>
      <c r="E340" s="109"/>
      <c r="F340" s="161"/>
      <c r="G340" s="109"/>
      <c r="H340" s="109"/>
      <c r="I340" s="162"/>
      <c r="J340" s="162"/>
    </row>
    <row r="341" spans="1:10" s="1" customFormat="1" ht="15.9" customHeight="1">
      <c r="A341" s="109"/>
      <c r="B341" s="33"/>
      <c r="C341" s="44"/>
      <c r="D341" s="161"/>
      <c r="E341" s="109"/>
      <c r="F341" s="161"/>
      <c r="G341" s="109"/>
      <c r="H341" s="162"/>
      <c r="I341" s="161"/>
      <c r="J341" s="161"/>
    </row>
    <row r="342" spans="1:10" s="1" customFormat="1" ht="15.9" customHeight="1">
      <c r="A342" s="109"/>
      <c r="B342" s="33"/>
      <c r="C342" s="42"/>
      <c r="D342" s="161"/>
      <c r="E342" s="109"/>
      <c r="F342" s="161"/>
      <c r="G342" s="109"/>
      <c r="H342" s="161"/>
      <c r="I342" s="161"/>
      <c r="J342" s="161"/>
    </row>
    <row r="343" spans="1:10" s="1" customFormat="1" ht="15.9" customHeight="1">
      <c r="A343" s="109"/>
      <c r="B343" s="33"/>
      <c r="C343" s="163"/>
      <c r="D343" s="161"/>
      <c r="E343" s="109"/>
      <c r="F343" s="161"/>
      <c r="G343" s="109"/>
      <c r="H343" s="161"/>
      <c r="I343" s="109"/>
      <c r="J343" s="24"/>
    </row>
    <row r="344" spans="1:10" s="1" customFormat="1" ht="15.9" customHeight="1">
      <c r="A344" s="109"/>
      <c r="B344" s="33"/>
      <c r="C344" s="161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44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3"/>
      <c r="D350" s="161"/>
      <c r="E350" s="109"/>
      <c r="F350" s="161"/>
      <c r="G350" s="109"/>
      <c r="H350" s="109"/>
      <c r="I350" s="109"/>
      <c r="J350" s="24"/>
    </row>
    <row r="351" spans="1:10" s="1" customFormat="1" ht="15.9" customHeight="1">
      <c r="A351" s="109"/>
      <c r="B351" s="33"/>
      <c r="C351" s="161"/>
      <c r="D351" s="161"/>
      <c r="E351" s="109"/>
      <c r="F351" s="161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1" customFormat="1" ht="15" customHeight="1">
      <c r="A353" s="109"/>
      <c r="B353" s="33"/>
      <c r="C353" s="33"/>
      <c r="D353" s="161"/>
      <c r="E353" s="109"/>
      <c r="F353" s="109"/>
      <c r="G353" s="109"/>
      <c r="H353" s="107"/>
      <c r="I353" s="24"/>
      <c r="J353" s="24"/>
    </row>
    <row r="354" spans="1:10" s="23" customFormat="1" ht="15.9" customHeight="1">
      <c r="A354" s="109"/>
      <c r="B354" s="33"/>
      <c r="C354" s="33"/>
      <c r="D354" s="161"/>
      <c r="E354" s="109"/>
      <c r="F354" s="109"/>
      <c r="G354" s="109"/>
      <c r="H354" s="109"/>
      <c r="I354" s="109"/>
      <c r="J354" s="109"/>
    </row>
    <row r="355" spans="1:10" s="1" customFormat="1" ht="15.9" customHeight="1">
      <c r="A355" s="44"/>
      <c r="B355" s="33"/>
      <c r="C355" s="33"/>
      <c r="D355" s="161"/>
      <c r="E355" s="109"/>
      <c r="F355" s="109"/>
      <c r="G355" s="109"/>
      <c r="H355" s="109"/>
      <c r="I355" s="44"/>
      <c r="J355" s="119"/>
    </row>
    <row r="356" spans="1:10" s="1" customFormat="1" ht="15.9" customHeight="1">
      <c r="A356" s="40"/>
      <c r="B356" s="44"/>
      <c r="C356" s="44"/>
      <c r="D356" s="84"/>
      <c r="E356" s="44"/>
      <c r="F356" s="44"/>
      <c r="G356" s="44"/>
      <c r="H356" s="44"/>
      <c r="I356" s="32"/>
      <c r="J356" s="40"/>
    </row>
    <row r="357" spans="1:10" s="1" customFormat="1" ht="15.9" customHeight="1">
      <c r="A357" s="27"/>
      <c r="B357" s="40"/>
      <c r="C357" s="44"/>
      <c r="D357" s="85"/>
      <c r="E357" s="40"/>
      <c r="F357" s="32"/>
      <c r="G357" s="40"/>
      <c r="H357" s="32"/>
      <c r="I357" s="24"/>
      <c r="J357" s="24"/>
    </row>
    <row r="358" spans="1:10" s="1" customFormat="1" ht="15.9" customHeight="1">
      <c r="A358" s="27"/>
      <c r="B358" s="33"/>
      <c r="C358" s="42"/>
      <c r="D358" s="161"/>
      <c r="E358" s="109"/>
      <c r="F358" s="109"/>
      <c r="G358" s="109"/>
      <c r="H358" s="42"/>
      <c r="I358" s="163"/>
      <c r="J358" s="163"/>
    </row>
    <row r="359" spans="1:10" s="1" customFormat="1" ht="15.9" customHeight="1">
      <c r="A359" s="27"/>
      <c r="B359" s="33"/>
      <c r="C359" s="163"/>
      <c r="D359" s="161"/>
      <c r="E359" s="109"/>
      <c r="F359" s="109"/>
      <c r="G359" s="109"/>
      <c r="H359" s="163"/>
      <c r="I359" s="161"/>
      <c r="J359" s="161"/>
    </row>
    <row r="360" spans="1:10" s="1" customFormat="1" ht="15.9" customHeight="1">
      <c r="A360" s="27"/>
      <c r="B360" s="33"/>
      <c r="C360" s="161"/>
      <c r="D360" s="161"/>
      <c r="E360" s="109"/>
      <c r="F360" s="109"/>
      <c r="G360" s="109"/>
      <c r="H360" s="161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46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161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D372" s="161"/>
      <c r="E372" s="109"/>
      <c r="F372" s="109"/>
      <c r="G372" s="33"/>
      <c r="H372" s="33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42"/>
      <c r="I376" s="163"/>
      <c r="J376" s="163"/>
    </row>
    <row r="377" spans="1:10" s="1" customFormat="1" ht="15.9" customHeight="1">
      <c r="A377" s="27"/>
      <c r="B377" s="33"/>
      <c r="C377" s="47"/>
      <c r="D377" s="161"/>
      <c r="E377" s="109"/>
      <c r="F377" s="109"/>
      <c r="G377" s="109"/>
      <c r="H377" s="163"/>
      <c r="I377" s="161"/>
      <c r="J377" s="161"/>
    </row>
    <row r="378" spans="1:10" s="1" customFormat="1" ht="15.9" customHeight="1">
      <c r="A378" s="27"/>
      <c r="B378" s="33"/>
      <c r="C378" s="46"/>
      <c r="D378" s="161"/>
      <c r="E378" s="109"/>
      <c r="F378" s="109"/>
      <c r="G378" s="109"/>
      <c r="H378" s="161"/>
      <c r="I378" s="24"/>
      <c r="J378" s="24"/>
    </row>
    <row r="379" spans="1:10" s="1" customFormat="1" ht="15.9" customHeight="1">
      <c r="A379" s="27"/>
      <c r="B379" s="33"/>
      <c r="C379" s="161"/>
      <c r="D379" s="161"/>
      <c r="E379" s="109"/>
      <c r="F379" s="109"/>
      <c r="G379" s="109"/>
      <c r="H379" s="42"/>
      <c r="I379" s="163"/>
      <c r="J379" s="163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3"/>
      <c r="I380" s="161"/>
      <c r="J380" s="161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1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64"/>
      <c r="J388" s="16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4"/>
      <c r="I389" s="165"/>
      <c r="J389" s="165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5"/>
      <c r="I390" s="161"/>
      <c r="J390" s="161"/>
    </row>
    <row r="391" spans="1:10" s="1" customFormat="1" ht="15.9" customHeight="1">
      <c r="A391" s="27"/>
      <c r="B391" s="33"/>
      <c r="C391" s="47"/>
      <c r="D391" s="161"/>
      <c r="E391" s="109"/>
      <c r="F391" s="109"/>
      <c r="G391" s="109"/>
      <c r="H391" s="161"/>
      <c r="I391" s="24"/>
      <c r="J391" s="24"/>
    </row>
    <row r="392" spans="1:10" s="1" customFormat="1" ht="15.9" customHeight="1">
      <c r="A392" s="27"/>
      <c r="B392" s="33"/>
      <c r="C392" s="46"/>
      <c r="D392" s="161"/>
      <c r="E392" s="109"/>
      <c r="F392" s="109"/>
      <c r="G392" s="109"/>
      <c r="H392" s="109"/>
      <c r="I392" s="109"/>
      <c r="J392" s="24"/>
    </row>
    <row r="393" spans="1:10" s="1" customFormat="1" ht="15.9" customHeight="1">
      <c r="A393" s="27"/>
      <c r="B393" s="33"/>
      <c r="C393" s="161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23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1" customFormat="1" ht="15.9" customHeight="1">
      <c r="A405" s="44"/>
      <c r="B405" s="33"/>
      <c r="C405" s="33"/>
      <c r="D405" s="161"/>
      <c r="E405" s="109"/>
      <c r="F405" s="109"/>
      <c r="G405" s="109"/>
      <c r="H405" s="109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109"/>
      <c r="B419" s="44"/>
      <c r="C419" s="44"/>
      <c r="D419" s="84"/>
      <c r="E419" s="44"/>
      <c r="F419" s="44"/>
      <c r="G419" s="44"/>
      <c r="H419" s="44"/>
      <c r="I419" s="24"/>
      <c r="J419" s="24"/>
      <c r="K419" s="71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LEFT($J$111,13)&amp;"-04"</f>
        <v>FG-240-4P2L2R-04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A423" s="109"/>
      <c r="B423" s="33"/>
      <c r="C423" s="33"/>
      <c r="D423" s="161"/>
      <c r="E423" s="109"/>
      <c r="F423" s="109"/>
      <c r="G423" s="109"/>
      <c r="H423" s="109"/>
      <c r="I423" s="109"/>
      <c r="J423" s="90" t="str">
        <f>$J$2</f>
        <v>HOMELIFE</v>
      </c>
      <c r="K423" s="7"/>
      <c r="L423" s="7"/>
      <c r="M423" s="2"/>
      <c r="N423" s="2"/>
    </row>
    <row r="424" spans="1:14" ht="24.9" customHeight="1">
      <c r="A424" s="109"/>
      <c r="B424" s="33"/>
      <c r="C424" s="33"/>
      <c r="D424" s="161"/>
      <c r="E424" s="109"/>
      <c r="F424" s="109"/>
      <c r="G424" s="109"/>
      <c r="H424" s="109"/>
      <c r="I424" s="109"/>
      <c r="J424" s="91" t="str">
        <f>$J$3</f>
        <v>Fabricators Guide</v>
      </c>
      <c r="K424" s="7"/>
      <c r="L424" s="7"/>
      <c r="M424" s="2"/>
      <c r="N424" s="2"/>
    </row>
    <row r="425" spans="1:14" ht="24.9" customHeight="1">
      <c r="B425" s="279"/>
      <c r="C425" s="28"/>
      <c r="D425" s="28"/>
      <c r="E425" s="28"/>
      <c r="F425" s="28"/>
      <c r="G425" s="28"/>
      <c r="H425" s="28"/>
      <c r="I425" s="28"/>
      <c r="J425" s="91" t="str">
        <f>$J$4</f>
        <v xml:space="preserve">240 Series Bi Fold Door </v>
      </c>
      <c r="K425" s="48"/>
      <c r="L425" s="48"/>
      <c r="M425" s="4"/>
      <c r="N425" s="4"/>
    </row>
    <row r="426" spans="1:14" s="1" customFormat="1" ht="15" customHeight="1" thickBot="1">
      <c r="A426" s="78"/>
      <c r="B426" s="8"/>
      <c r="C426" s="28"/>
      <c r="D426" s="28"/>
      <c r="E426" s="28"/>
      <c r="F426" s="28"/>
      <c r="G426" s="28"/>
      <c r="H426" s="2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  <c r="K427" s="4"/>
      <c r="L427" s="4"/>
      <c r="M427" s="4"/>
      <c r="N427" s="4"/>
    </row>
    <row r="428" spans="1:14" s="1" customFormat="1" ht="15" customHeight="1">
      <c r="A428" s="193"/>
      <c r="B428" s="194"/>
      <c r="C428" s="194"/>
      <c r="D428" s="194"/>
      <c r="E428" s="194"/>
      <c r="F428" s="194"/>
      <c r="G428" s="194"/>
      <c r="H428" s="194"/>
      <c r="I428" s="193"/>
      <c r="K428" s="56"/>
      <c r="L428" s="56"/>
      <c r="M428" s="56"/>
      <c r="N428" s="56"/>
    </row>
    <row r="429" spans="1:14" s="1" customFormat="1" ht="15" customHeight="1">
      <c r="A429" s="45"/>
      <c r="B429" s="193"/>
      <c r="C429" s="193"/>
      <c r="D429" s="193"/>
      <c r="E429" s="193"/>
      <c r="F429" s="193"/>
      <c r="G429" s="193"/>
      <c r="H429" s="193"/>
      <c r="I429" s="44"/>
      <c r="J429" s="119"/>
    </row>
    <row r="430" spans="1:14" s="1" customFormat="1" ht="15" customHeight="1">
      <c r="A430" s="109"/>
      <c r="B430" s="39"/>
      <c r="C430" s="33"/>
      <c r="D430" s="161"/>
      <c r="E430" s="35"/>
      <c r="F430" s="39"/>
      <c r="G430" s="193"/>
      <c r="H430" s="44"/>
      <c r="I430" s="44"/>
      <c r="J430" s="119"/>
    </row>
    <row r="431" spans="1:14" s="1" customFormat="1" ht="15" customHeight="1">
      <c r="A431" s="109"/>
      <c r="B431" s="33"/>
      <c r="C431" s="33"/>
      <c r="D431" s="161"/>
      <c r="E431" s="35"/>
      <c r="F431" s="161"/>
      <c r="G431" s="193"/>
      <c r="H431" s="44"/>
      <c r="I431" s="44"/>
      <c r="J431" s="119"/>
    </row>
    <row r="432" spans="1:14" s="1" customFormat="1" ht="15" customHeight="1">
      <c r="A432" s="109"/>
      <c r="B432" s="56"/>
      <c r="C432" s="56"/>
      <c r="D432" s="30"/>
      <c r="E432" s="29"/>
      <c r="F432" s="30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109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3"/>
      <c r="H434" s="44"/>
      <c r="I434" s="44"/>
      <c r="J434" s="119"/>
    </row>
    <row r="435" spans="1:10" s="1" customFormat="1" ht="15" customHeight="1">
      <c r="A435" s="109"/>
      <c r="B435" s="33"/>
      <c r="C435" s="161"/>
      <c r="D435" s="161"/>
      <c r="E435" s="35"/>
      <c r="F435" s="161"/>
      <c r="H435" s="44"/>
      <c r="I435" s="44"/>
      <c r="J435" s="119"/>
    </row>
    <row r="436" spans="1:10" s="1" customFormat="1" ht="15" customHeight="1">
      <c r="A436" s="39"/>
      <c r="B436" s="33"/>
      <c r="C436" s="42"/>
      <c r="D436" s="161"/>
      <c r="E436" s="109"/>
      <c r="F436" s="69"/>
      <c r="H436" s="44"/>
      <c r="I436" s="44"/>
      <c r="J436" s="119"/>
    </row>
    <row r="437" spans="1:10" s="1" customFormat="1" ht="15" customHeight="1">
      <c r="A437" s="92"/>
      <c r="B437" s="39"/>
      <c r="C437" s="163"/>
      <c r="D437" s="161"/>
      <c r="E437" s="109"/>
      <c r="F437" s="68"/>
      <c r="H437" s="44"/>
      <c r="I437" s="44"/>
      <c r="J437" s="119"/>
    </row>
    <row r="438" spans="1:10" s="1" customFormat="1" ht="15" customHeight="1">
      <c r="B438" s="92"/>
      <c r="C438" s="161"/>
      <c r="D438" s="161"/>
      <c r="E438" s="109"/>
      <c r="F438" s="358"/>
      <c r="H438" s="44"/>
      <c r="I438" s="44"/>
      <c r="J438" s="119"/>
    </row>
    <row r="439" spans="1:10" s="1" customFormat="1" ht="15" customHeight="1">
      <c r="A439" s="64" t="str">
        <f>A18</f>
        <v>240-4 Panel (2L2R)</v>
      </c>
      <c r="B439" s="92"/>
      <c r="C439" s="161"/>
      <c r="D439" s="161"/>
      <c r="E439" s="109"/>
      <c r="F439" s="358"/>
      <c r="H439" s="44"/>
      <c r="I439" s="44"/>
      <c r="J439" s="119"/>
    </row>
    <row r="440" spans="1:10" s="1" customFormat="1" ht="15.9" customHeight="1">
      <c r="A440" s="76" t="str">
        <f>A19</f>
        <v xml:space="preserve">Outside Bi Fold Door </v>
      </c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39"/>
      <c r="C442" s="161"/>
      <c r="D442" s="161"/>
      <c r="E442" s="109"/>
      <c r="F442" s="37"/>
      <c r="H442" s="44"/>
      <c r="I442" s="44"/>
      <c r="J442" s="119"/>
    </row>
    <row r="443" spans="1:10" s="1" customFormat="1" ht="15.9" customHeight="1">
      <c r="A443" s="39"/>
      <c r="C443" s="161"/>
      <c r="D443" s="161"/>
      <c r="E443" s="109"/>
      <c r="F443" s="37"/>
      <c r="H443" s="44"/>
      <c r="I443" s="44"/>
      <c r="J443" s="119"/>
    </row>
    <row r="444" spans="1:10" s="1" customFormat="1" ht="15.9" customHeight="1">
      <c r="A444" s="44"/>
      <c r="B444" s="38"/>
      <c r="C444" s="43"/>
      <c r="D444" s="161"/>
      <c r="E444" s="109"/>
      <c r="F444" s="109"/>
      <c r="H444" s="44"/>
      <c r="I444" s="44"/>
      <c r="J444" s="119"/>
    </row>
    <row r="445" spans="1:10" s="1" customFormat="1" ht="15.9" customHeight="1">
      <c r="A445" s="40"/>
      <c r="C445" s="44"/>
      <c r="D445" s="84"/>
      <c r="E445" s="44"/>
      <c r="F445" s="44"/>
      <c r="H445" s="44"/>
      <c r="I445" s="44"/>
      <c r="J445" s="119"/>
    </row>
    <row r="446" spans="1:10" ht="15.6">
      <c r="B446" s="64"/>
      <c r="C446" s="163"/>
      <c r="D446" s="161"/>
      <c r="E446" s="109"/>
      <c r="F446" s="161"/>
      <c r="G446" s="109"/>
      <c r="H446" s="109"/>
    </row>
    <row r="451" spans="1:10" s="1" customFormat="1" ht="15.9" customHeight="1">
      <c r="A451" s="109"/>
      <c r="B451"/>
      <c r="C451"/>
      <c r="D451" s="81"/>
      <c r="E451"/>
      <c r="F451"/>
      <c r="G451"/>
      <c r="H451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33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44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161"/>
      <c r="D456" s="161"/>
      <c r="E456" s="109"/>
      <c r="F456" s="161"/>
      <c r="G456" s="109"/>
      <c r="H456" s="109"/>
      <c r="I456" s="24"/>
      <c r="J456" s="24"/>
    </row>
    <row r="457" spans="1:10" s="1" customFormat="1" ht="15.9" customHeight="1">
      <c r="A457" s="109"/>
      <c r="B457" s="33"/>
      <c r="C457" s="163"/>
      <c r="D457" s="161"/>
      <c r="E457" s="109"/>
      <c r="F457" s="161"/>
      <c r="G457" s="109"/>
      <c r="H457" s="109"/>
      <c r="I457" s="109"/>
      <c r="J457" s="24"/>
    </row>
    <row r="458" spans="1:10" s="1" customFormat="1" ht="15.9" customHeight="1">
      <c r="A458" s="109"/>
      <c r="B458" s="33"/>
      <c r="C458" s="161"/>
      <c r="D458" s="161"/>
      <c r="E458" s="109"/>
      <c r="F458" s="161"/>
      <c r="G458" s="109"/>
      <c r="H458" s="109"/>
      <c r="I458" s="24"/>
      <c r="J458" s="24"/>
    </row>
    <row r="459" spans="1:10" s="1" customFormat="1" ht="15.9" customHeight="1">
      <c r="A459" s="109"/>
      <c r="B459" s="33"/>
      <c r="C459" s="33"/>
      <c r="D459" s="161"/>
      <c r="E459" s="109"/>
      <c r="F459" s="109"/>
      <c r="G459" s="109"/>
      <c r="H459" s="109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7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" customHeight="1">
      <c r="A476" s="109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1" customFormat="1" ht="15" customHeight="1">
      <c r="A477" s="109"/>
      <c r="B477" s="33"/>
      <c r="C477" s="33"/>
      <c r="D477" s="161"/>
      <c r="E477" s="109"/>
      <c r="F477" s="109"/>
      <c r="G477" s="109"/>
      <c r="H477" s="109"/>
      <c r="I477" s="24"/>
      <c r="J477" s="24"/>
    </row>
    <row r="478" spans="1:10" s="23" customFormat="1" ht="15.9" customHeight="1">
      <c r="A478" s="109"/>
      <c r="B478" s="33"/>
      <c r="C478" s="33"/>
      <c r="D478" s="161"/>
      <c r="E478" s="109"/>
      <c r="F478" s="109"/>
      <c r="G478" s="109"/>
      <c r="H478" s="109"/>
      <c r="I478" s="109"/>
      <c r="J478" s="109"/>
    </row>
    <row r="479" spans="1:10" s="1" customFormat="1" ht="15.9" customHeight="1">
      <c r="A479" s="44"/>
      <c r="B479" s="33"/>
      <c r="C479" s="33"/>
      <c r="D479" s="161"/>
      <c r="E479" s="109"/>
      <c r="F479" s="109"/>
      <c r="G479" s="109"/>
      <c r="H479" s="109"/>
      <c r="I479" s="44"/>
      <c r="J479" s="119"/>
    </row>
    <row r="480" spans="1:10" s="1" customFormat="1" ht="15.9" customHeight="1">
      <c r="A480" s="40"/>
      <c r="B480" s="44"/>
      <c r="C480" s="44"/>
      <c r="D480" s="84"/>
      <c r="E480" s="44"/>
      <c r="F480" s="44"/>
      <c r="G480" s="44"/>
      <c r="H480" s="44"/>
      <c r="I480" s="32"/>
      <c r="J480" s="40"/>
    </row>
    <row r="481" spans="1:10" s="1" customFormat="1" ht="15.9" customHeight="1">
      <c r="A481" s="27"/>
      <c r="B481" s="40"/>
      <c r="C481" s="44"/>
      <c r="D481" s="85"/>
      <c r="E481" s="40"/>
      <c r="F481" s="32"/>
      <c r="G481" s="40"/>
      <c r="H481" s="32"/>
      <c r="I481" s="24"/>
      <c r="J481" s="24"/>
    </row>
    <row r="482" spans="1:10" s="1" customFormat="1" ht="15.9" customHeight="1">
      <c r="A482" s="27"/>
      <c r="B482" s="33"/>
      <c r="C482" s="42"/>
      <c r="D482" s="161"/>
      <c r="E482" s="109"/>
      <c r="F482" s="109"/>
      <c r="G482" s="109"/>
      <c r="H482" s="42"/>
      <c r="I482" s="67"/>
      <c r="J482" s="165"/>
    </row>
    <row r="483" spans="1:10" s="1" customFormat="1" ht="15.9" customHeight="1">
      <c r="A483" s="27"/>
      <c r="B483" s="33"/>
      <c r="C483" s="163"/>
      <c r="D483" s="161"/>
      <c r="E483" s="109"/>
      <c r="F483" s="109"/>
      <c r="G483" s="109"/>
      <c r="H483" s="67"/>
      <c r="I483" s="38"/>
      <c r="J483" s="109"/>
    </row>
    <row r="484" spans="1:10" s="1" customFormat="1" ht="15.9" customHeight="1">
      <c r="A484" s="27"/>
      <c r="B484" s="33"/>
      <c r="C484" s="161"/>
      <c r="D484" s="161"/>
      <c r="E484" s="109"/>
      <c r="F484" s="109"/>
      <c r="G484" s="109"/>
      <c r="H484" s="38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33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46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161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B492" s="33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B495" s="33"/>
      <c r="C495" s="33"/>
      <c r="D495" s="161"/>
      <c r="E495" s="109"/>
      <c r="F495" s="109"/>
      <c r="G495" s="109"/>
      <c r="H495" s="109"/>
      <c r="I495" s="24"/>
      <c r="J495" s="24"/>
    </row>
    <row r="496" spans="1:10" s="1" customFormat="1" ht="15.9" customHeight="1">
      <c r="A496" s="27"/>
      <c r="D496" s="161"/>
      <c r="E496" s="109"/>
      <c r="F496" s="109"/>
      <c r="G496" s="33"/>
      <c r="H496" s="33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109"/>
      <c r="I499" s="24"/>
      <c r="J499" s="24"/>
    </row>
    <row r="500" spans="1:10" s="1" customFormat="1" ht="15.9" customHeight="1">
      <c r="A500" s="27"/>
      <c r="B500" s="33"/>
      <c r="C500" s="33"/>
      <c r="D500" s="161"/>
      <c r="E500" s="109"/>
      <c r="F500" s="109"/>
      <c r="G500" s="109"/>
      <c r="H500" s="42"/>
      <c r="I500" s="67"/>
      <c r="J500" s="165"/>
    </row>
    <row r="501" spans="1:10" s="1" customFormat="1" ht="15.9" customHeight="1">
      <c r="A501" s="27"/>
      <c r="B501" s="33"/>
      <c r="C501" s="47"/>
      <c r="D501" s="161"/>
      <c r="E501" s="109"/>
      <c r="F501" s="109"/>
      <c r="G501" s="109"/>
      <c r="H501" s="67"/>
      <c r="I501" s="38"/>
      <c r="J501" s="109"/>
    </row>
    <row r="502" spans="1:10" s="1" customFormat="1" ht="15.9" customHeight="1">
      <c r="A502" s="27"/>
      <c r="B502" s="33"/>
      <c r="C502" s="46"/>
      <c r="D502" s="161"/>
      <c r="E502" s="109"/>
      <c r="F502" s="109"/>
      <c r="G502" s="109"/>
      <c r="H502" s="38"/>
      <c r="I502" s="24"/>
      <c r="J502" s="24"/>
    </row>
    <row r="503" spans="1:10" s="1" customFormat="1" ht="15.9" customHeight="1">
      <c r="A503" s="27"/>
      <c r="B503" s="33"/>
      <c r="C503" s="161"/>
      <c r="D503" s="161"/>
      <c r="E503" s="109"/>
      <c r="F503" s="109"/>
      <c r="G503" s="109"/>
      <c r="H503" s="42"/>
      <c r="I503" s="67"/>
      <c r="J503" s="165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67"/>
      <c r="I504" s="38"/>
      <c r="J504" s="109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38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24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24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24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109"/>
      <c r="J512" s="24"/>
    </row>
    <row r="513" spans="1:15" s="1" customFormat="1" ht="15.9" customHeight="1">
      <c r="A513" s="27"/>
      <c r="B513" s="33"/>
      <c r="C513" s="33"/>
      <c r="D513" s="161"/>
      <c r="E513" s="109"/>
      <c r="F513" s="109"/>
      <c r="G513" s="109"/>
      <c r="H513" s="109"/>
      <c r="I513" s="109"/>
      <c r="J513" s="24"/>
    </row>
    <row r="514" spans="1:15" s="1" customFormat="1" ht="15.9" customHeight="1">
      <c r="A514" s="27"/>
      <c r="B514" s="33"/>
      <c r="C514" s="33"/>
      <c r="D514" s="161"/>
      <c r="E514" s="109"/>
      <c r="F514" s="109"/>
      <c r="G514" s="109"/>
      <c r="H514" s="109"/>
      <c r="I514" s="109"/>
      <c r="J514" s="24"/>
    </row>
    <row r="515" spans="1:15" s="1" customFormat="1" ht="15.9" customHeight="1">
      <c r="A515" s="27"/>
      <c r="B515" s="33"/>
      <c r="C515" s="33"/>
      <c r="D515" s="161"/>
      <c r="E515" s="109"/>
      <c r="F515" s="109"/>
      <c r="G515" s="109"/>
      <c r="H515" s="109"/>
      <c r="I515" s="109"/>
      <c r="J515" s="24"/>
    </row>
    <row r="516" spans="1:15" s="1" customFormat="1" ht="15.9" customHeight="1">
      <c r="A516" s="44"/>
      <c r="B516" s="44"/>
      <c r="C516" s="44"/>
      <c r="D516" s="84"/>
      <c r="E516" s="44"/>
      <c r="F516" s="44"/>
      <c r="G516" s="44"/>
      <c r="H516" s="44"/>
      <c r="I516" s="44"/>
      <c r="J516" s="119"/>
    </row>
    <row r="517" spans="1:15" s="1" customFormat="1" ht="15.9" customHeight="1">
      <c r="B517" s="44"/>
      <c r="C517" s="44"/>
      <c r="D517" s="84"/>
      <c r="E517" s="44"/>
      <c r="F517" s="44"/>
      <c r="G517" s="44"/>
      <c r="H517" s="44"/>
    </row>
    <row r="518" spans="1:15" s="1" customFormat="1" ht="15.9" customHeight="1" thickBot="1"/>
    <row r="519" spans="1:15" s="1" customFormat="1" ht="24.9" customHeight="1" thickBot="1">
      <c r="A519" s="502" t="s">
        <v>401</v>
      </c>
      <c r="B519" s="503"/>
      <c r="C519" s="503"/>
      <c r="D519" s="503"/>
      <c r="E519" s="503"/>
      <c r="F519" s="503"/>
      <c r="G519" s="503"/>
      <c r="H519" s="503"/>
      <c r="I519" s="503"/>
      <c r="J519" s="504"/>
    </row>
    <row r="520" spans="1:15" s="1" customFormat="1" ht="35.1" customHeight="1" thickBot="1">
      <c r="A520" s="102" t="s">
        <v>2</v>
      </c>
      <c r="B520" s="103" t="s">
        <v>3</v>
      </c>
      <c r="C520" s="103" t="s">
        <v>3</v>
      </c>
      <c r="D520" s="104" t="s">
        <v>35</v>
      </c>
      <c r="E520" s="103" t="s">
        <v>5</v>
      </c>
      <c r="F520" s="362" t="s">
        <v>27</v>
      </c>
      <c r="G520" s="305"/>
      <c r="H520" s="104" t="s">
        <v>27</v>
      </c>
      <c r="I520" s="104" t="s">
        <v>26</v>
      </c>
      <c r="J520" s="115" t="s">
        <v>6</v>
      </c>
      <c r="N520" s="249" t="s">
        <v>3</v>
      </c>
      <c r="O520" s="249" t="s">
        <v>3</v>
      </c>
    </row>
    <row r="521" spans="1:15" s="1" customFormat="1" ht="15.9" customHeight="1">
      <c r="A521" s="368">
        <f>IF(C521="","",1)</f>
        <v>1</v>
      </c>
      <c r="B521" s="121" t="str">
        <f>IF($D$127=5,N521,IF($D$127=6,N522,IF($D$127=8,N523,IF($D$127=10,N524,IF($D$127=12,N525,IF($D$127=14,N526,IF($D$127=18,N527,IF($D$127=20,N528,IF($D$127=22,N529,)))))))))</f>
        <v>กระจก 6 mm (สูง) (กว้าง)</v>
      </c>
      <c r="C521" s="121" t="str">
        <f>IF($D$127=5,O521,IF($D$127=6,O522,IF($D$127=8,O523,IF($D$127=10,O524,IF($D$127=12,O525,IF($D$127=14,O526,IF($D$127=18,O527,IF($D$127=20,O528,IF($D$127=22,O529,)))))))))</f>
        <v>GLASS thk.6 mm (H) (W)</v>
      </c>
      <c r="D521" s="370">
        <f>$I$126-85.5</f>
        <v>514.5</v>
      </c>
      <c r="E521" s="123" t="s">
        <v>11</v>
      </c>
      <c r="F521" s="527" t="s">
        <v>481</v>
      </c>
      <c r="G521" s="528"/>
      <c r="H521" s="123" t="s">
        <v>403</v>
      </c>
      <c r="I521" s="370">
        <f>(($J$128-185-(113.25*3))/4)-13</f>
        <v>893.3125</v>
      </c>
      <c r="J521" s="151">
        <f>$J$120*8</f>
        <v>8</v>
      </c>
      <c r="M521" s="1">
        <f>ROW()</f>
        <v>521</v>
      </c>
      <c r="N521" s="19" t="s">
        <v>194</v>
      </c>
      <c r="O521" s="19" t="s">
        <v>195</v>
      </c>
    </row>
    <row r="522" spans="1:15" s="1" customFormat="1" ht="15.9" customHeight="1">
      <c r="A522" s="129">
        <f>IF(C522="","",+A521+1)</f>
        <v>2</v>
      </c>
      <c r="B522" s="295" t="str">
        <f>IF($D$127=5,N521,IF($D$127=6,N522,IF($D$127=8,N523,IF($D$127=10,N524,IF($D$127=12,N525,IF($D$127=14,N526,IF($D$127=18,N527,IF($D$127=20,N528,IF($D$127=22,N529,)))))))))</f>
        <v>กระจก 6 mm (สูง) (กว้าง)</v>
      </c>
      <c r="C522" s="295" t="str">
        <f>IF($D$127=5,O521,IF($D$127=6,O522,IF($D$127=8,O523,IF($D$127=10,O524,IF($D$127=12,O525,IF($D$127=14,O526,IF($D$127=18,O527,IF($D$127=20,O528,IF($D$127=22,O529,)))))))))</f>
        <v>GLASS thk.6 mm (H) (W)</v>
      </c>
      <c r="D522" s="371">
        <f>$J$126-48</f>
        <v>1952</v>
      </c>
      <c r="E522" s="238"/>
      <c r="F522" s="568" t="s">
        <v>482</v>
      </c>
      <c r="G522" s="569"/>
      <c r="H522" s="238" t="s">
        <v>403</v>
      </c>
      <c r="I522" s="371">
        <f>(($J$128-185-(113.25*3))/4)-13</f>
        <v>893.3125</v>
      </c>
      <c r="J522" s="299">
        <f>$J$120*4</f>
        <v>4</v>
      </c>
      <c r="M522" s="1">
        <f>ROW()</f>
        <v>522</v>
      </c>
      <c r="N522" s="19" t="s">
        <v>53</v>
      </c>
      <c r="O522" s="19" t="s">
        <v>54</v>
      </c>
    </row>
    <row r="523" spans="1:15" s="1" customFormat="1" ht="15.9" customHeight="1">
      <c r="A523" s="129" t="str">
        <f t="shared" ref="A523:A525" si="38">IF(C523="","",+A522+1)</f>
        <v/>
      </c>
      <c r="B523" s="295"/>
      <c r="C523" s="295"/>
      <c r="D523" s="296"/>
      <c r="E523" s="238"/>
      <c r="F523" s="251"/>
      <c r="G523" s="297"/>
      <c r="H523" s="238"/>
      <c r="I523" s="298"/>
      <c r="J523" s="299"/>
      <c r="M523" s="1">
        <f>ROW()</f>
        <v>523</v>
      </c>
      <c r="N523" s="19" t="s">
        <v>257</v>
      </c>
      <c r="O523" s="19" t="s">
        <v>258</v>
      </c>
    </row>
    <row r="524" spans="1:15" s="1" customFormat="1" ht="15.9" customHeight="1">
      <c r="A524" s="129" t="str">
        <f t="shared" si="38"/>
        <v/>
      </c>
      <c r="B524" s="127"/>
      <c r="C524" s="127"/>
      <c r="D524" s="128"/>
      <c r="E524" s="129"/>
      <c r="F524" s="155"/>
      <c r="G524" s="157"/>
      <c r="H524" s="129"/>
      <c r="I524" s="144"/>
      <c r="J524" s="130"/>
      <c r="M524" s="1">
        <f>ROW()</f>
        <v>524</v>
      </c>
      <c r="N524" s="19" t="s">
        <v>259</v>
      </c>
      <c r="O524" s="19" t="s">
        <v>265</v>
      </c>
    </row>
    <row r="525" spans="1:15" s="1" customFormat="1" ht="15.9" customHeight="1">
      <c r="A525" s="135" t="str">
        <f t="shared" si="38"/>
        <v/>
      </c>
      <c r="B525" s="133"/>
      <c r="C525" s="133"/>
      <c r="D525" s="134"/>
      <c r="E525" s="135"/>
      <c r="F525" s="158"/>
      <c r="G525" s="159"/>
      <c r="H525" s="135"/>
      <c r="I525" s="145"/>
      <c r="J525" s="136"/>
      <c r="M525" s="1">
        <f>ROW()</f>
        <v>525</v>
      </c>
      <c r="N525" s="19" t="s">
        <v>260</v>
      </c>
      <c r="O525" s="19" t="s">
        <v>266</v>
      </c>
    </row>
    <row r="526" spans="1:15" s="1" customFormat="1" ht="15.9" customHeight="1">
      <c r="A526" s="17"/>
      <c r="B526" s="56"/>
      <c r="C526" s="56"/>
      <c r="D526" s="30"/>
      <c r="E526" s="17"/>
      <c r="F526" s="17"/>
      <c r="G526" s="17"/>
      <c r="H526" s="109"/>
      <c r="I526" s="109"/>
      <c r="J526" s="24"/>
      <c r="M526" s="1">
        <f>ROW()</f>
        <v>526</v>
      </c>
      <c r="N526" s="19" t="s">
        <v>261</v>
      </c>
      <c r="O526" s="19" t="s">
        <v>267</v>
      </c>
    </row>
    <row r="527" spans="1:15">
      <c r="J527" s="99" t="str">
        <f>LEFT($J$111,13)&amp;"-05"</f>
        <v>FG-240-4P2L2R-05</v>
      </c>
      <c r="M527" s="1">
        <f>ROW()</f>
        <v>527</v>
      </c>
      <c r="N527" s="19" t="s">
        <v>262</v>
      </c>
      <c r="O527" s="19" t="s">
        <v>268</v>
      </c>
    </row>
    <row r="528" spans="1:15">
      <c r="M528" s="1">
        <f>ROW()</f>
        <v>528</v>
      </c>
      <c r="N528" s="19" t="s">
        <v>263</v>
      </c>
      <c r="O528" s="19" t="s">
        <v>269</v>
      </c>
    </row>
    <row r="529" spans="13:15">
      <c r="M529" s="1">
        <f>ROW()</f>
        <v>529</v>
      </c>
      <c r="N529" s="19" t="s">
        <v>264</v>
      </c>
      <c r="O529" s="19" t="s">
        <v>270</v>
      </c>
    </row>
  </sheetData>
  <dataConsolidate function="product">
    <dataRefs count="1">
      <dataRef ref="O154:O162" sheet="240_2Panel(L)" r:id="rId1"/>
    </dataRefs>
  </dataConsolidate>
  <mergeCells count="44">
    <mergeCell ref="D159:D160"/>
    <mergeCell ref="H159:H160"/>
    <mergeCell ref="I159:J160"/>
    <mergeCell ref="A131:J131"/>
    <mergeCell ref="I154:J154"/>
    <mergeCell ref="I155:J155"/>
    <mergeCell ref="I156:J156"/>
    <mergeCell ref="I157:J157"/>
    <mergeCell ref="I158:J158"/>
    <mergeCell ref="J123:J124"/>
    <mergeCell ref="D119:G119"/>
    <mergeCell ref="A6:J6"/>
    <mergeCell ref="A117:J117"/>
    <mergeCell ref="H120:I121"/>
    <mergeCell ref="J120:J121"/>
    <mergeCell ref="D121:G121"/>
    <mergeCell ref="D123:G123"/>
    <mergeCell ref="H123:I124"/>
    <mergeCell ref="A125:B125"/>
    <mergeCell ref="H128:I129"/>
    <mergeCell ref="J128:J129"/>
    <mergeCell ref="D127:G127"/>
    <mergeCell ref="D129:G129"/>
    <mergeCell ref="A320:J320"/>
    <mergeCell ref="F330:G330"/>
    <mergeCell ref="F331:G331"/>
    <mergeCell ref="I161:J161"/>
    <mergeCell ref="I162:J165"/>
    <mergeCell ref="I166:J167"/>
    <mergeCell ref="I168:J168"/>
    <mergeCell ref="I170:J170"/>
    <mergeCell ref="A172:J172"/>
    <mergeCell ref="A213:J213"/>
    <mergeCell ref="D161:D162"/>
    <mergeCell ref="D163:D167"/>
    <mergeCell ref="D168:D170"/>
    <mergeCell ref="H168:H170"/>
    <mergeCell ref="H163:H167"/>
    <mergeCell ref="H161:H162"/>
    <mergeCell ref="F334:G334"/>
    <mergeCell ref="A427:J427"/>
    <mergeCell ref="A519:J519"/>
    <mergeCell ref="F521:G521"/>
    <mergeCell ref="F522:G522"/>
  </mergeCells>
  <dataValidations count="4">
    <dataValidation type="list" allowBlank="1" showInputMessage="1" showErrorMessage="1" sqref="D123:G123">
      <formula1>$P$119:$P$128</formula1>
    </dataValidation>
    <dataValidation type="list" allowBlank="1" showInputMessage="1" showErrorMessage="1" sqref="D129:G129">
      <formula1>$O$120</formula1>
    </dataValidation>
    <dataValidation type="list" allowBlank="1" showInputMessage="1" showErrorMessage="1" sqref="C206">
      <formula1>$AA$174:$AA$192</formula1>
    </dataValidation>
    <dataValidation type="list" allowBlank="1" showInputMessage="1" showErrorMessage="1" sqref="D127:G127">
      <formula1>$N$120:$N$128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4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16383" man="1"/>
    <brk id="421" max="9" man="1"/>
  </rowBreaks>
  <drawing r:id="rId3"/>
  <legacy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tabColor theme="5" tint="-0.249977111117893"/>
  </sheetPr>
  <dimension ref="A1:AI528"/>
  <sheetViews>
    <sheetView showGridLines="0" view="pageBreakPreview" topLeftCell="A115" zoomScale="75" zoomScaleNormal="75" zoomScaleSheetLayoutView="75" workbookViewId="0">
      <selection activeCell="J128" sqref="J128"/>
    </sheetView>
  </sheetViews>
  <sheetFormatPr defaultRowHeight="14.4" outlineLevelRow="1" outlineLevelCol="1"/>
  <cols>
    <col min="1" max="1" width="7" customWidth="1"/>
    <col min="2" max="2" width="40.6640625" customWidth="1"/>
    <col min="3" max="3" width="61.3320312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7.88671875" bestFit="1" customWidth="1"/>
    <col min="9" max="9" width="11.109375" bestFit="1" customWidth="1"/>
    <col min="10" max="10" width="11.6640625" style="112" customWidth="1"/>
    <col min="13" max="13" width="9.109375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0.10937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197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197"/>
      <c r="E3" s="197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139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>
      <c r="G45" s="10"/>
    </row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/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331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197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197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5.6">
      <c r="A118" s="12"/>
      <c r="C118" s="8"/>
      <c r="D118" s="15"/>
      <c r="E118" s="13"/>
      <c r="J118" s="199"/>
      <c r="K118" s="11"/>
      <c r="L118" s="56"/>
      <c r="M118" s="56"/>
      <c r="N118" s="56"/>
    </row>
    <row r="119" spans="1:16" s="1" customFormat="1" ht="15" customHeight="1">
      <c r="A119" s="12"/>
      <c r="C119" s="110" t="s">
        <v>635</v>
      </c>
      <c r="D119" s="524"/>
      <c r="E119" s="525"/>
      <c r="F119" s="525"/>
      <c r="G119" s="526"/>
      <c r="I119" s="16"/>
      <c r="J119" s="12"/>
      <c r="N119" s="243" t="s">
        <v>191</v>
      </c>
      <c r="O119" s="12" t="s">
        <v>227</v>
      </c>
      <c r="P119" s="247" t="s">
        <v>16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4">
        <v>5</v>
      </c>
      <c r="O120" s="12" t="s">
        <v>243</v>
      </c>
      <c r="P120" s="335" t="s">
        <v>389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6</v>
      </c>
      <c r="O121" s="12" t="s">
        <v>244</v>
      </c>
      <c r="P121" s="336" t="s">
        <v>390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8</v>
      </c>
      <c r="P122" s="336" t="s">
        <v>391</v>
      </c>
    </row>
    <row r="123" spans="1:16" s="1" customFormat="1" ht="15" customHeight="1">
      <c r="A123" s="12"/>
      <c r="C123" s="110" t="s">
        <v>629</v>
      </c>
      <c r="D123" s="524" t="s">
        <v>15</v>
      </c>
      <c r="E123" s="525"/>
      <c r="F123" s="525"/>
      <c r="G123" s="526"/>
      <c r="H123" s="519" t="s">
        <v>638</v>
      </c>
      <c r="I123" s="520"/>
      <c r="J123" s="517">
        <v>2500</v>
      </c>
      <c r="N123" s="245">
        <v>10</v>
      </c>
      <c r="P123" s="336" t="s">
        <v>392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12</v>
      </c>
      <c r="P124" s="335" t="s">
        <v>393</v>
      </c>
    </row>
    <row r="125" spans="1:16" s="1" customFormat="1" ht="15" customHeight="1">
      <c r="A125" s="532"/>
      <c r="B125" s="532"/>
      <c r="C125" s="111" t="s">
        <v>630</v>
      </c>
      <c r="D125" s="275" t="s">
        <v>663</v>
      </c>
      <c r="E125" s="276"/>
      <c r="F125" s="276"/>
      <c r="G125" s="277"/>
      <c r="H125" s="41"/>
      <c r="I125" s="41"/>
      <c r="J125" s="12"/>
      <c r="K125" s="198"/>
      <c r="L125" s="77"/>
      <c r="N125" s="245">
        <v>14</v>
      </c>
      <c r="P125" s="335" t="s">
        <v>394</v>
      </c>
    </row>
    <row r="126" spans="1:16" s="1" customFormat="1" ht="15" customHeight="1">
      <c r="A126" s="199"/>
      <c r="B126" s="199"/>
      <c r="C126" s="423" t="s">
        <v>631</v>
      </c>
      <c r="D126" s="15"/>
      <c r="H126" s="519" t="s">
        <v>639</v>
      </c>
      <c r="I126" s="520"/>
      <c r="J126" s="517">
        <v>3500</v>
      </c>
      <c r="K126" s="198"/>
      <c r="L126" s="77"/>
      <c r="N126" s="245">
        <v>18</v>
      </c>
      <c r="P126" s="335" t="s">
        <v>395</v>
      </c>
    </row>
    <row r="127" spans="1:16" s="1" customFormat="1" ht="15" customHeight="1">
      <c r="A127" s="199"/>
      <c r="B127" s="199"/>
      <c r="C127" s="110" t="s">
        <v>633</v>
      </c>
      <c r="D127" s="534">
        <v>6</v>
      </c>
      <c r="E127" s="535"/>
      <c r="F127" s="535"/>
      <c r="G127" s="536"/>
      <c r="H127" s="520"/>
      <c r="I127" s="520"/>
      <c r="J127" s="518"/>
      <c r="N127" s="245">
        <v>20</v>
      </c>
      <c r="P127" s="335" t="s">
        <v>396</v>
      </c>
    </row>
    <row r="128" spans="1:16" s="1" customFormat="1" ht="18.75" customHeight="1">
      <c r="C128" s="423" t="s">
        <v>632</v>
      </c>
      <c r="I128" s="12"/>
      <c r="J128" s="12"/>
      <c r="N128" s="245">
        <v>22</v>
      </c>
      <c r="P128" s="335" t="s">
        <v>397</v>
      </c>
    </row>
    <row r="129" spans="1:23" s="1" customFormat="1" ht="15" customHeight="1">
      <c r="A129" s="88" t="str">
        <f>A18</f>
        <v>240-4 Panel (3L1R)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3440</v>
      </c>
      <c r="J133" s="125">
        <f t="shared" ref="J133:J153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8</v>
      </c>
      <c r="U133" s="283" t="s">
        <v>292</v>
      </c>
      <c r="V133" s="307">
        <f>($J$126-185-(113.25*3))/4</f>
        <v>743.8125</v>
      </c>
      <c r="W133" s="286">
        <f>$J$121*T133</f>
        <v>0</v>
      </c>
    </row>
    <row r="134" spans="1:23" s="1" customFormat="1" ht="18" customHeight="1">
      <c r="A134" s="143">
        <f t="shared" ref="A134:A153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3414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8</v>
      </c>
      <c r="U134" s="283" t="s">
        <v>293</v>
      </c>
      <c r="V134" s="307">
        <f t="shared" ref="V134:V135" si="2">($J$126-185-(113.25*3))/4</f>
        <v>743.8125</v>
      </c>
      <c r="W134" s="131">
        <f t="shared" ref="W134:W135" si="3">$J$121*T134</f>
        <v>0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3440</v>
      </c>
      <c r="J135" s="131">
        <f t="shared" si="0"/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8</v>
      </c>
      <c r="U135" s="283" t="s">
        <v>294</v>
      </c>
      <c r="V135" s="307">
        <f t="shared" si="2"/>
        <v>743.8125</v>
      </c>
      <c r="W135" s="293">
        <f t="shared" si="3"/>
        <v>0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3440</v>
      </c>
      <c r="J136" s="131">
        <f t="shared" si="0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8</v>
      </c>
      <c r="U136" s="283" t="s">
        <v>64</v>
      </c>
      <c r="V136" s="288">
        <f>$J$123-242</f>
        <v>2258</v>
      </c>
      <c r="W136" s="286">
        <f>$J$121*T136</f>
        <v>0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2500</v>
      </c>
      <c r="J137" s="131">
        <f t="shared" ref="J137:J149" si="4">$J$120*G137</f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8</v>
      </c>
      <c r="U137" s="129" t="s">
        <v>64</v>
      </c>
      <c r="V137" s="130">
        <f>$J$123-242</f>
        <v>2258</v>
      </c>
      <c r="W137" s="131">
        <f t="shared" ref="W137:W138" si="5">$J$121*T137</f>
        <v>0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2500</v>
      </c>
      <c r="J138" s="131">
        <f t="shared" si="4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8</v>
      </c>
      <c r="U138" s="135" t="s">
        <v>64</v>
      </c>
      <c r="V138" s="136">
        <f>$J$123-242</f>
        <v>2258</v>
      </c>
      <c r="W138" s="293">
        <f t="shared" si="5"/>
        <v>0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2404</v>
      </c>
      <c r="J139" s="131">
        <f t="shared" si="4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2404</v>
      </c>
      <c r="J140" s="131">
        <f t="shared" si="4"/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4</v>
      </c>
      <c r="H141" s="143" t="s">
        <v>292</v>
      </c>
      <c r="I141" s="178">
        <f>($J$126-185-(113.25*3))/4</f>
        <v>743.8125</v>
      </c>
      <c r="J141" s="131">
        <f t="shared" si="4"/>
        <v>4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4</v>
      </c>
      <c r="H142" s="143" t="s">
        <v>292</v>
      </c>
      <c r="I142" s="178">
        <f>($J$126-185-(113.25*3))/4</f>
        <v>743.8125</v>
      </c>
      <c r="J142" s="131">
        <f t="shared" si="4"/>
        <v>4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6</v>
      </c>
      <c r="H143" s="143" t="s">
        <v>63</v>
      </c>
      <c r="I143" s="130">
        <f>$J$123-92</f>
        <v>2408</v>
      </c>
      <c r="J143" s="131">
        <f t="shared" si="4"/>
        <v>6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1</v>
      </c>
      <c r="H144" s="143" t="s">
        <v>63</v>
      </c>
      <c r="I144" s="130">
        <f>$J$123-92</f>
        <v>2408</v>
      </c>
      <c r="J144" s="131">
        <f t="shared" si="4"/>
        <v>1</v>
      </c>
      <c r="N144" s="98"/>
    </row>
    <row r="145" spans="1:14" s="1" customFormat="1" ht="18" customHeight="1">
      <c r="A145" s="143">
        <f t="shared" si="1"/>
        <v>13</v>
      </c>
      <c r="B145" s="140" t="s">
        <v>116</v>
      </c>
      <c r="C145" s="140" t="s">
        <v>99</v>
      </c>
      <c r="D145" s="139" t="s">
        <v>50</v>
      </c>
      <c r="E145" s="143">
        <v>1.1060000000000001</v>
      </c>
      <c r="F145" s="139" t="s">
        <v>507</v>
      </c>
      <c r="G145" s="143">
        <v>1</v>
      </c>
      <c r="H145" s="143" t="s">
        <v>63</v>
      </c>
      <c r="I145" s="130">
        <f>$J$123-92</f>
        <v>2408</v>
      </c>
      <c r="J145" s="131">
        <f t="shared" si="4"/>
        <v>1</v>
      </c>
      <c r="N145" s="98"/>
    </row>
    <row r="146" spans="1:14" s="1" customFormat="1" ht="18" customHeight="1">
      <c r="A146" s="143">
        <f t="shared" si="1"/>
        <v>14</v>
      </c>
      <c r="B146" s="140" t="str">
        <f t="shared" ref="B146:I146" si="6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40" t="str">
        <f t="shared" si="6"/>
        <v>5-6mm GLAZING BEAD HORIZONTAL</v>
      </c>
      <c r="D146" s="140" t="str">
        <f t="shared" si="6"/>
        <v>B24008</v>
      </c>
      <c r="E146" s="140">
        <f t="shared" si="6"/>
        <v>0.23100000000000001</v>
      </c>
      <c r="F146" s="140" t="str">
        <f t="shared" si="6"/>
        <v>B24008-001</v>
      </c>
      <c r="G146" s="143">
        <f t="shared" si="6"/>
        <v>8</v>
      </c>
      <c r="H146" s="129" t="str">
        <f t="shared" si="6"/>
        <v>(W-185-(113.25 × 3))/4</v>
      </c>
      <c r="I146" s="178">
        <f t="shared" si="6"/>
        <v>743.8125</v>
      </c>
      <c r="J146" s="131">
        <f t="shared" si="4"/>
        <v>8</v>
      </c>
      <c r="N146" s="98"/>
    </row>
    <row r="147" spans="1:14" s="1" customFormat="1" ht="18" customHeight="1">
      <c r="A147" s="143">
        <f t="shared" si="1"/>
        <v>15</v>
      </c>
      <c r="B147" s="140" t="str">
        <f t="shared" ref="B147:I147" si="7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40" t="str">
        <f t="shared" si="7"/>
        <v>5-6mm GLAZING BEAD VERTICAL</v>
      </c>
      <c r="D147" s="140" t="str">
        <f t="shared" si="7"/>
        <v>B24008</v>
      </c>
      <c r="E147" s="140">
        <f t="shared" si="7"/>
        <v>0.23100000000000001</v>
      </c>
      <c r="F147" s="140" t="str">
        <f t="shared" si="7"/>
        <v>B24008-002</v>
      </c>
      <c r="G147" s="143">
        <f t="shared" si="7"/>
        <v>8</v>
      </c>
      <c r="H147" s="129" t="str">
        <f t="shared" si="7"/>
        <v>H-242</v>
      </c>
      <c r="I147" s="144">
        <f t="shared" si="7"/>
        <v>2258</v>
      </c>
      <c r="J147" s="131">
        <f t="shared" si="4"/>
        <v>8</v>
      </c>
      <c r="N147" s="98"/>
    </row>
    <row r="148" spans="1:14" s="1" customFormat="1" ht="18" customHeight="1">
      <c r="A148" s="143">
        <f t="shared" si="1"/>
        <v>16</v>
      </c>
      <c r="B148" s="140" t="s">
        <v>125</v>
      </c>
      <c r="C148" s="140" t="s">
        <v>124</v>
      </c>
      <c r="D148" s="139" t="s">
        <v>123</v>
      </c>
      <c r="E148" s="143"/>
      <c r="F148" s="139" t="s">
        <v>362</v>
      </c>
      <c r="G148" s="143">
        <v>1</v>
      </c>
      <c r="H148" s="143" t="s">
        <v>63</v>
      </c>
      <c r="I148" s="130">
        <f>$J$123-92</f>
        <v>2408</v>
      </c>
      <c r="J148" s="131">
        <f t="shared" si="4"/>
        <v>1</v>
      </c>
      <c r="N148" s="98"/>
    </row>
    <row r="149" spans="1:14" s="1" customFormat="1" ht="18" customHeight="1">
      <c r="A149" s="143">
        <f t="shared" si="1"/>
        <v>17</v>
      </c>
      <c r="B149" s="140" t="s">
        <v>125</v>
      </c>
      <c r="C149" s="140" t="s">
        <v>124</v>
      </c>
      <c r="D149" s="139" t="s">
        <v>123</v>
      </c>
      <c r="E149" s="143"/>
      <c r="F149" s="139" t="s">
        <v>363</v>
      </c>
      <c r="G149" s="143">
        <v>1</v>
      </c>
      <c r="H149" s="143" t="s">
        <v>63</v>
      </c>
      <c r="I149" s="130">
        <f>$J$123-92</f>
        <v>2408</v>
      </c>
      <c r="J149" s="131">
        <f t="shared" si="4"/>
        <v>1</v>
      </c>
      <c r="N149" s="98"/>
    </row>
    <row r="150" spans="1:14" s="1" customFormat="1" ht="18" customHeight="1">
      <c r="A150" s="143" t="str">
        <f t="shared" si="1"/>
        <v/>
      </c>
      <c r="B150" s="140"/>
      <c r="C150" s="140"/>
      <c r="D150" s="139"/>
      <c r="E150" s="143"/>
      <c r="F150" s="139"/>
      <c r="G150" s="143"/>
      <c r="H150" s="143"/>
      <c r="I150" s="130"/>
      <c r="J150" s="131"/>
      <c r="N150" s="98"/>
    </row>
    <row r="151" spans="1:14" s="1" customFormat="1" ht="18" customHeight="1">
      <c r="A151" s="143" t="str">
        <f t="shared" si="1"/>
        <v/>
      </c>
      <c r="B151" s="140"/>
      <c r="C151" s="140"/>
      <c r="D151" s="139"/>
      <c r="E151" s="143"/>
      <c r="F151" s="139"/>
      <c r="G151" s="143"/>
      <c r="H151" s="143"/>
      <c r="I151" s="130"/>
      <c r="J151" s="131"/>
      <c r="N151" s="98"/>
    </row>
    <row r="152" spans="1:14" s="1" customFormat="1" ht="18" customHeight="1">
      <c r="A152" s="143" t="str">
        <f t="shared" si="1"/>
        <v/>
      </c>
      <c r="B152" s="127"/>
      <c r="C152" s="127"/>
      <c r="D152" s="128"/>
      <c r="E152" s="129"/>
      <c r="F152" s="128"/>
      <c r="G152" s="129"/>
      <c r="H152" s="129"/>
      <c r="I152" s="144"/>
      <c r="J152" s="131">
        <f t="shared" si="0"/>
        <v>0</v>
      </c>
      <c r="N152" s="98"/>
    </row>
    <row r="153" spans="1:14" s="1" customFormat="1" ht="18" customHeight="1" thickBot="1">
      <c r="A153" s="143" t="str">
        <f t="shared" si="1"/>
        <v/>
      </c>
      <c r="B153" s="167"/>
      <c r="C153" s="167"/>
      <c r="D153" s="168"/>
      <c r="E153" s="166"/>
      <c r="F153" s="168"/>
      <c r="G153" s="166"/>
      <c r="H153" s="166"/>
      <c r="I153" s="171"/>
      <c r="J153" s="172">
        <f t="shared" si="0"/>
        <v>0</v>
      </c>
    </row>
    <row r="154" spans="1:14" s="1" customFormat="1" ht="27" outlineLevel="1" thickBot="1">
      <c r="A154" s="169" t="s">
        <v>2</v>
      </c>
      <c r="B154" s="169" t="s">
        <v>29</v>
      </c>
      <c r="C154" s="169" t="s">
        <v>3</v>
      </c>
      <c r="D154" s="169" t="s">
        <v>4</v>
      </c>
      <c r="E154" s="169" t="s">
        <v>5</v>
      </c>
      <c r="F154" s="177" t="s">
        <v>85</v>
      </c>
      <c r="G154" s="169" t="s">
        <v>22</v>
      </c>
      <c r="H154" s="170" t="s">
        <v>23</v>
      </c>
      <c r="I154" s="540"/>
      <c r="J154" s="541"/>
    </row>
    <row r="155" spans="1:14" s="1" customFormat="1" ht="15" customHeight="1" outlineLevel="1">
      <c r="A155" s="21">
        <f>IF(B155="","",1)</f>
        <v>1</v>
      </c>
      <c r="B155" s="173" t="str">
        <f t="shared" ref="B155:C161" si="8">B133</f>
        <v>เฟรมบน</v>
      </c>
      <c r="C155" s="173" t="str">
        <f t="shared" si="8"/>
        <v>HEAD</v>
      </c>
      <c r="D155" s="174" t="str">
        <f>VLOOKUP(C155,$C$133:$H$153,2,0)</f>
        <v>B24001</v>
      </c>
      <c r="E155" s="175">
        <f t="shared" ref="E155:E161" si="9">VLOOKUP(C155,$C$133:$H$153,3,0)</f>
        <v>1.603</v>
      </c>
      <c r="F155" s="353">
        <f>VLOOKUP(C155,$C$133:$J$153,7,0)</f>
        <v>3440</v>
      </c>
      <c r="G155" s="175">
        <f t="shared" ref="G155:G161" si="10">VLOOKUP(C155,$C$133:$J$153,8,0)</f>
        <v>1</v>
      </c>
      <c r="H155" s="191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ref="A156:A161" si="11">IF(B156="","",+A155+1)</f>
        <v>2</v>
      </c>
      <c r="B156" s="173" t="str">
        <f t="shared" si="8"/>
        <v>บังใบบน</v>
      </c>
      <c r="C156" s="173" t="str">
        <f t="shared" si="8"/>
        <v>DOOR STOP HEAD</v>
      </c>
      <c r="D156" s="174" t="str">
        <f>VLOOKUP(C156,$C$133:$H$153,2,0)</f>
        <v>B24002</v>
      </c>
      <c r="E156" s="175">
        <f t="shared" si="9"/>
        <v>0.27800000000000002</v>
      </c>
      <c r="F156" s="353">
        <f t="shared" ref="F156:F161" si="12">VLOOKUP(C156,$C$133:$I$153,7,0)</f>
        <v>3414</v>
      </c>
      <c r="G156" s="175">
        <f t="shared" si="10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si="11"/>
        <v>3</v>
      </c>
      <c r="B157" s="173" t="str">
        <f t="shared" si="8"/>
        <v xml:space="preserve">เฟรมล่าง </v>
      </c>
      <c r="C157" s="173" t="str">
        <f t="shared" si="8"/>
        <v>SILL</v>
      </c>
      <c r="D157" s="174" t="str">
        <f>VLOOKUP(C157,$C$133:$H$153,2,0)</f>
        <v>B24003</v>
      </c>
      <c r="E157" s="175">
        <f t="shared" si="9"/>
        <v>1.603</v>
      </c>
      <c r="F157" s="353">
        <f t="shared" si="12"/>
        <v>3440</v>
      </c>
      <c r="G157" s="175">
        <f t="shared" si="10"/>
        <v>1</v>
      </c>
      <c r="H157" s="192">
        <f>ROUNDUP((F157*G157)/6400,0)</f>
        <v>1</v>
      </c>
      <c r="I157" s="501"/>
      <c r="J157" s="501"/>
    </row>
    <row r="158" spans="1:14" s="1" customFormat="1" ht="15" customHeight="1" outlineLevel="1">
      <c r="A158" s="18">
        <f t="shared" si="11"/>
        <v>4</v>
      </c>
      <c r="B158" s="173" t="str">
        <f t="shared" si="8"/>
        <v>ตัวตับธรณี</v>
      </c>
      <c r="C158" s="173" t="str">
        <f t="shared" si="8"/>
        <v>DOOR STOP SILL</v>
      </c>
      <c r="D158" s="174" t="str">
        <f>VLOOKUP(C158,$C$133:$H$153,2,0)</f>
        <v>B24004</v>
      </c>
      <c r="E158" s="175">
        <f t="shared" si="9"/>
        <v>0.51600000000000001</v>
      </c>
      <c r="F158" s="353">
        <f t="shared" si="12"/>
        <v>3440</v>
      </c>
      <c r="G158" s="175">
        <f t="shared" si="10"/>
        <v>1</v>
      </c>
      <c r="H158" s="192">
        <f>ROUNDUP((F158*G158)/6400,0)</f>
        <v>1</v>
      </c>
      <c r="I158" s="501"/>
      <c r="J158" s="501"/>
    </row>
    <row r="159" spans="1:14" s="1" customFormat="1" ht="15" customHeight="1" outlineLevel="1">
      <c r="A159" s="18">
        <f t="shared" si="11"/>
        <v>5</v>
      </c>
      <c r="B159" s="173" t="str">
        <f t="shared" si="8"/>
        <v>เฟรมข้าง (ซ้าย)</v>
      </c>
      <c r="C159" s="173" t="str">
        <f t="shared" si="8"/>
        <v>JAMB (L)</v>
      </c>
      <c r="D159" s="508" t="str">
        <f>VLOOKUP(C159,$C$133:$H$153,2,0)</f>
        <v>B24005</v>
      </c>
      <c r="E159" s="175">
        <f t="shared" si="9"/>
        <v>0.89300000000000002</v>
      </c>
      <c r="F159" s="353">
        <f t="shared" si="12"/>
        <v>2500</v>
      </c>
      <c r="G159" s="175">
        <f t="shared" si="10"/>
        <v>1</v>
      </c>
      <c r="H159" s="516">
        <f>ROUNDUP(((F159*G159)+(F160*G160))/6400,0)</f>
        <v>1</v>
      </c>
      <c r="I159" s="506"/>
      <c r="J159" s="506"/>
    </row>
    <row r="160" spans="1:14" s="1" customFormat="1" ht="15" customHeight="1" outlineLevel="1">
      <c r="A160" s="18">
        <f t="shared" si="11"/>
        <v>6</v>
      </c>
      <c r="B160" s="173" t="str">
        <f t="shared" si="8"/>
        <v>เฟรมข้าง (ขวา)</v>
      </c>
      <c r="C160" s="173" t="str">
        <f t="shared" si="8"/>
        <v>JAMB (R)</v>
      </c>
      <c r="D160" s="509"/>
      <c r="E160" s="175">
        <f t="shared" si="9"/>
        <v>0.89300000000000002</v>
      </c>
      <c r="F160" s="353">
        <f t="shared" si="12"/>
        <v>2500</v>
      </c>
      <c r="G160" s="175">
        <f t="shared" si="10"/>
        <v>1</v>
      </c>
      <c r="H160" s="516"/>
      <c r="I160" s="506"/>
      <c r="J160" s="506"/>
    </row>
    <row r="161" spans="1:23" s="1" customFormat="1" ht="15" customHeight="1" outlineLevel="1">
      <c r="A161" s="18">
        <f t="shared" si="11"/>
        <v>7</v>
      </c>
      <c r="B161" s="173" t="str">
        <f>B139</f>
        <v>บังใบข้าง (ซ้าย)</v>
      </c>
      <c r="C161" s="173" t="str">
        <f t="shared" si="8"/>
        <v>DOOR STOP JAMB (L)</v>
      </c>
      <c r="D161" s="508" t="str">
        <f>VLOOKUP(C161,$C$133:$H$153,2,0)</f>
        <v>B24006</v>
      </c>
      <c r="E161" s="175">
        <f t="shared" si="9"/>
        <v>0.23499999999999999</v>
      </c>
      <c r="F161" s="353">
        <f t="shared" si="12"/>
        <v>2404</v>
      </c>
      <c r="G161" s="175">
        <f t="shared" si="10"/>
        <v>1</v>
      </c>
      <c r="H161" s="516">
        <f>ROUNDUP(((F161*G161)+(F162*G162))/6400,0)</f>
        <v>1</v>
      </c>
      <c r="I161" s="501"/>
      <c r="J161" s="501"/>
    </row>
    <row r="162" spans="1:23" s="1" customFormat="1" ht="15" customHeight="1" outlineLevel="1">
      <c r="A162" s="18">
        <f t="shared" ref="A162:A171" si="13">IF(B162="","",+A161+1)</f>
        <v>8</v>
      </c>
      <c r="B162" s="173" t="str">
        <f t="shared" ref="B162:C162" si="14">B140</f>
        <v>บังใบข้าง (ขวา)</v>
      </c>
      <c r="C162" s="173" t="str">
        <f t="shared" si="14"/>
        <v>DOOR STOP JAMB (R)</v>
      </c>
      <c r="D162" s="509"/>
      <c r="E162" s="175">
        <f t="shared" ref="E162:E171" si="15">VLOOKUP(C162,$C$133:$H$153,3,0)</f>
        <v>0.23499999999999999</v>
      </c>
      <c r="F162" s="353">
        <f t="shared" ref="F162:F171" si="16">VLOOKUP(C162,$C$133:$I$153,7,0)</f>
        <v>2404</v>
      </c>
      <c r="G162" s="175">
        <f t="shared" ref="G162:G171" si="17">VLOOKUP(C162,$C$133:$J$153,8,0)</f>
        <v>1</v>
      </c>
      <c r="H162" s="516"/>
      <c r="I162" s="506"/>
      <c r="J162" s="506"/>
    </row>
    <row r="163" spans="1:23" s="1" customFormat="1" ht="13.8" outlineLevel="1">
      <c r="A163" s="18">
        <f t="shared" si="13"/>
        <v>9</v>
      </c>
      <c r="B163" s="173" t="str">
        <f t="shared" ref="B163:C163" si="18">B141</f>
        <v>ขวางบน</v>
      </c>
      <c r="C163" s="173" t="str">
        <f t="shared" si="18"/>
        <v>SASH (Hor) (T)</v>
      </c>
      <c r="D163" s="508" t="str">
        <f t="shared" ref="D163:D170" si="19">VLOOKUP(C163,$C$133:$H$153,2,0)</f>
        <v>B24007</v>
      </c>
      <c r="E163" s="175">
        <f t="shared" si="15"/>
        <v>1.1060000000000001</v>
      </c>
      <c r="F163" s="353">
        <f t="shared" si="16"/>
        <v>743.8125</v>
      </c>
      <c r="G163" s="175">
        <f t="shared" si="17"/>
        <v>4</v>
      </c>
      <c r="H163" s="512">
        <f>ROUNDUP(((F163*G163)+(F164*G164)+(F165*G165)+(F166*G166)+(F167*G167))/6400,0)</f>
        <v>4</v>
      </c>
      <c r="I163" s="506"/>
      <c r="J163" s="506"/>
    </row>
    <row r="164" spans="1:23" s="1" customFormat="1" ht="13.8" outlineLevel="1">
      <c r="A164" s="18">
        <f t="shared" si="13"/>
        <v>10</v>
      </c>
      <c r="B164" s="173" t="str">
        <f t="shared" ref="B164:C164" si="20">B142</f>
        <v>ขวางล่าง</v>
      </c>
      <c r="C164" s="173" t="str">
        <f t="shared" si="20"/>
        <v>SASH (Hor) (B)</v>
      </c>
      <c r="D164" s="510"/>
      <c r="E164" s="175">
        <f t="shared" si="15"/>
        <v>1.1060000000000001</v>
      </c>
      <c r="F164" s="353">
        <f t="shared" si="16"/>
        <v>743.8125</v>
      </c>
      <c r="G164" s="175">
        <f t="shared" si="17"/>
        <v>4</v>
      </c>
      <c r="H164" s="514"/>
      <c r="I164" s="506"/>
      <c r="J164" s="506"/>
    </row>
    <row r="165" spans="1:23" s="1" customFormat="1" ht="13.8" outlineLevel="1">
      <c r="A165" s="18">
        <f t="shared" si="13"/>
        <v>11</v>
      </c>
      <c r="B165" s="173" t="str">
        <f t="shared" ref="B165:C165" si="21">B143</f>
        <v>เสา</v>
      </c>
      <c r="C165" s="173" t="str">
        <f t="shared" si="21"/>
        <v xml:space="preserve">SASH (Ver) </v>
      </c>
      <c r="D165" s="510"/>
      <c r="E165" s="175">
        <f t="shared" si="15"/>
        <v>1.1060000000000001</v>
      </c>
      <c r="F165" s="353">
        <f t="shared" si="16"/>
        <v>2408</v>
      </c>
      <c r="G165" s="175">
        <f t="shared" si="17"/>
        <v>6</v>
      </c>
      <c r="H165" s="514"/>
      <c r="I165" s="506"/>
      <c r="J165" s="506"/>
    </row>
    <row r="166" spans="1:23" s="1" customFormat="1" ht="13.8" outlineLevel="1">
      <c r="A166" s="18">
        <f t="shared" si="13"/>
        <v>12</v>
      </c>
      <c r="B166" s="173" t="str">
        <f t="shared" ref="B166:C166" si="22">B144</f>
        <v>เสากุญแจ</v>
      </c>
      <c r="C166" s="173" t="str">
        <f t="shared" si="22"/>
        <v xml:space="preserve">SASH (Ver) LOCK </v>
      </c>
      <c r="D166" s="510"/>
      <c r="E166" s="175">
        <f t="shared" si="15"/>
        <v>1.1060000000000001</v>
      </c>
      <c r="F166" s="353">
        <f t="shared" si="16"/>
        <v>2408</v>
      </c>
      <c r="G166" s="175">
        <f t="shared" si="17"/>
        <v>1</v>
      </c>
      <c r="H166" s="514"/>
      <c r="I166" s="506"/>
      <c r="J166" s="506"/>
    </row>
    <row r="167" spans="1:23" s="1" customFormat="1" ht="15" customHeight="1" outlineLevel="1">
      <c r="A167" s="18">
        <f t="shared" si="13"/>
        <v>13</v>
      </c>
      <c r="B167" s="173" t="str">
        <f t="shared" ref="B167:C167" si="23">B145</f>
        <v>เสากุญแจมือจับ</v>
      </c>
      <c r="C167" s="173" t="str">
        <f t="shared" si="23"/>
        <v>SASH (Ver) LOCK HANDLE</v>
      </c>
      <c r="D167" s="509"/>
      <c r="E167" s="175">
        <f t="shared" si="15"/>
        <v>1.1060000000000001</v>
      </c>
      <c r="F167" s="353">
        <f t="shared" si="16"/>
        <v>2408</v>
      </c>
      <c r="G167" s="175">
        <f t="shared" si="17"/>
        <v>1</v>
      </c>
      <c r="H167" s="515"/>
      <c r="I167" s="506"/>
      <c r="J167" s="506"/>
    </row>
    <row r="168" spans="1:23" s="1" customFormat="1" ht="13.8" outlineLevel="1">
      <c r="A168" s="18">
        <f t="shared" si="13"/>
        <v>14</v>
      </c>
      <c r="B168" s="173" t="str">
        <f t="shared" ref="B168:C168" si="24">B146</f>
        <v>5-6mm คิ้วตบกระจกแนวนอน</v>
      </c>
      <c r="C168" s="173" t="str">
        <f t="shared" si="24"/>
        <v>5-6mm GLAZING BEAD HORIZONTAL</v>
      </c>
      <c r="D168" s="508" t="str">
        <f t="shared" si="19"/>
        <v>B24008</v>
      </c>
      <c r="E168" s="175">
        <f t="shared" si="15"/>
        <v>0.23100000000000001</v>
      </c>
      <c r="F168" s="353">
        <f t="shared" si="16"/>
        <v>743.8125</v>
      </c>
      <c r="G168" s="175">
        <f t="shared" si="17"/>
        <v>8</v>
      </c>
      <c r="H168" s="516">
        <f>ROUNDUP(((F168*G168)+(F169*G169))/6400,0)</f>
        <v>4</v>
      </c>
      <c r="I168" s="501"/>
      <c r="J168" s="501"/>
    </row>
    <row r="169" spans="1:23" s="1" customFormat="1" ht="15" customHeight="1" outlineLevel="1">
      <c r="A169" s="18">
        <f t="shared" si="13"/>
        <v>15</v>
      </c>
      <c r="B169" s="173" t="str">
        <f t="shared" ref="B169:C169" si="25">B147</f>
        <v>5-6mm คิ้วตบกระจกแนวตั้ง</v>
      </c>
      <c r="C169" s="173" t="str">
        <f t="shared" si="25"/>
        <v>5-6mm GLAZING BEAD VERTICAL</v>
      </c>
      <c r="D169" s="509"/>
      <c r="E169" s="175">
        <f t="shared" si="15"/>
        <v>0.23100000000000001</v>
      </c>
      <c r="F169" s="353">
        <f t="shared" si="16"/>
        <v>2258</v>
      </c>
      <c r="G169" s="175">
        <f t="shared" si="17"/>
        <v>8</v>
      </c>
      <c r="H169" s="516"/>
      <c r="I169" s="195"/>
      <c r="J169" s="195"/>
    </row>
    <row r="170" spans="1:23" s="1" customFormat="1" ht="13.8" outlineLevel="1">
      <c r="A170" s="18">
        <f t="shared" si="13"/>
        <v>16</v>
      </c>
      <c r="B170" s="173" t="str">
        <f t="shared" ref="B170:C170" si="26">B148</f>
        <v>บังใบ</v>
      </c>
      <c r="C170" s="173" t="str">
        <f t="shared" si="26"/>
        <v>SASH STOP</v>
      </c>
      <c r="D170" s="508" t="str">
        <f t="shared" si="19"/>
        <v>B24009</v>
      </c>
      <c r="E170" s="175">
        <f t="shared" si="15"/>
        <v>0</v>
      </c>
      <c r="F170" s="353">
        <f t="shared" si="16"/>
        <v>2408</v>
      </c>
      <c r="G170" s="175">
        <f t="shared" si="17"/>
        <v>1</v>
      </c>
      <c r="H170" s="516">
        <f>ROUNDUP(((F170*G170)+(F171*G171))/6400,0)</f>
        <v>1</v>
      </c>
      <c r="I170" s="195"/>
      <c r="J170" s="195"/>
    </row>
    <row r="171" spans="1:23" s="1" customFormat="1" outlineLevel="1" thickBot="1">
      <c r="A171" s="18">
        <f t="shared" si="13"/>
        <v>17</v>
      </c>
      <c r="B171" s="173" t="str">
        <f t="shared" ref="B171:C171" si="27">B149</f>
        <v>บังใบ</v>
      </c>
      <c r="C171" s="173" t="str">
        <f t="shared" si="27"/>
        <v>SASH STOP</v>
      </c>
      <c r="D171" s="511"/>
      <c r="E171" s="175">
        <f t="shared" si="15"/>
        <v>0</v>
      </c>
      <c r="F171" s="353">
        <f t="shared" si="16"/>
        <v>2408</v>
      </c>
      <c r="G171" s="175">
        <f t="shared" si="17"/>
        <v>1</v>
      </c>
      <c r="H171" s="516"/>
      <c r="I171" s="195"/>
      <c r="J171" s="195"/>
    </row>
    <row r="172" spans="1:23" s="1" customFormat="1" ht="24.9" customHeight="1" thickBot="1">
      <c r="A172" s="529" t="s">
        <v>9</v>
      </c>
      <c r="B172" s="530"/>
      <c r="C172" s="530"/>
      <c r="D172" s="530"/>
      <c r="E172" s="530"/>
      <c r="F172" s="530"/>
      <c r="G172" s="530"/>
      <c r="H172" s="530"/>
      <c r="I172" s="530"/>
      <c r="J172" s="531"/>
    </row>
    <row r="173" spans="1:23" s="1" customFormat="1" ht="35.1" customHeight="1" thickBot="1">
      <c r="A173" s="102" t="s">
        <v>2</v>
      </c>
      <c r="B173" s="103" t="s">
        <v>29</v>
      </c>
      <c r="C173" s="103" t="s">
        <v>3</v>
      </c>
      <c r="D173" s="103" t="s">
        <v>199</v>
      </c>
      <c r="E173" s="103" t="s">
        <v>5</v>
      </c>
      <c r="F173" s="104" t="s">
        <v>28</v>
      </c>
      <c r="G173" s="103" t="s">
        <v>19</v>
      </c>
      <c r="H173" s="104" t="s">
        <v>200</v>
      </c>
      <c r="I173" s="104" t="s">
        <v>20</v>
      </c>
      <c r="J173" s="115" t="s">
        <v>201</v>
      </c>
      <c r="N173" s="101" t="s">
        <v>191</v>
      </c>
      <c r="O173" s="246" t="s">
        <v>29</v>
      </c>
      <c r="P173" s="246" t="s">
        <v>3</v>
      </c>
      <c r="Q173" s="246" t="s">
        <v>199</v>
      </c>
      <c r="R173" s="246" t="s">
        <v>5</v>
      </c>
      <c r="S173" s="246" t="s">
        <v>28</v>
      </c>
      <c r="T173" s="246" t="s">
        <v>19</v>
      </c>
      <c r="U173" s="246" t="s">
        <v>200</v>
      </c>
      <c r="V173" s="246" t="s">
        <v>20</v>
      </c>
      <c r="W173" s="246" t="s">
        <v>201</v>
      </c>
    </row>
    <row r="174" spans="1:23" s="1" customFormat="1" ht="18" customHeight="1">
      <c r="A174" s="200">
        <f>IF(B174="","",1)</f>
        <v>1</v>
      </c>
      <c r="B174" s="140" t="s">
        <v>110</v>
      </c>
      <c r="C174" s="140" t="s">
        <v>66</v>
      </c>
      <c r="D174" s="139" t="s">
        <v>128</v>
      </c>
      <c r="E174" s="143"/>
      <c r="F174" s="143" t="s">
        <v>128</v>
      </c>
      <c r="G174" s="143" t="s">
        <v>202</v>
      </c>
      <c r="H174" s="143">
        <v>1</v>
      </c>
      <c r="I174" s="130"/>
      <c r="J174" s="131">
        <f t="shared" ref="J174:J190" si="28">$J$120*H174</f>
        <v>1</v>
      </c>
      <c r="N174" s="101" t="s">
        <v>226</v>
      </c>
      <c r="O174" s="280" t="s">
        <v>252</v>
      </c>
      <c r="P174" s="290" t="s">
        <v>248</v>
      </c>
      <c r="Q174" s="280" t="s">
        <v>69</v>
      </c>
      <c r="R174" s="213"/>
      <c r="S174" s="213" t="s">
        <v>69</v>
      </c>
      <c r="T174" s="213" t="s">
        <v>198</v>
      </c>
      <c r="U174" s="291">
        <f>((($I$141*$G$141)+($I$142*$G$142)+($I$143*$G$143)+($I$144*$G$144)+($I$145*$G$145))/1000)*$J$120</f>
        <v>25.214500000000001</v>
      </c>
      <c r="V174" s="291">
        <v>100</v>
      </c>
      <c r="W174" s="292">
        <f>ROUNDUP((U174)/100,0)</f>
        <v>1</v>
      </c>
    </row>
    <row r="175" spans="1:23" s="1" customFormat="1" ht="18" customHeight="1">
      <c r="A175" s="201">
        <f>IF(B175="","",+A174+1)</f>
        <v>2</v>
      </c>
      <c r="B175" s="140" t="s">
        <v>110</v>
      </c>
      <c r="C175" s="140" t="s">
        <v>66</v>
      </c>
      <c r="D175" s="139" t="s">
        <v>73</v>
      </c>
      <c r="E175" s="143"/>
      <c r="F175" s="143" t="s">
        <v>73</v>
      </c>
      <c r="G175" s="143" t="s">
        <v>202</v>
      </c>
      <c r="H175" s="143">
        <v>1</v>
      </c>
      <c r="I175" s="130"/>
      <c r="J175" s="131">
        <f t="shared" si="28"/>
        <v>1</v>
      </c>
      <c r="N175" s="101" t="s">
        <v>230</v>
      </c>
      <c r="O175" s="280" t="s">
        <v>253</v>
      </c>
      <c r="P175" s="290" t="s">
        <v>249</v>
      </c>
      <c r="Q175" s="280" t="s">
        <v>188</v>
      </c>
      <c r="R175" s="213"/>
      <c r="S175" s="213" t="s">
        <v>188</v>
      </c>
      <c r="T175" s="213" t="s">
        <v>198</v>
      </c>
      <c r="U175" s="291">
        <f>((($I$141*$G$141)+($I$142*$G$142)+($I$143*$G$143)+($I$144*$G$144)+($I$145*$G$145))/1000)*$J$120</f>
        <v>25.214500000000001</v>
      </c>
      <c r="V175" s="291">
        <v>100</v>
      </c>
      <c r="W175" s="292">
        <f t="shared" ref="W175:W177" si="29">ROUNDUP((U175)/100,0)</f>
        <v>1</v>
      </c>
    </row>
    <row r="176" spans="1:23" s="1" customFormat="1" ht="18" customHeight="1">
      <c r="A176" s="201">
        <f t="shared" ref="A176:A204" si="30">IF(B176="","",+A175+1)</f>
        <v>3</v>
      </c>
      <c r="B176" s="140" t="s">
        <v>111</v>
      </c>
      <c r="C176" s="140" t="s">
        <v>67</v>
      </c>
      <c r="D176" s="139" t="s">
        <v>74</v>
      </c>
      <c r="E176" s="143"/>
      <c r="F176" s="143" t="s">
        <v>74</v>
      </c>
      <c r="G176" s="143" t="s">
        <v>202</v>
      </c>
      <c r="H176" s="143">
        <v>8</v>
      </c>
      <c r="I176" s="130"/>
      <c r="J176" s="131">
        <f t="shared" si="28"/>
        <v>8</v>
      </c>
      <c r="N176" s="101" t="s">
        <v>229</v>
      </c>
      <c r="O176" s="290" t="s">
        <v>254</v>
      </c>
      <c r="P176" s="290" t="s">
        <v>250</v>
      </c>
      <c r="Q176" s="280" t="s">
        <v>70</v>
      </c>
      <c r="R176" s="213"/>
      <c r="S176" s="213" t="s">
        <v>70</v>
      </c>
      <c r="T176" s="213" t="s">
        <v>198</v>
      </c>
      <c r="U176" s="291">
        <f>((($I$141*$G$141)+($I$142*$G$142)+($I$143*$G$143)+($I$144*$G$144)+($I$145*$G$145))/1000)*$J$120</f>
        <v>25.214500000000001</v>
      </c>
      <c r="V176" s="291">
        <v>100</v>
      </c>
      <c r="W176" s="292">
        <f t="shared" si="29"/>
        <v>1</v>
      </c>
    </row>
    <row r="177" spans="1:23" s="1" customFormat="1" ht="18" customHeight="1">
      <c r="A177" s="201">
        <f t="shared" si="30"/>
        <v>4</v>
      </c>
      <c r="B177" s="140" t="s">
        <v>106</v>
      </c>
      <c r="C177" s="140" t="s">
        <v>503</v>
      </c>
      <c r="D177" s="139" t="s">
        <v>75</v>
      </c>
      <c r="E177" s="143"/>
      <c r="F177" s="143" t="s">
        <v>75</v>
      </c>
      <c r="G177" s="143" t="s">
        <v>202</v>
      </c>
      <c r="H177" s="143">
        <v>2</v>
      </c>
      <c r="I177" s="130"/>
      <c r="J177" s="131">
        <f t="shared" si="28"/>
        <v>2</v>
      </c>
      <c r="N177" s="101" t="s">
        <v>231</v>
      </c>
      <c r="O177" s="290" t="s">
        <v>255</v>
      </c>
      <c r="P177" s="290" t="s">
        <v>251</v>
      </c>
      <c r="Q177" s="280" t="s">
        <v>189</v>
      </c>
      <c r="R177" s="213"/>
      <c r="S177" s="213" t="s">
        <v>189</v>
      </c>
      <c r="T177" s="213" t="s">
        <v>198</v>
      </c>
      <c r="U177" s="291">
        <f>((($I$141*$G$141)+($I$142*$G$142)+($I$143*$G$143)+($I$144*$G$144)+($I$145*$G$145))/1000)*$J$120</f>
        <v>25.214500000000001</v>
      </c>
      <c r="V177" s="291">
        <v>100</v>
      </c>
      <c r="W177" s="292">
        <f t="shared" si="29"/>
        <v>1</v>
      </c>
    </row>
    <row r="178" spans="1:23" s="1" customFormat="1" ht="18" customHeight="1">
      <c r="A178" s="201">
        <f t="shared" si="30"/>
        <v>5</v>
      </c>
      <c r="B178" s="140" t="s">
        <v>107</v>
      </c>
      <c r="C178" s="140" t="s">
        <v>504</v>
      </c>
      <c r="D178" s="139" t="s">
        <v>76</v>
      </c>
      <c r="E178" s="143"/>
      <c r="F178" s="143" t="s">
        <v>76</v>
      </c>
      <c r="G178" s="143" t="s">
        <v>202</v>
      </c>
      <c r="H178" s="143">
        <v>2</v>
      </c>
      <c r="I178" s="130"/>
      <c r="J178" s="131">
        <f t="shared" si="28"/>
        <v>2</v>
      </c>
      <c r="N178" s="101" t="s">
        <v>232</v>
      </c>
      <c r="O178" s="290" t="s">
        <v>256</v>
      </c>
      <c r="P178" s="290" t="s">
        <v>247</v>
      </c>
      <c r="Q178" s="280" t="s">
        <v>233</v>
      </c>
      <c r="R178" s="213"/>
      <c r="S178" s="213" t="s">
        <v>233</v>
      </c>
      <c r="T178" s="213" t="s">
        <v>198</v>
      </c>
      <c r="U178" s="291">
        <f>((($I$141*$G$141)+($I$142*$G$142)+($I$143*$G$143)+($I$144*$G$144)+($I$145*$G$145))/1000)*$J$120</f>
        <v>25.214500000000001</v>
      </c>
      <c r="V178" s="291">
        <v>100</v>
      </c>
      <c r="W178" s="292">
        <f>ROUNDUP((U178)/100,0)</f>
        <v>1</v>
      </c>
    </row>
    <row r="179" spans="1:23" s="1" customFormat="1" ht="18" customHeight="1">
      <c r="A179" s="201">
        <f t="shared" si="30"/>
        <v>6</v>
      </c>
      <c r="B179" s="140" t="s">
        <v>108</v>
      </c>
      <c r="C179" s="140" t="s">
        <v>10</v>
      </c>
      <c r="D179" s="139">
        <v>9</v>
      </c>
      <c r="E179" s="143"/>
      <c r="F179" s="143">
        <v>9</v>
      </c>
      <c r="G179" s="143" t="s">
        <v>202</v>
      </c>
      <c r="H179" s="143">
        <v>8</v>
      </c>
      <c r="I179" s="130"/>
      <c r="J179" s="131">
        <f t="shared" si="28"/>
        <v>8</v>
      </c>
    </row>
    <row r="180" spans="1:23" s="1" customFormat="1" ht="18" customHeight="1">
      <c r="A180" s="201">
        <f t="shared" si="30"/>
        <v>7</v>
      </c>
      <c r="B180" s="140" t="s">
        <v>109</v>
      </c>
      <c r="C180" s="140" t="s">
        <v>68</v>
      </c>
      <c r="D180" s="139">
        <v>9</v>
      </c>
      <c r="E180" s="143"/>
      <c r="F180" s="143">
        <v>9</v>
      </c>
      <c r="G180" s="143" t="s">
        <v>202</v>
      </c>
      <c r="H180" s="143">
        <v>110</v>
      </c>
      <c r="I180" s="130"/>
      <c r="J180" s="131">
        <f t="shared" si="28"/>
        <v>110</v>
      </c>
    </row>
    <row r="181" spans="1:23" s="1" customFormat="1" ht="18" customHeight="1">
      <c r="A181" s="201">
        <f t="shared" si="30"/>
        <v>8</v>
      </c>
      <c r="B181" s="140" t="s">
        <v>118</v>
      </c>
      <c r="C181" s="140" t="s">
        <v>77</v>
      </c>
      <c r="D181" s="139" t="s">
        <v>80</v>
      </c>
      <c r="E181" s="143"/>
      <c r="F181" s="143" t="s">
        <v>80</v>
      </c>
      <c r="G181" s="143" t="s">
        <v>185</v>
      </c>
      <c r="H181" s="143">
        <v>1</v>
      </c>
      <c r="I181" s="130"/>
      <c r="J181" s="131">
        <f t="shared" si="28"/>
        <v>1</v>
      </c>
    </row>
    <row r="182" spans="1:23" s="1" customFormat="1" ht="18" customHeight="1">
      <c r="A182" s="201">
        <f t="shared" si="30"/>
        <v>9</v>
      </c>
      <c r="B182" s="140" t="s">
        <v>120</v>
      </c>
      <c r="C182" s="140" t="s">
        <v>94</v>
      </c>
      <c r="D182" s="139" t="s">
        <v>96</v>
      </c>
      <c r="E182" s="143"/>
      <c r="F182" s="143" t="s">
        <v>96</v>
      </c>
      <c r="G182" s="143" t="s">
        <v>185</v>
      </c>
      <c r="H182" s="143">
        <v>1</v>
      </c>
      <c r="I182" s="144"/>
      <c r="J182" s="131">
        <f t="shared" si="28"/>
        <v>1</v>
      </c>
    </row>
    <row r="183" spans="1:23" s="1" customFormat="1" ht="18" customHeight="1">
      <c r="A183" s="201">
        <f t="shared" si="30"/>
        <v>10</v>
      </c>
      <c r="B183" s="140" t="s">
        <v>119</v>
      </c>
      <c r="C183" s="140" t="s">
        <v>100</v>
      </c>
      <c r="D183" s="139" t="s">
        <v>102</v>
      </c>
      <c r="E183" s="143"/>
      <c r="F183" s="143" t="s">
        <v>102</v>
      </c>
      <c r="G183" s="143" t="s">
        <v>185</v>
      </c>
      <c r="H183" s="143">
        <v>1</v>
      </c>
      <c r="I183" s="144"/>
      <c r="J183" s="131">
        <f t="shared" si="28"/>
        <v>1</v>
      </c>
      <c r="N183" s="56"/>
      <c r="O183" s="56"/>
      <c r="P183" s="56"/>
      <c r="Q183" s="289"/>
      <c r="R183" s="289"/>
      <c r="S183" s="289"/>
      <c r="T183" s="17"/>
      <c r="U183" s="17"/>
      <c r="V183" s="17"/>
      <c r="W183" s="56"/>
    </row>
    <row r="184" spans="1:23" s="1" customFormat="1" ht="18" customHeight="1">
      <c r="A184" s="201">
        <f t="shared" si="30"/>
        <v>11</v>
      </c>
      <c r="B184" s="140" t="s">
        <v>143</v>
      </c>
      <c r="C184" s="140" t="s">
        <v>121</v>
      </c>
      <c r="D184" s="139" t="s">
        <v>103</v>
      </c>
      <c r="E184" s="143"/>
      <c r="F184" s="143" t="s">
        <v>103</v>
      </c>
      <c r="G184" s="143" t="s">
        <v>185</v>
      </c>
      <c r="H184" s="143">
        <v>1</v>
      </c>
      <c r="I184" s="144"/>
      <c r="J184" s="131">
        <f t="shared" si="28"/>
        <v>1</v>
      </c>
      <c r="N184" s="101" t="s">
        <v>227</v>
      </c>
      <c r="O184" s="246" t="s">
        <v>29</v>
      </c>
      <c r="P184" s="246" t="s">
        <v>3</v>
      </c>
      <c r="Q184" s="246" t="s">
        <v>199</v>
      </c>
      <c r="R184" s="246" t="s">
        <v>5</v>
      </c>
      <c r="S184" s="246" t="s">
        <v>28</v>
      </c>
      <c r="T184" s="246" t="s">
        <v>19</v>
      </c>
      <c r="U184" s="246" t="s">
        <v>200</v>
      </c>
      <c r="V184" s="246" t="s">
        <v>20</v>
      </c>
      <c r="W184" s="246" t="s">
        <v>201</v>
      </c>
    </row>
    <row r="185" spans="1:23" s="1" customFormat="1" ht="18" customHeight="1">
      <c r="A185" s="201">
        <f t="shared" si="30"/>
        <v>12</v>
      </c>
      <c r="B185" s="140" t="s">
        <v>113</v>
      </c>
      <c r="C185" s="140" t="s">
        <v>502</v>
      </c>
      <c r="D185" s="139" t="s">
        <v>83</v>
      </c>
      <c r="E185" s="143"/>
      <c r="F185" s="143" t="s">
        <v>83</v>
      </c>
      <c r="G185" s="143" t="s">
        <v>185</v>
      </c>
      <c r="H185" s="143">
        <v>1</v>
      </c>
      <c r="I185" s="144"/>
      <c r="J185" s="131">
        <f t="shared" si="28"/>
        <v>1</v>
      </c>
      <c r="N185" s="101" t="s">
        <v>240</v>
      </c>
      <c r="O185" s="290" t="s">
        <v>234</v>
      </c>
      <c r="P185" s="290" t="s">
        <v>236</v>
      </c>
      <c r="Q185" s="280" t="s">
        <v>190</v>
      </c>
      <c r="R185" s="213"/>
      <c r="S185" s="213" t="s">
        <v>190</v>
      </c>
      <c r="T185" s="213" t="s">
        <v>198</v>
      </c>
      <c r="U185" s="291">
        <f>((($I$134*$G$134)+($I$136*$G$136)+($I$139*$G$139))/1000)*$J$120</f>
        <v>9.2579999999999991</v>
      </c>
      <c r="V185" s="291">
        <v>300</v>
      </c>
      <c r="W185" s="292">
        <f>ROUNDUP((U185)/V185,0)</f>
        <v>1</v>
      </c>
    </row>
    <row r="186" spans="1:23" s="1" customFormat="1" ht="18" customHeight="1">
      <c r="A186" s="201">
        <f t="shared" si="30"/>
        <v>13</v>
      </c>
      <c r="B186" s="140" t="s">
        <v>122</v>
      </c>
      <c r="C186" s="140" t="s">
        <v>101</v>
      </c>
      <c r="D186" s="139" t="s">
        <v>104</v>
      </c>
      <c r="E186" s="143"/>
      <c r="F186" s="143" t="s">
        <v>104</v>
      </c>
      <c r="G186" s="143" t="s">
        <v>185</v>
      </c>
      <c r="H186" s="143">
        <v>1</v>
      </c>
      <c r="I186" s="130"/>
      <c r="J186" s="131">
        <f t="shared" si="28"/>
        <v>1</v>
      </c>
      <c r="N186" s="101" t="s">
        <v>241</v>
      </c>
      <c r="O186" s="290" t="s">
        <v>235</v>
      </c>
      <c r="P186" s="290" t="s">
        <v>238</v>
      </c>
      <c r="Q186" s="280" t="s">
        <v>71</v>
      </c>
      <c r="R186" s="213"/>
      <c r="S186" s="213" t="s">
        <v>71</v>
      </c>
      <c r="T186" s="213" t="s">
        <v>198</v>
      </c>
      <c r="U186" s="291">
        <f>((($I$134*$G$134)+($I$136*$G$136)+($I$139*$G$139))/1000)*$J$120</f>
        <v>9.2579999999999991</v>
      </c>
      <c r="V186" s="291">
        <v>100</v>
      </c>
      <c r="W186" s="292">
        <f t="shared" ref="W186:W188" si="31">ROUNDUP((U186)/V186,0)</f>
        <v>1</v>
      </c>
    </row>
    <row r="187" spans="1:23" s="1" customFormat="1" ht="18" customHeight="1">
      <c r="A187" s="201">
        <f t="shared" si="30"/>
        <v>14</v>
      </c>
      <c r="B187" s="140" t="s">
        <v>647</v>
      </c>
      <c r="C187" s="140" t="s">
        <v>127</v>
      </c>
      <c r="D187" s="139" t="s">
        <v>126</v>
      </c>
      <c r="E187" s="143"/>
      <c r="F187" s="143" t="s">
        <v>126</v>
      </c>
      <c r="G187" s="143" t="s">
        <v>185</v>
      </c>
      <c r="H187" s="143">
        <v>1</v>
      </c>
      <c r="I187" s="130"/>
      <c r="J187" s="131">
        <f t="shared" si="28"/>
        <v>1</v>
      </c>
      <c r="N187" s="101" t="s">
        <v>240</v>
      </c>
      <c r="O187" s="290" t="s">
        <v>245</v>
      </c>
      <c r="P187" s="290" t="s">
        <v>237</v>
      </c>
      <c r="Q187" s="280" t="s">
        <v>72</v>
      </c>
      <c r="R187" s="213"/>
      <c r="S187" s="213" t="s">
        <v>72</v>
      </c>
      <c r="T187" s="213" t="s">
        <v>198</v>
      </c>
      <c r="U187" s="291">
        <f>((($I$141*$G$141*2)+($I$142*$G$142*2)+($I$143*$G$143*2))/1000)*$J$120</f>
        <v>40.796999999999997</v>
      </c>
      <c r="V187" s="291">
        <v>350</v>
      </c>
      <c r="W187" s="292">
        <f t="shared" si="31"/>
        <v>1</v>
      </c>
    </row>
    <row r="188" spans="1:23" s="1" customFormat="1" ht="18" customHeight="1">
      <c r="A188" s="201">
        <f t="shared" si="30"/>
        <v>15</v>
      </c>
      <c r="B188" s="140" t="s">
        <v>648</v>
      </c>
      <c r="C188" s="140" t="s">
        <v>127</v>
      </c>
      <c r="D188" s="139" t="s">
        <v>521</v>
      </c>
      <c r="E188" s="143"/>
      <c r="F188" s="143" t="s">
        <v>521</v>
      </c>
      <c r="G188" s="143" t="s">
        <v>185</v>
      </c>
      <c r="H188" s="143">
        <v>1</v>
      </c>
      <c r="I188" s="130"/>
      <c r="J188" s="131">
        <f>$J$120*H188</f>
        <v>1</v>
      </c>
      <c r="N188" s="101" t="s">
        <v>241</v>
      </c>
      <c r="O188" s="290" t="s">
        <v>246</v>
      </c>
      <c r="P188" s="290" t="s">
        <v>239</v>
      </c>
      <c r="Q188" s="280" t="s">
        <v>193</v>
      </c>
      <c r="R188" s="213"/>
      <c r="S188" s="213" t="s">
        <v>193</v>
      </c>
      <c r="T188" s="213" t="s">
        <v>198</v>
      </c>
      <c r="U188" s="291">
        <f>((($I$141*$G$141*2)+($I$142*$G$142*2)+($I$143*$G$143*2))/1000)*$J$120</f>
        <v>40.796999999999997</v>
      </c>
      <c r="V188" s="291">
        <v>100</v>
      </c>
      <c r="W188" s="292">
        <f t="shared" si="31"/>
        <v>1</v>
      </c>
    </row>
    <row r="189" spans="1:23" s="1" customFormat="1" ht="18" customHeight="1">
      <c r="A189" s="201">
        <f t="shared" si="30"/>
        <v>16</v>
      </c>
      <c r="B189" s="140" t="s">
        <v>112</v>
      </c>
      <c r="C189" s="140" t="s">
        <v>114</v>
      </c>
      <c r="D189" s="128" t="s">
        <v>520</v>
      </c>
      <c r="E189" s="129"/>
      <c r="F189" s="129" t="s">
        <v>520</v>
      </c>
      <c r="G189" s="143" t="s">
        <v>202</v>
      </c>
      <c r="H189" s="143">
        <v>4</v>
      </c>
      <c r="I189" s="130"/>
      <c r="J189" s="131">
        <f t="shared" si="28"/>
        <v>4</v>
      </c>
    </row>
    <row r="190" spans="1:23" s="1" customFormat="1" ht="18" customHeight="1">
      <c r="A190" s="201">
        <f t="shared" si="30"/>
        <v>17</v>
      </c>
      <c r="B190" s="140" t="s">
        <v>115</v>
      </c>
      <c r="C190" s="140" t="s">
        <v>45</v>
      </c>
      <c r="D190" s="139" t="s">
        <v>84</v>
      </c>
      <c r="E190" s="143"/>
      <c r="F190" s="143" t="s">
        <v>84</v>
      </c>
      <c r="G190" s="143" t="s">
        <v>202</v>
      </c>
      <c r="H190" s="143">
        <v>1</v>
      </c>
      <c r="I190" s="130"/>
      <c r="J190" s="131">
        <f t="shared" si="28"/>
        <v>1</v>
      </c>
    </row>
    <row r="191" spans="1:23" s="1" customFormat="1" ht="18" customHeight="1">
      <c r="A191" s="201">
        <f t="shared" si="30"/>
        <v>18</v>
      </c>
      <c r="B191" s="140" t="s">
        <v>512</v>
      </c>
      <c r="C191" s="140" t="s">
        <v>135</v>
      </c>
      <c r="D191" s="139" t="s">
        <v>137</v>
      </c>
      <c r="E191" s="143"/>
      <c r="F191" s="143" t="s">
        <v>137</v>
      </c>
      <c r="G191" s="143" t="s">
        <v>198</v>
      </c>
      <c r="H191" s="261">
        <f>((($I$148*$G$148)+($I$149*$G$149))/1000)*$J$120</f>
        <v>4.8159999999999998</v>
      </c>
      <c r="I191" s="258">
        <v>100</v>
      </c>
      <c r="J191" s="267">
        <f>ROUNDUP((H191)/100,0)</f>
        <v>1</v>
      </c>
    </row>
    <row r="192" spans="1:23" s="1" customFormat="1" ht="18" customHeight="1">
      <c r="A192" s="201">
        <f t="shared" si="30"/>
        <v>19</v>
      </c>
      <c r="B192" s="140" t="s">
        <v>513</v>
      </c>
      <c r="C192" s="140" t="s">
        <v>136</v>
      </c>
      <c r="D192" s="139" t="s">
        <v>138</v>
      </c>
      <c r="E192" s="143"/>
      <c r="F192" s="143" t="s">
        <v>138</v>
      </c>
      <c r="G192" s="143" t="s">
        <v>198</v>
      </c>
      <c r="H192" s="261">
        <f>((($I$144*$G$144)+($I$145*$G$145))/1000)*$J$120</f>
        <v>4.8159999999999998</v>
      </c>
      <c r="I192" s="258">
        <v>100</v>
      </c>
      <c r="J192" s="267">
        <f>ROUNDUP((H192)/100,0)</f>
        <v>1</v>
      </c>
    </row>
    <row r="193" spans="1:35" s="1" customFormat="1" ht="18" customHeight="1">
      <c r="A193" s="201">
        <f t="shared" si="30"/>
        <v>20</v>
      </c>
      <c r="B193" s="139" t="str">
        <f>IF($D$129="Standard",$O$185,IF($D$129="Soumdproof",$O$186,))</f>
        <v>ยางเฟรมกันน้ำ (ธรรมดา)</v>
      </c>
      <c r="C193" s="139" t="str">
        <f>IF($D$129="Standard",$P$185,IF($D$129="Soumdproof",$P$186,))</f>
        <v>FRAME SEAL (Standard)</v>
      </c>
      <c r="D193" s="139" t="str">
        <f>IF($D$129="Standard",$Q$185,IF($D$129="Soumdproof",$Q$186,))</f>
        <v>02-026</v>
      </c>
      <c r="E193" s="143">
        <f>IF($D$129="Standard",R191,IF($D$129="Soumdproof",R192,))</f>
        <v>0</v>
      </c>
      <c r="F193" s="143" t="str">
        <f>IF($D$129="Standard",$S$185,IF($D$129="Soumdproof",$S$186,))</f>
        <v>02-026</v>
      </c>
      <c r="G193" s="143" t="str">
        <f>IF($D$129="Standard",$T$185,IF($D$129="Soumdproof",$T$186,))</f>
        <v>M</v>
      </c>
      <c r="H193" s="261">
        <f>IF($D$129="Standard",$U$185,IF($D$129="Soumdproof",$U$186,))</f>
        <v>9.2579999999999991</v>
      </c>
      <c r="I193" s="258">
        <f>IF($D$129="Standard",$V$185,IF($D$129="Soumdproof",$V$186,))</f>
        <v>300</v>
      </c>
      <c r="J193" s="267">
        <f>ROUNDUP((H193)/100,0)</f>
        <v>1</v>
      </c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</row>
    <row r="194" spans="1:35" ht="18" customHeight="1">
      <c r="A194" s="201">
        <f t="shared" si="30"/>
        <v>21</v>
      </c>
      <c r="B194" s="139" t="str">
        <f>IF($D$129="Standard",$O$187,IF($D$129="Soumdproof",$O$188,))</f>
        <v>ยางแซชกันน้ำ (ธรรมดา)</v>
      </c>
      <c r="C194" s="139" t="str">
        <f>IF($D$129="Standard",$P$187,IF($D$129="Soumdproof",$P$188,))</f>
        <v>SASH SEAL FOAM (Standard)</v>
      </c>
      <c r="D194" s="139" t="str">
        <f>IF($D$129="Standard",$Q$187,IF($D$129="Soumdproof",$Q$188,))</f>
        <v>02-031</v>
      </c>
      <c r="E194" s="143">
        <f>IF($D$129="Standard",R193,IF($D$129="Soumdproof",R194,))</f>
        <v>0</v>
      </c>
      <c r="F194" s="143" t="str">
        <f>IF($D$129="Standard",$S$187,IF($D$129="Soumdproof",$S$188,))</f>
        <v>02-031</v>
      </c>
      <c r="G194" s="143" t="str">
        <f>IF($D$129="Standard",$T$187,IF($D$129="Soumdproof",$T$188,))</f>
        <v>M</v>
      </c>
      <c r="H194" s="261">
        <f>IF($D$129="Standard",$U$187,IF($D$129="Soumdproof",$U$188,))</f>
        <v>40.796999999999997</v>
      </c>
      <c r="I194" s="258">
        <f>IF($D$129="Standard",$V$187,IF($D$129="Soumdproof",$V$188,))</f>
        <v>350</v>
      </c>
      <c r="J194" s="267">
        <f t="shared" ref="J194:J196" si="32">ROUNDUP((H194)/100,0)</f>
        <v>1</v>
      </c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s="1" customFormat="1" ht="18" customHeight="1">
      <c r="A195" s="201">
        <f t="shared" si="30"/>
        <v>22</v>
      </c>
      <c r="B195" s="241" t="str">
        <f>IF($D$127=5,$O$176,IF($D$127=6,$O$177,IF($D$127=8,$O$178,IF($D$127=10,$O$176,IF($D$127=12,$O$176,IF($D$127=14,$O$178,IF($D$127=18,$O$176,IF($D$127=20,$O$177,IF($D$127=22,"")))))))))</f>
        <v>6,20 mm ยางอัดกระจก</v>
      </c>
      <c r="C195" s="241" t="str">
        <f>IF($D$127=5,$P$176,IF($D$127=6,$P$177,IF($D$127=8,$P$178,IF($D$127=10,$P$176,IF($D$127=12,$P$176,IF($D$127=14,$P$178,IF($D$127=18,$P$176,IF($D$127=20,$P$177,IF($D$127=22,"")))))))))</f>
        <v>6,20 mm ROLL IN WEDGE</v>
      </c>
      <c r="D195" s="241" t="str">
        <f>IF($D$127=5,$Q$176,IF($D$127=6,$Q$177,IF($D$127=8,$Q$178,IF($D$127=10,$Q$176,IF($D$127=12,$Q$176,IF($D$127=14,$Q$178,IF($D$127=18,$Q$176,IF($D$127=20,$Q$177,IF($D$127=22,"")))))))))</f>
        <v>02-034</v>
      </c>
      <c r="E195" s="241">
        <f>IF($D$127=5,R182,IF($D$127=6,R183,IF($D$127=8,R184,IF($D$127=10,R182,IF($D$127=12,R182,IF($D$127=14,R184,IF($D$127=18,R182,IF($D$127=20,R183,IF($D$127=22,"",)))))))))</f>
        <v>0</v>
      </c>
      <c r="F195" s="242" t="str">
        <f>IF($D$127=5,$S$176,IF($D$127=6,$S$177,IF($D$127=8,$S$178,IF($D$127=10,$S$176,IF($D$127=12,$S$176,IF($D$127=14,$S$178,IF($D$127=18,$S$176,IF($D$127=20,$S$177,IF($D$127=22,"")))))))))</f>
        <v>02-034</v>
      </c>
      <c r="G195" s="242" t="str">
        <f>IF($D$127=5,$T$176,IF($D$127=6,$T$177,IF($D$127=8,$T$178,IF($D$127=10,$T$176,IF($D$127=12,$T$176,IF($D$127=14,$T$178,IF($D$127=18,$T$176,IF($D$127=20,$T$177,IF($D$127=22,"")))))))))</f>
        <v>M</v>
      </c>
      <c r="H195" s="261">
        <f>IF($D$127=5,$U$176,IF($D$127=6,$U$177,IF($D$127=8,$U$178,IF($D$127=10,$U$176*2,IF($D$127=12,$U$176,IF($D$127=14,$U$178*2,IF($D$127=18,$U$176,IF($D$127=20,$U$177,IF($D$127=22,"")))))))))</f>
        <v>25.214500000000001</v>
      </c>
      <c r="I195" s="258">
        <f>IF($D$127=5,$V$176,IF($D$127=6,$V$177,IF($D$127=8,$V$178,IF($D$127=10,$V$176,IF($D$127=12,$V$176,IF($D$127=14,$V$178,IF($D$127=18,$V$176,IF($D$127=20,$V$177,IF($D$127=22,"")))))))))</f>
        <v>100</v>
      </c>
      <c r="J195" s="267">
        <f t="shared" si="32"/>
        <v>1</v>
      </c>
    </row>
    <row r="196" spans="1:35" s="1" customFormat="1" ht="18" customHeight="1">
      <c r="A196" s="201">
        <f t="shared" si="30"/>
        <v>23</v>
      </c>
      <c r="B196" s="241" t="str">
        <f>IF($D$127=5,$O$174,IF($D$127=6,$O$174,IF($D$127=8,$O$176,IF($D$127=10,"",IF($D$127=12,$O$175,IF($D$127=14,"",IF($D$127=18,$O$174,IF($D$127=20,$O$175,IF($D$127=22,"",)))))))))</f>
        <v>5,6,18 mm ยางรองกระจก</v>
      </c>
      <c r="C196" s="241" t="str">
        <f>IF($D$127=5,$P$174,IF($D$127=6,$P$174,IF($D$127=8,$P$176,IF($D$127=10,"",IF($D$127=12,$P$175,IF($D$127=14,"",IF($D$127=18,$P$174,IF($D$127=20,$P$175,IF($D$127=22,"",)))))))))</f>
        <v>5,6,18 mm CAPTIVE WEDGE</v>
      </c>
      <c r="D196" s="241" t="str">
        <f>IF($D$127=5,$Q$174,IF($D$127=6,$Q$174,IF($D$127=8,$Q$176,IF($D$127=10,"",IF($D$127=12,$Q$175,IF($D$127=14,"",IF($D$127=18,$Q$174,IF($D$127=20,$Q$175,IF($D$127=22,"",)))))))))</f>
        <v>02-022</v>
      </c>
      <c r="E196" s="241">
        <f>IF($D$127=5,R180,IF($D$127=6,R180,IF($D$127=8,R182,IF($D$127=10,"",IF($D$127=12,R181,IF($D$127=14,"",IF($D$127=18,R180,IF($D$127=20,R181,IF($D$127=22,"",)))))))))</f>
        <v>0</v>
      </c>
      <c r="F196" s="242" t="str">
        <f>IF($D$127=5,$S$174,IF($D$127=6,$S$174,IF($D$127=8,$S$176,IF($D$127=10,"",IF($D$127=12,$S$175,IF($D$127=14,"",IF($D$127=18,$S$174,IF($D$127=20,$S$175,IF($D$127=22,"",)))))))))</f>
        <v>02-022</v>
      </c>
      <c r="G196" s="242" t="str">
        <f>IF($D$127=5,$T$174,IF($D$127=6,$T$174,IF($D$127=8,$T$176,IF($D$127=10,"",IF($D$127=12,$T$175,IF($D$127=14,"",IF($D$127=18,$T$174,IF($D$127=20,$T$175,IF($D$127=22,"",)))))))))</f>
        <v>M</v>
      </c>
      <c r="H196" s="261">
        <f>IF($D$127=5,$U$174,IF($D$127=6,$U$174,IF($D$127=8,$U$176,IF($D$127=10,"",IF($D$127=12,$U$175,IF($D$127=14,"",IF($D$127=18,$U$174,IF($D$127=20,$U$175,IF($D$127=22,"")))))))))</f>
        <v>25.214500000000001</v>
      </c>
      <c r="I196" s="258">
        <f>IF($D$127=5,$V$174,IF($D$127=6,$V$174,IF($D$127=8,$V$176,IF($D$127=10,"",IF($D$127=12,$V$175,IF($D$127=14,"",IF($D$127=18,$V$174,IF($D$127=20,$V$175,IF($D$127=22,"",)))))))))</f>
        <v>100</v>
      </c>
      <c r="J196" s="267">
        <f t="shared" si="32"/>
        <v>1</v>
      </c>
    </row>
    <row r="197" spans="1:35" s="1" customFormat="1" ht="18" customHeight="1">
      <c r="A197" s="201" t="str">
        <f t="shared" si="30"/>
        <v/>
      </c>
      <c r="B197" s="140"/>
      <c r="C197" s="140"/>
      <c r="D197" s="139"/>
      <c r="E197" s="143"/>
      <c r="F197" s="143"/>
      <c r="G197" s="143"/>
      <c r="H197" s="143"/>
      <c r="I197" s="130"/>
      <c r="J197" s="131">
        <f>$J$120*H197</f>
        <v>0</v>
      </c>
    </row>
    <row r="198" spans="1:35" s="1" customFormat="1" ht="18" customHeight="1">
      <c r="A198" s="201" t="str">
        <f t="shared" si="30"/>
        <v/>
      </c>
      <c r="B198" s="140"/>
      <c r="C198" s="140"/>
      <c r="D198" s="139"/>
      <c r="E198" s="143"/>
      <c r="F198" s="143"/>
      <c r="G198" s="143"/>
      <c r="H198" s="143"/>
      <c r="I198" s="130"/>
      <c r="J198" s="131">
        <f>$J$120*H198</f>
        <v>0</v>
      </c>
    </row>
    <row r="199" spans="1:35" s="1" customFormat="1" ht="18" customHeight="1">
      <c r="A199" s="201" t="str">
        <f t="shared" si="30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>$J$120*H199</f>
        <v>0</v>
      </c>
    </row>
    <row r="200" spans="1:35" s="1" customFormat="1" ht="18" customHeight="1">
      <c r="A200" s="201" t="str">
        <f t="shared" si="30"/>
        <v/>
      </c>
      <c r="B200" s="140"/>
      <c r="C200" s="140"/>
      <c r="D200" s="139"/>
      <c r="E200" s="143"/>
      <c r="F200" s="143"/>
      <c r="G200" s="143"/>
      <c r="H200" s="143"/>
      <c r="I200" s="130"/>
      <c r="J200" s="131"/>
    </row>
    <row r="201" spans="1:35" s="1" customFormat="1" ht="18" customHeight="1">
      <c r="A201" s="201" t="str">
        <f t="shared" si="30"/>
        <v/>
      </c>
      <c r="B201" s="140"/>
      <c r="C201" s="140"/>
      <c r="D201" s="139"/>
      <c r="E201" s="143"/>
      <c r="F201" s="143"/>
      <c r="G201" s="143"/>
      <c r="H201" s="143"/>
      <c r="I201" s="130"/>
      <c r="J201" s="131"/>
    </row>
    <row r="202" spans="1:35" s="1" customFormat="1" ht="18" customHeight="1">
      <c r="A202" s="201" t="str">
        <f t="shared" si="30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>$J$120*H202</f>
        <v>0</v>
      </c>
    </row>
    <row r="203" spans="1:35" s="1" customFormat="1" ht="18" customHeight="1">
      <c r="A203" s="201" t="str">
        <f t="shared" si="30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>$J$120*H203</f>
        <v>0</v>
      </c>
    </row>
    <row r="204" spans="1:35" s="1" customFormat="1" ht="18" customHeight="1">
      <c r="A204" s="201" t="str">
        <f t="shared" si="30"/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>$J$120*H204</f>
        <v>0</v>
      </c>
    </row>
    <row r="205" spans="1:35" s="1" customFormat="1" ht="18" customHeight="1">
      <c r="A205" s="317" t="str">
        <f>IF(B205="","",+#REF!+1)</f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>$J$120*H205</f>
        <v>0</v>
      </c>
    </row>
    <row r="206" spans="1:35" s="1" customFormat="1" ht="18" customHeight="1">
      <c r="A206" s="25"/>
      <c r="B206" s="161"/>
      <c r="C206" s="33"/>
      <c r="D206" s="30"/>
      <c r="E206" s="17"/>
      <c r="F206" s="30"/>
      <c r="G206" s="30"/>
      <c r="H206" s="161"/>
      <c r="I206" s="24"/>
      <c r="J206" s="24"/>
    </row>
    <row r="207" spans="1:35" ht="18" customHeight="1">
      <c r="A207" s="17"/>
      <c r="J207" s="99" t="str">
        <f>LEFT($J$111,13)&amp;"-02"</f>
        <v>FG-240-4P3L1R-02</v>
      </c>
    </row>
    <row r="208" spans="1:35" ht="12.75" customHeight="1">
      <c r="B208" s="56"/>
      <c r="C208" s="56"/>
      <c r="D208" s="30"/>
      <c r="E208" s="17"/>
      <c r="F208" s="17"/>
      <c r="G208" s="17"/>
      <c r="H208" s="17"/>
      <c r="K208" s="7"/>
      <c r="L208" s="7"/>
      <c r="M208" s="2"/>
      <c r="N208" s="2"/>
    </row>
    <row r="209" spans="1:14" ht="30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197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197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/>
      <c r="C215"/>
      <c r="D215" s="81"/>
      <c r="E215"/>
      <c r="F215"/>
      <c r="G215"/>
      <c r="H215"/>
      <c r="I215" s="160"/>
      <c r="J215" s="116"/>
    </row>
    <row r="216" spans="1:14" s="1" customFormat="1" ht="15" customHeight="1">
      <c r="A216" s="17"/>
      <c r="B216" s="93"/>
      <c r="C216" s="56"/>
      <c r="D216" s="30"/>
      <c r="E216" s="29"/>
      <c r="F216" s="160"/>
      <c r="G216" s="160"/>
      <c r="H216" s="16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s="1" customFormat="1" ht="15.6">
      <c r="A218" s="109"/>
      <c r="B218" s="33"/>
      <c r="C218" s="327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378</v>
      </c>
      <c r="D220" s="30"/>
      <c r="E220" s="29"/>
      <c r="F220" s="30"/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89"/>
      <c r="J221" s="12"/>
    </row>
    <row r="222" spans="1:14" s="1" customFormat="1" ht="15" customHeight="1">
      <c r="A222" s="109"/>
      <c r="B222" s="33"/>
      <c r="C222" s="327" t="s">
        <v>273</v>
      </c>
      <c r="D222" s="161"/>
      <c r="E222" s="109"/>
      <c r="F222" s="161"/>
      <c r="J222" s="12"/>
    </row>
    <row r="223" spans="1:14" s="1" customFormat="1" ht="15" customHeight="1">
      <c r="A223" s="109"/>
      <c r="B223" s="33"/>
      <c r="C223" s="374">
        <f>$I$133</f>
        <v>3440</v>
      </c>
      <c r="D223" s="161"/>
      <c r="E223" s="35"/>
      <c r="F223" s="161"/>
      <c r="G223" s="68"/>
      <c r="J223" s="12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326"/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326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327"/>
      <c r="D229" s="161"/>
      <c r="E229" s="109"/>
      <c r="F229" s="161"/>
      <c r="H229" s="109"/>
      <c r="I229" s="196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196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196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196"/>
      <c r="J232" s="117"/>
    </row>
    <row r="233" spans="1:10" s="1" customFormat="1" ht="15.9" customHeight="1">
      <c r="A233" s="44"/>
      <c r="B233" s="44"/>
      <c r="C233" s="89" t="s">
        <v>369</v>
      </c>
      <c r="D233" s="84"/>
      <c r="E233" s="44"/>
      <c r="F233" s="44"/>
      <c r="G233" s="109"/>
      <c r="H233" s="109"/>
      <c r="I233" s="196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3414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196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196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109"/>
      <c r="J242" s="24"/>
    </row>
    <row r="243" spans="1:10" s="1" customFormat="1" ht="15.9" customHeight="1">
      <c r="A243" s="109"/>
      <c r="B243" s="33"/>
      <c r="C243" s="89" t="s">
        <v>370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.9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" customHeight="1">
      <c r="A245" s="109"/>
      <c r="B245" s="33"/>
      <c r="C245" s="327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3440</v>
      </c>
      <c r="D246" s="161"/>
      <c r="E246" s="109"/>
      <c r="F246" s="161"/>
      <c r="G246" s="109"/>
      <c r="H246" s="109"/>
      <c r="I246" s="44"/>
      <c r="J246" s="119"/>
    </row>
    <row r="247" spans="1:10" s="1" customFormat="1" ht="15.9" customHeight="1">
      <c r="A247" s="109"/>
      <c r="B247" s="33"/>
      <c r="C247" s="363">
        <f>$J$135</f>
        <v>1</v>
      </c>
      <c r="D247" s="161"/>
      <c r="E247" s="109"/>
      <c r="F247" s="161"/>
      <c r="G247" s="109"/>
      <c r="H247" s="109"/>
      <c r="I247" s="32"/>
      <c r="J247" s="40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0"/>
      <c r="H251" s="109"/>
      <c r="I251" s="24"/>
      <c r="J251" s="24"/>
    </row>
    <row r="252" spans="1:10" s="1" customFormat="1" ht="15.9" customHeight="1">
      <c r="A252" s="109"/>
      <c r="B252" s="33"/>
      <c r="D252" s="161"/>
      <c r="E252" s="109"/>
      <c r="F252" s="109"/>
      <c r="G252" s="109"/>
      <c r="H252" s="109"/>
      <c r="I252" s="24"/>
      <c r="J252" s="24"/>
    </row>
    <row r="253" spans="1:10" s="1" customFormat="1" ht="15.9" customHeight="1">
      <c r="A253" s="44"/>
      <c r="B253" s="44"/>
      <c r="D253" s="84"/>
      <c r="E253" s="44"/>
      <c r="F253" s="44"/>
      <c r="G253" s="109"/>
      <c r="H253" s="109"/>
      <c r="I253" s="24"/>
      <c r="J253" s="24"/>
    </row>
    <row r="254" spans="1:10" s="1" customFormat="1" ht="15.9" customHeight="1">
      <c r="A254" s="40"/>
      <c r="B254" s="40"/>
      <c r="C254" s="89" t="s">
        <v>371</v>
      </c>
      <c r="D254" s="85"/>
      <c r="E254" s="40"/>
      <c r="F254" s="32"/>
      <c r="G254" s="109"/>
      <c r="I254" s="24"/>
      <c r="J254" s="24"/>
    </row>
    <row r="255" spans="1:10" s="1" customFormat="1" ht="15.9" customHeight="1">
      <c r="A255" s="27"/>
      <c r="B255" s="33"/>
      <c r="C255" s="328" t="s">
        <v>275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27" t="s">
        <v>273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74">
        <f>$I$136</f>
        <v>3440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63">
        <f>$J$136</f>
        <v>1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46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161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89" t="s">
        <v>373</v>
      </c>
      <c r="D264" s="161"/>
      <c r="E264" s="109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8" t="s">
        <v>379</v>
      </c>
      <c r="D265" s="328"/>
      <c r="E265" s="328"/>
      <c r="F265" s="109"/>
      <c r="G265" s="109"/>
      <c r="H265" s="109"/>
      <c r="I265" s="24"/>
      <c r="J265" s="24"/>
    </row>
    <row r="266" spans="1:10" s="1" customFormat="1" ht="15.9" customHeight="1">
      <c r="A266" s="27"/>
      <c r="B266" s="33"/>
      <c r="C266" s="327" t="s">
        <v>279</v>
      </c>
      <c r="D266" s="327"/>
      <c r="E266" s="327"/>
      <c r="F266" s="109"/>
      <c r="G266" s="109"/>
      <c r="H266" s="109"/>
      <c r="J266" s="12"/>
    </row>
    <row r="267" spans="1:10" s="1" customFormat="1" ht="15.9" customHeight="1">
      <c r="A267" s="27"/>
      <c r="B267" s="33"/>
      <c r="C267" s="374">
        <f>$I$137</f>
        <v>2500</v>
      </c>
      <c r="D267" s="161"/>
      <c r="E267" s="109"/>
      <c r="F267" s="109"/>
      <c r="G267" s="33"/>
      <c r="H267" s="33"/>
      <c r="J267" s="12"/>
    </row>
    <row r="268" spans="1:10" s="1" customFormat="1" ht="15.9" customHeight="1">
      <c r="A268" s="27"/>
      <c r="B268" s="33"/>
      <c r="C268" s="363">
        <f>$J$137+$J$138</f>
        <v>2</v>
      </c>
      <c r="D268" s="161"/>
      <c r="E268" s="10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D271" s="328"/>
      <c r="E271" s="328"/>
      <c r="F271" s="109"/>
      <c r="G271" s="109"/>
      <c r="H271" s="109"/>
      <c r="J271" s="12"/>
    </row>
    <row r="272" spans="1:10" s="1" customFormat="1" ht="15.9" customHeight="1">
      <c r="A272" s="27"/>
      <c r="B272" s="33"/>
      <c r="D272" s="328"/>
      <c r="E272" s="328"/>
      <c r="F272" s="109"/>
      <c r="G272" s="109"/>
      <c r="I272" s="24"/>
      <c r="J272" s="24"/>
    </row>
    <row r="273" spans="1:10" s="1" customFormat="1" ht="15.9" customHeight="1">
      <c r="A273" s="27"/>
      <c r="B273" s="33"/>
      <c r="C273" s="33"/>
      <c r="D273" s="161"/>
      <c r="E273" s="109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89" t="s">
        <v>374</v>
      </c>
      <c r="D274" s="162"/>
      <c r="E274" s="24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328" t="s">
        <v>649</v>
      </c>
      <c r="D275" s="328"/>
      <c r="E275" s="328"/>
      <c r="F275" s="109"/>
      <c r="G275" s="109"/>
      <c r="I275" s="109"/>
      <c r="J275" s="24"/>
    </row>
    <row r="276" spans="1:10" s="1" customFormat="1" ht="15.9" customHeight="1">
      <c r="A276" s="27"/>
      <c r="B276" s="33"/>
      <c r="C276" s="433" t="s">
        <v>650</v>
      </c>
      <c r="D276" s="327"/>
      <c r="E276" s="327"/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374">
        <f>$I$139</f>
        <v>2404</v>
      </c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363">
        <f>$J$139+$J$140</f>
        <v>2</v>
      </c>
      <c r="F278" s="109"/>
      <c r="G278" s="109"/>
      <c r="I278" s="109"/>
      <c r="J278" s="24"/>
    </row>
    <row r="279" spans="1:10" s="1" customFormat="1" ht="15.9" customHeight="1">
      <c r="A279" s="27"/>
      <c r="B279" s="33"/>
      <c r="F279" s="109"/>
      <c r="G279" s="109"/>
      <c r="H279" s="109"/>
      <c r="J279" s="12"/>
    </row>
    <row r="280" spans="1:10" s="1" customFormat="1" ht="15.9" customHeight="1">
      <c r="A280" s="27"/>
      <c r="B280" s="33"/>
      <c r="F280" s="109"/>
      <c r="G280" s="109"/>
      <c r="H280" s="109"/>
      <c r="J280" s="12"/>
    </row>
    <row r="281" spans="1:10" s="1" customFormat="1" ht="15.9" customHeight="1">
      <c r="A281" s="27"/>
      <c r="B281" s="33"/>
      <c r="C281" s="33"/>
      <c r="D281" s="161"/>
      <c r="E281" s="109"/>
      <c r="F281" s="109"/>
      <c r="G281" s="109"/>
      <c r="H281" s="109"/>
      <c r="J281" s="12"/>
    </row>
    <row r="282" spans="1:10" s="1" customFormat="1" ht="15.9" customHeight="1">
      <c r="A282" s="27"/>
      <c r="B282" s="33"/>
      <c r="F282" s="109"/>
      <c r="G282" s="109"/>
      <c r="H282" s="109"/>
      <c r="J282" s="12"/>
    </row>
    <row r="283" spans="1:10" s="1" customFormat="1" ht="15.9" customHeight="1">
      <c r="A283" s="27"/>
      <c r="B283" s="33"/>
      <c r="F283" s="109"/>
      <c r="G283" s="109"/>
      <c r="H283" s="109"/>
      <c r="I283" s="162"/>
      <c r="J283" s="24"/>
    </row>
    <row r="284" spans="1:10" s="1" customFormat="1" ht="15.9" customHeight="1">
      <c r="A284" s="27"/>
      <c r="B284" s="33"/>
      <c r="C284" s="89" t="s">
        <v>375</v>
      </c>
      <c r="F284" s="109"/>
      <c r="G284" s="109"/>
      <c r="H284" s="109"/>
      <c r="I284" s="109"/>
      <c r="J284" s="24"/>
    </row>
    <row r="285" spans="1:10" s="1" customFormat="1" ht="15.9" customHeight="1">
      <c r="A285" s="27"/>
      <c r="B285" s="33"/>
      <c r="C285" s="94" t="s">
        <v>416</v>
      </c>
      <c r="D285" s="161"/>
      <c r="E285" s="109"/>
      <c r="F285" s="109"/>
      <c r="G285" s="109"/>
      <c r="H285" s="109"/>
      <c r="I285" s="24"/>
      <c r="J285" s="24"/>
    </row>
    <row r="286" spans="1:10" s="1" customFormat="1" ht="15.9" customHeight="1">
      <c r="A286" s="27"/>
      <c r="B286" s="33"/>
      <c r="C286" s="327" t="s">
        <v>418</v>
      </c>
      <c r="D286" s="161"/>
      <c r="E286" s="109"/>
      <c r="F286" s="109"/>
      <c r="G286" s="109"/>
      <c r="H286" s="109"/>
      <c r="I286" s="24"/>
      <c r="J286" s="24"/>
    </row>
    <row r="287" spans="1:10" s="1" customFormat="1" ht="15.9" customHeight="1">
      <c r="A287" s="27"/>
      <c r="B287" s="33"/>
      <c r="C287" s="328" t="s">
        <v>281</v>
      </c>
      <c r="D287" s="328"/>
      <c r="E287" s="328"/>
      <c r="F287" s="109"/>
      <c r="G287" s="109"/>
      <c r="I287" s="24"/>
      <c r="J287" s="24"/>
    </row>
    <row r="288" spans="1:10" s="23" customFormat="1" ht="15.9" customHeight="1">
      <c r="A288" s="27"/>
      <c r="B288" s="33"/>
      <c r="C288" s="327" t="s">
        <v>282</v>
      </c>
      <c r="D288" s="327"/>
      <c r="E288" s="327"/>
      <c r="F288" s="109"/>
      <c r="G288" s="109"/>
      <c r="H288" s="1"/>
      <c r="I288" s="109"/>
      <c r="J288" s="109"/>
    </row>
    <row r="289" spans="1:10" s="1" customFormat="1" ht="15.9" customHeight="1">
      <c r="A289" s="27"/>
      <c r="B289" s="33"/>
      <c r="C289" s="374">
        <f>$I$141</f>
        <v>743.8125</v>
      </c>
      <c r="F289" s="109"/>
      <c r="G289" s="109"/>
      <c r="I289" s="44"/>
      <c r="J289" s="119"/>
    </row>
    <row r="290" spans="1:10" s="1" customFormat="1" ht="15.9" customHeight="1">
      <c r="A290" s="27"/>
      <c r="B290" s="33"/>
      <c r="C290" s="363">
        <f>$J$141+$J$142</f>
        <v>8</v>
      </c>
      <c r="D290" s="161"/>
      <c r="E290" s="109"/>
      <c r="F290" s="109"/>
      <c r="G290" s="109"/>
      <c r="H290" s="161"/>
      <c r="I290" s="32"/>
      <c r="J290" s="40"/>
    </row>
    <row r="291" spans="1:10" s="1" customFormat="1" ht="15.9" customHeight="1">
      <c r="A291" s="27"/>
      <c r="B291" s="33"/>
      <c r="C291" s="374">
        <f>$I$143</f>
        <v>2408</v>
      </c>
      <c r="D291" s="161"/>
      <c r="E291" s="109"/>
      <c r="F291" s="109"/>
      <c r="G291" s="109"/>
      <c r="H291" s="109"/>
      <c r="I291" s="24"/>
      <c r="J291" s="24"/>
    </row>
    <row r="292" spans="1:10" s="1" customFormat="1" ht="15.9" customHeight="1">
      <c r="A292" s="27"/>
      <c r="B292" s="33"/>
      <c r="C292" s="363">
        <f>$J$143+$J$144+$J$145</f>
        <v>8</v>
      </c>
      <c r="D292" s="161"/>
      <c r="E292" s="109"/>
      <c r="F292" s="109"/>
      <c r="G292" s="109"/>
      <c r="H292" s="109"/>
      <c r="I292" s="24"/>
      <c r="J292" s="24"/>
    </row>
    <row r="293" spans="1:10" s="1" customFormat="1" ht="15.9" customHeight="1">
      <c r="A293" s="27"/>
      <c r="B293" s="33"/>
      <c r="D293" s="161"/>
      <c r="E293" s="109"/>
      <c r="F293" s="109"/>
      <c r="G293" s="109"/>
      <c r="H293" s="109"/>
      <c r="I293" s="24"/>
      <c r="J293" s="24"/>
    </row>
    <row r="294" spans="1:10" s="1" customFormat="1" ht="15.9" customHeight="1">
      <c r="A294" s="27"/>
      <c r="B294" s="33"/>
      <c r="C294" s="33"/>
      <c r="D294" s="161"/>
      <c r="E294" s="109"/>
      <c r="F294" s="109"/>
      <c r="G294" s="109"/>
      <c r="H294" s="109"/>
      <c r="I294" s="109"/>
      <c r="J294" s="24"/>
    </row>
    <row r="295" spans="1:10" s="1" customFormat="1" ht="15.9" customHeight="1">
      <c r="A295" s="27"/>
      <c r="B295" s="33"/>
      <c r="C295" s="23"/>
      <c r="D295" s="161"/>
      <c r="E295" s="109"/>
      <c r="F295" s="109"/>
      <c r="G295" s="109"/>
      <c r="H295" s="109"/>
      <c r="I295" s="109"/>
      <c r="J295" s="24"/>
    </row>
    <row r="296" spans="1:10" s="1" customFormat="1" ht="15.9" customHeight="1">
      <c r="A296" s="27"/>
      <c r="B296" s="33"/>
      <c r="C296" s="89" t="s">
        <v>384</v>
      </c>
      <c r="D296" s="161"/>
      <c r="E296" s="109"/>
      <c r="F296" s="109"/>
      <c r="G296" s="109"/>
      <c r="H296" s="109"/>
      <c r="I296" s="109"/>
      <c r="J296" s="24"/>
    </row>
    <row r="297" spans="1:10" s="1" customFormat="1" ht="15.9" customHeight="1">
      <c r="A297" s="27"/>
      <c r="B297" s="33"/>
      <c r="C297" s="94" t="s">
        <v>416</v>
      </c>
      <c r="D297" s="161"/>
      <c r="E297" s="109"/>
      <c r="F297" s="109"/>
      <c r="G297" s="44"/>
      <c r="H297" s="44"/>
      <c r="I297" s="109"/>
      <c r="J297" s="24"/>
    </row>
    <row r="298" spans="1:10" s="1" customFormat="1" ht="15.9" customHeight="1">
      <c r="A298" s="27"/>
      <c r="B298" s="33"/>
      <c r="C298" s="327" t="s">
        <v>418</v>
      </c>
      <c r="D298" s="328"/>
      <c r="E298" s="328"/>
      <c r="F298" s="109"/>
      <c r="G298" s="40"/>
      <c r="H298" s="32"/>
      <c r="I298" s="109"/>
      <c r="J298" s="24"/>
    </row>
    <row r="299" spans="1:10" s="1" customFormat="1" ht="15.9" customHeight="1">
      <c r="A299" s="41"/>
      <c r="B299" s="33"/>
      <c r="C299" s="328" t="s">
        <v>286</v>
      </c>
      <c r="D299" s="327"/>
      <c r="E299" s="327"/>
      <c r="F299" s="109"/>
      <c r="G299" s="109"/>
      <c r="H299" s="109"/>
      <c r="I299" s="109"/>
      <c r="J299" s="24"/>
    </row>
    <row r="300" spans="1:10" s="1" customFormat="1" ht="15.9" customHeight="1">
      <c r="A300" s="44"/>
      <c r="B300" s="44"/>
      <c r="C300" s="327" t="s">
        <v>285</v>
      </c>
      <c r="D300" s="86"/>
      <c r="E300" s="79"/>
      <c r="F300" s="44"/>
      <c r="G300" s="109"/>
      <c r="H300" s="109"/>
      <c r="I300" s="109"/>
      <c r="J300" s="24"/>
    </row>
    <row r="301" spans="1:10" s="1" customFormat="1" ht="15.9" customHeight="1">
      <c r="A301" s="40"/>
      <c r="B301" s="40"/>
      <c r="C301" s="374">
        <f>$I$146</f>
        <v>743.8125</v>
      </c>
      <c r="D301" s="87"/>
      <c r="E301" s="80"/>
      <c r="F301" s="32"/>
      <c r="G301" s="109"/>
      <c r="H301" s="109"/>
      <c r="I301" s="109"/>
      <c r="J301" s="24"/>
    </row>
    <row r="302" spans="1:10" s="1" customFormat="1" ht="15.9" customHeight="1">
      <c r="A302" s="109"/>
      <c r="B302" s="33"/>
      <c r="C302" s="363">
        <f>$J$146</f>
        <v>8</v>
      </c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C303" s="374">
        <f>$I$147</f>
        <v>2258</v>
      </c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C304" s="363">
        <f>$J$147</f>
        <v>8</v>
      </c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C306" s="89" t="s">
        <v>377</v>
      </c>
      <c r="D306" s="161"/>
      <c r="E306" s="109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328" t="s">
        <v>281</v>
      </c>
      <c r="D307" s="328"/>
      <c r="E307" s="328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542" t="s">
        <v>282</v>
      </c>
      <c r="D308" s="542"/>
      <c r="E308" s="542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74">
        <f>$I$148</f>
        <v>2408</v>
      </c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63">
        <f>$J$148+$J$149</f>
        <v>2</v>
      </c>
      <c r="D310" s="328"/>
      <c r="E310" s="328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D311" s="15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33"/>
      <c r="D314" s="162"/>
      <c r="E314" s="24"/>
      <c r="F314" s="109"/>
      <c r="G314" s="109"/>
      <c r="H314" s="109"/>
      <c r="I314" s="27"/>
      <c r="J314" s="99" t="str">
        <f>LEFT($J$111,13)&amp;"-03"</f>
        <v>FG-240-4P3L1R-03</v>
      </c>
    </row>
    <row r="315" spans="1:14" ht="12.75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30" customHeight="1">
      <c r="A316" s="17"/>
      <c r="B316" s="26"/>
      <c r="C316" s="26"/>
      <c r="D316" s="83"/>
      <c r="E316" s="25"/>
      <c r="F316" s="25"/>
      <c r="G316" s="25"/>
      <c r="H316" s="25"/>
      <c r="I316" s="179"/>
      <c r="J316" s="90" t="str">
        <f>$J$2</f>
        <v>HOMELIFE</v>
      </c>
    </row>
    <row r="317" spans="1:14" ht="24.9" customHeight="1">
      <c r="B317" s="197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197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s="1" customFormat="1" ht="15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  <c r="K320" s="4"/>
      <c r="L320" s="4"/>
      <c r="M320" s="4"/>
      <c r="N320" s="4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63"/>
      <c r="B323"/>
      <c r="C323"/>
      <c r="D323" s="81"/>
      <c r="E323"/>
      <c r="F323"/>
      <c r="G323"/>
      <c r="H323"/>
      <c r="I323" s="160"/>
      <c r="J323" s="116"/>
    </row>
    <row r="324" spans="1:10" s="1" customFormat="1" ht="15" customHeight="1">
      <c r="A324" s="17"/>
      <c r="B324" s="72"/>
      <c r="C324" s="56"/>
      <c r="D324" s="30"/>
      <c r="E324" s="29"/>
      <c r="F324" s="160"/>
      <c r="G324" s="160"/>
      <c r="H324" s="160"/>
      <c r="I324" s="31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198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198"/>
      <c r="I331" s="161"/>
      <c r="J331" s="109"/>
    </row>
    <row r="332" spans="1:10" s="1" customFormat="1" ht="15" customHeight="1">
      <c r="A332" s="64" t="str">
        <f>A18</f>
        <v>240-4 Panel (3L1R)</v>
      </c>
      <c r="B332" s="92"/>
      <c r="C332" s="161"/>
      <c r="D332" s="161"/>
      <c r="E332" s="109"/>
      <c r="F332" s="198"/>
      <c r="G332" s="198"/>
      <c r="H332" s="198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92"/>
      <c r="C333" s="161"/>
      <c r="D333" s="161"/>
      <c r="E333" s="109"/>
      <c r="F333" s="198"/>
      <c r="G333" s="198"/>
      <c r="H333" s="198"/>
      <c r="I333" s="109"/>
      <c r="J333" s="109"/>
    </row>
    <row r="334" spans="1:10" s="1" customFormat="1" ht="15.9" customHeight="1">
      <c r="A334" s="109"/>
      <c r="B334" s="45"/>
      <c r="C334" s="42"/>
      <c r="D334" s="161"/>
      <c r="E334" s="109"/>
      <c r="F334" s="507"/>
      <c r="G334" s="507"/>
      <c r="H334" s="198"/>
      <c r="I334" s="109"/>
      <c r="J334" s="109"/>
    </row>
    <row r="335" spans="1:10" s="1" customFormat="1" ht="15.9" customHeight="1">
      <c r="A335" s="39"/>
      <c r="B335" s="109"/>
      <c r="C335" s="161"/>
      <c r="D335" s="161"/>
      <c r="E335" s="109"/>
      <c r="F335" s="37"/>
      <c r="G335" s="38"/>
      <c r="H335" s="109"/>
      <c r="I335" s="109"/>
      <c r="J335" s="109"/>
    </row>
    <row r="336" spans="1:10" s="1" customFormat="1" ht="15.9" customHeight="1">
      <c r="A336" s="44"/>
      <c r="C336" s="43"/>
      <c r="D336" s="161"/>
      <c r="E336" s="109"/>
      <c r="F336" s="109"/>
      <c r="G336" s="109"/>
      <c r="H336" s="109"/>
      <c r="I336" s="44"/>
      <c r="J336" s="119"/>
    </row>
    <row r="337" spans="1:10" s="1" customFormat="1" ht="15.9" customHeight="1">
      <c r="A337" s="40"/>
      <c r="C337" s="44"/>
      <c r="D337" s="84"/>
      <c r="E337" s="44"/>
      <c r="F337" s="44"/>
      <c r="G337" s="44"/>
      <c r="H337" s="44"/>
      <c r="I337" s="32"/>
      <c r="J337" s="40"/>
    </row>
    <row r="338" spans="1:10" s="1" customFormat="1" ht="15.9" customHeight="1">
      <c r="A338" s="109"/>
      <c r="C338" s="161"/>
      <c r="D338" s="85"/>
      <c r="E338" s="40"/>
      <c r="F338" s="32"/>
      <c r="G338" s="40"/>
      <c r="H338" s="32"/>
      <c r="I338" s="24"/>
      <c r="J338" s="24"/>
    </row>
    <row r="339" spans="1:10" s="1" customFormat="1" ht="15.9" customHeight="1">
      <c r="A339" s="109"/>
      <c r="C339" s="163"/>
      <c r="D339" s="161"/>
      <c r="E339" s="109"/>
      <c r="F339" s="161"/>
      <c r="G339" s="109"/>
      <c r="H339" s="109"/>
      <c r="I339" s="24"/>
      <c r="J339" s="24"/>
    </row>
    <row r="340" spans="1:10" s="1" customFormat="1" ht="15.9" customHeight="1">
      <c r="A340" s="109"/>
      <c r="B340" s="33"/>
      <c r="C340" s="161"/>
      <c r="D340" s="161"/>
      <c r="E340" s="109"/>
      <c r="F340" s="161"/>
      <c r="G340" s="109"/>
      <c r="H340" s="109"/>
      <c r="I340" s="162"/>
      <c r="J340" s="162"/>
    </row>
    <row r="341" spans="1:10" s="1" customFormat="1" ht="15.9" customHeight="1">
      <c r="A341" s="109"/>
      <c r="B341" s="33"/>
      <c r="C341" s="44"/>
      <c r="D341" s="161"/>
      <c r="E341" s="109"/>
      <c r="F341" s="161"/>
      <c r="G341" s="109"/>
      <c r="H341" s="162"/>
      <c r="I341" s="161"/>
      <c r="J341" s="161"/>
    </row>
    <row r="342" spans="1:10" s="1" customFormat="1" ht="15.9" customHeight="1">
      <c r="A342" s="109"/>
      <c r="B342" s="33"/>
      <c r="C342" s="42"/>
      <c r="D342" s="161"/>
      <c r="E342" s="109"/>
      <c r="F342" s="161"/>
      <c r="G342" s="109"/>
      <c r="H342" s="161"/>
      <c r="I342" s="161"/>
      <c r="J342" s="161"/>
    </row>
    <row r="343" spans="1:10" s="1" customFormat="1" ht="15.9" customHeight="1">
      <c r="A343" s="109"/>
      <c r="B343" s="33"/>
      <c r="C343" s="163"/>
      <c r="D343" s="161"/>
      <c r="E343" s="109"/>
      <c r="F343" s="161"/>
      <c r="G343" s="109"/>
      <c r="H343" s="161"/>
      <c r="I343" s="109"/>
      <c r="J343" s="24"/>
    </row>
    <row r="344" spans="1:10" s="1" customFormat="1" ht="15.9" customHeight="1">
      <c r="A344" s="109"/>
      <c r="B344" s="33"/>
      <c r="C344" s="161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44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3"/>
      <c r="D350" s="161"/>
      <c r="E350" s="109"/>
      <c r="F350" s="161"/>
      <c r="G350" s="109"/>
      <c r="H350" s="109"/>
      <c r="I350" s="109"/>
      <c r="J350" s="24"/>
    </row>
    <row r="351" spans="1:10" s="1" customFormat="1" ht="15.9" customHeight="1">
      <c r="A351" s="109"/>
      <c r="B351" s="33"/>
      <c r="C351" s="161"/>
      <c r="D351" s="161"/>
      <c r="E351" s="109"/>
      <c r="F351" s="161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1" customFormat="1" ht="15" customHeight="1">
      <c r="A353" s="109"/>
      <c r="B353" s="33"/>
      <c r="C353" s="33"/>
      <c r="D353" s="161"/>
      <c r="E353" s="109"/>
      <c r="F353" s="109"/>
      <c r="G353" s="109"/>
      <c r="H353" s="107"/>
      <c r="I353" s="24"/>
      <c r="J353" s="24"/>
    </row>
    <row r="354" spans="1:10" s="23" customFormat="1" ht="15.9" customHeight="1">
      <c r="A354" s="109"/>
      <c r="B354" s="33"/>
      <c r="C354" s="33"/>
      <c r="D354" s="161"/>
      <c r="E354" s="109"/>
      <c r="F354" s="109"/>
      <c r="G354" s="109"/>
      <c r="H354" s="109"/>
      <c r="I354" s="109"/>
      <c r="J354" s="109"/>
    </row>
    <row r="355" spans="1:10" s="1" customFormat="1" ht="15.9" customHeight="1">
      <c r="A355" s="44"/>
      <c r="B355" s="33"/>
      <c r="C355" s="33"/>
      <c r="D355" s="161"/>
      <c r="E355" s="109"/>
      <c r="F355" s="109"/>
      <c r="G355" s="109"/>
      <c r="H355" s="109"/>
      <c r="I355" s="44"/>
      <c r="J355" s="119"/>
    </row>
    <row r="356" spans="1:10" s="1" customFormat="1" ht="15.9" customHeight="1">
      <c r="A356" s="40"/>
      <c r="B356" s="44"/>
      <c r="C356" s="44"/>
      <c r="D356" s="84"/>
      <c r="E356" s="44"/>
      <c r="F356" s="44"/>
      <c r="G356" s="44"/>
      <c r="H356" s="44"/>
      <c r="I356" s="32"/>
      <c r="J356" s="40"/>
    </row>
    <row r="357" spans="1:10" s="1" customFormat="1" ht="15.9" customHeight="1">
      <c r="A357" s="27"/>
      <c r="B357" s="40"/>
      <c r="C357" s="44"/>
      <c r="D357" s="85"/>
      <c r="E357" s="40"/>
      <c r="F357" s="32"/>
      <c r="G357" s="40"/>
      <c r="H357" s="32"/>
      <c r="I357" s="24"/>
      <c r="J357" s="24"/>
    </row>
    <row r="358" spans="1:10" s="1" customFormat="1" ht="15.9" customHeight="1">
      <c r="A358" s="27"/>
      <c r="B358" s="33"/>
      <c r="C358" s="42"/>
      <c r="D358" s="161"/>
      <c r="E358" s="109"/>
      <c r="F358" s="109"/>
      <c r="G358" s="109"/>
      <c r="H358" s="42"/>
      <c r="I358" s="163"/>
      <c r="J358" s="163"/>
    </row>
    <row r="359" spans="1:10" s="1" customFormat="1" ht="15.9" customHeight="1">
      <c r="A359" s="27"/>
      <c r="B359" s="33"/>
      <c r="C359" s="163"/>
      <c r="D359" s="161"/>
      <c r="E359" s="109"/>
      <c r="F359" s="109"/>
      <c r="G359" s="109"/>
      <c r="H359" s="163"/>
      <c r="I359" s="161"/>
      <c r="J359" s="161"/>
    </row>
    <row r="360" spans="1:10" s="1" customFormat="1" ht="15.9" customHeight="1">
      <c r="A360" s="27"/>
      <c r="B360" s="33"/>
      <c r="C360" s="161"/>
      <c r="D360" s="161"/>
      <c r="E360" s="109"/>
      <c r="F360" s="109"/>
      <c r="G360" s="109"/>
      <c r="H360" s="161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46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161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D372" s="161"/>
      <c r="E372" s="109"/>
      <c r="F372" s="109"/>
      <c r="G372" s="33"/>
      <c r="H372" s="33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42"/>
      <c r="I376" s="163"/>
      <c r="J376" s="163"/>
    </row>
    <row r="377" spans="1:10" s="1" customFormat="1" ht="15.9" customHeight="1">
      <c r="A377" s="27"/>
      <c r="B377" s="33"/>
      <c r="C377" s="47"/>
      <c r="D377" s="161"/>
      <c r="E377" s="109"/>
      <c r="F377" s="109"/>
      <c r="G377" s="109"/>
      <c r="H377" s="163"/>
      <c r="I377" s="161"/>
      <c r="J377" s="161"/>
    </row>
    <row r="378" spans="1:10" s="1" customFormat="1" ht="15.9" customHeight="1">
      <c r="A378" s="27"/>
      <c r="B378" s="33"/>
      <c r="C378" s="46"/>
      <c r="D378" s="161"/>
      <c r="E378" s="109"/>
      <c r="F378" s="109"/>
      <c r="G378" s="109"/>
      <c r="H378" s="161"/>
      <c r="I378" s="24"/>
      <c r="J378" s="24"/>
    </row>
    <row r="379" spans="1:10" s="1" customFormat="1" ht="15.9" customHeight="1">
      <c r="A379" s="27"/>
      <c r="B379" s="33"/>
      <c r="C379" s="161"/>
      <c r="D379" s="161"/>
      <c r="E379" s="109"/>
      <c r="F379" s="109"/>
      <c r="G379" s="109"/>
      <c r="H379" s="42"/>
      <c r="I379" s="163"/>
      <c r="J379" s="163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3"/>
      <c r="I380" s="161"/>
      <c r="J380" s="161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1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64"/>
      <c r="J388" s="16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4"/>
      <c r="I389" s="165"/>
      <c r="J389" s="165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5"/>
      <c r="I390" s="161"/>
      <c r="J390" s="161"/>
    </row>
    <row r="391" spans="1:10" s="1" customFormat="1" ht="15.9" customHeight="1">
      <c r="A391" s="27"/>
      <c r="B391" s="33"/>
      <c r="C391" s="47"/>
      <c r="D391" s="161"/>
      <c r="E391" s="109"/>
      <c r="F391" s="109"/>
      <c r="G391" s="109"/>
      <c r="H391" s="161"/>
      <c r="I391" s="24"/>
      <c r="J391" s="24"/>
    </row>
    <row r="392" spans="1:10" s="1" customFormat="1" ht="15.9" customHeight="1">
      <c r="A392" s="27"/>
      <c r="B392" s="33"/>
      <c r="C392" s="46"/>
      <c r="D392" s="161"/>
      <c r="E392" s="109"/>
      <c r="F392" s="109"/>
      <c r="G392" s="109"/>
      <c r="H392" s="109"/>
      <c r="I392" s="109"/>
      <c r="J392" s="24"/>
    </row>
    <row r="393" spans="1:10" s="1" customFormat="1" ht="15.9" customHeight="1">
      <c r="A393" s="27"/>
      <c r="B393" s="33"/>
      <c r="C393" s="161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23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1" customFormat="1" ht="15.9" customHeight="1">
      <c r="A404" s="44"/>
      <c r="B404" s="33"/>
      <c r="C404" s="33"/>
      <c r="D404" s="161"/>
      <c r="E404" s="109"/>
      <c r="F404" s="109"/>
      <c r="G404" s="109"/>
      <c r="H404" s="109"/>
      <c r="I404" s="44"/>
      <c r="J404" s="119"/>
    </row>
    <row r="405" spans="1:10" s="1" customFormat="1" ht="15.9" customHeight="1">
      <c r="A405" s="44"/>
      <c r="B405" s="44"/>
      <c r="C405" s="44"/>
      <c r="D405" s="84"/>
      <c r="E405" s="44"/>
      <c r="F405" s="44"/>
      <c r="G405" s="44"/>
      <c r="H405" s="44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109"/>
      <c r="B419" s="44"/>
      <c r="C419" s="44"/>
      <c r="D419" s="84"/>
      <c r="E419" s="44"/>
      <c r="F419" s="44"/>
      <c r="G419" s="44"/>
      <c r="H419" s="44"/>
      <c r="I419" s="24"/>
      <c r="J419" s="24"/>
      <c r="K419" s="71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LEFT($J$111,13)&amp;"-04"</f>
        <v>FG-240-4P3L1R-04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A423" s="109"/>
      <c r="B423" s="33"/>
      <c r="C423" s="33"/>
      <c r="D423" s="161"/>
      <c r="E423" s="109"/>
      <c r="F423" s="109"/>
      <c r="G423" s="109"/>
      <c r="H423" s="109"/>
      <c r="I423" s="109"/>
      <c r="J423" s="90" t="str">
        <f>$J$2</f>
        <v>HOMELIFE</v>
      </c>
      <c r="K423" s="7"/>
      <c r="L423" s="7"/>
      <c r="M423" s="2"/>
      <c r="N423" s="2"/>
    </row>
    <row r="424" spans="1:14" ht="24.9" customHeight="1">
      <c r="A424" s="109"/>
      <c r="B424" s="33"/>
      <c r="C424" s="33"/>
      <c r="D424" s="161"/>
      <c r="E424" s="109"/>
      <c r="F424" s="109"/>
      <c r="G424" s="109"/>
      <c r="H424" s="109"/>
      <c r="I424" s="109"/>
      <c r="J424" s="91" t="str">
        <f>$J$3</f>
        <v>Fabricators Guide</v>
      </c>
      <c r="K424" s="7"/>
      <c r="L424" s="7"/>
      <c r="M424" s="2"/>
      <c r="N424" s="2"/>
    </row>
    <row r="425" spans="1:14" ht="24.9" customHeight="1">
      <c r="B425" s="197"/>
      <c r="C425" s="28"/>
      <c r="D425" s="28"/>
      <c r="E425" s="28"/>
      <c r="F425" s="28"/>
      <c r="G425" s="28"/>
      <c r="H425" s="28"/>
      <c r="I425" s="28"/>
      <c r="J425" s="91" t="str">
        <f>$J$4</f>
        <v xml:space="preserve">240 Series Bi Fold Door </v>
      </c>
      <c r="K425" s="48"/>
      <c r="L425" s="48"/>
      <c r="M425" s="4"/>
      <c r="N425" s="4"/>
    </row>
    <row r="426" spans="1:14" s="1" customFormat="1" ht="15" customHeight="1" thickBot="1">
      <c r="A426" s="78"/>
      <c r="B426" s="8"/>
      <c r="C426" s="28"/>
      <c r="D426" s="28"/>
      <c r="E426" s="28"/>
      <c r="F426" s="28"/>
      <c r="G426" s="28"/>
      <c r="H426" s="2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  <c r="K427" s="4"/>
      <c r="L427" s="4"/>
      <c r="M427" s="4"/>
      <c r="N427" s="4"/>
    </row>
    <row r="428" spans="1:14" s="1" customFormat="1" ht="15" customHeight="1">
      <c r="A428" s="193"/>
      <c r="B428" s="194"/>
      <c r="C428" s="194"/>
      <c r="D428" s="194"/>
      <c r="E428" s="194"/>
      <c r="F428" s="194"/>
      <c r="G428" s="194"/>
      <c r="H428" s="194"/>
      <c r="I428" s="193"/>
      <c r="K428" s="56"/>
      <c r="L428" s="56"/>
      <c r="M428" s="56"/>
      <c r="N428" s="56"/>
    </row>
    <row r="429" spans="1:14" s="1" customFormat="1" ht="15" customHeight="1">
      <c r="A429" s="45"/>
      <c r="B429" s="193"/>
      <c r="C429" s="193"/>
      <c r="D429" s="193"/>
      <c r="E429" s="193"/>
      <c r="F429" s="193"/>
      <c r="G429" s="193"/>
      <c r="H429" s="193"/>
      <c r="I429" s="44"/>
      <c r="J429" s="119"/>
    </row>
    <row r="430" spans="1:14" s="1" customFormat="1" ht="15" customHeight="1">
      <c r="A430" s="109"/>
      <c r="B430" s="39"/>
      <c r="C430" s="33"/>
      <c r="D430" s="161"/>
      <c r="E430" s="35"/>
      <c r="F430" s="39"/>
      <c r="G430" s="193"/>
      <c r="H430" s="44"/>
      <c r="I430" s="44"/>
      <c r="J430" s="119"/>
    </row>
    <row r="431" spans="1:14" s="1" customFormat="1" ht="15" customHeight="1">
      <c r="A431" s="109"/>
      <c r="B431" s="33"/>
      <c r="C431" s="33"/>
      <c r="D431" s="161"/>
      <c r="E431" s="35"/>
      <c r="F431" s="161"/>
      <c r="G431" s="193"/>
      <c r="H431" s="44"/>
      <c r="I431" s="44"/>
      <c r="J431" s="119"/>
    </row>
    <row r="432" spans="1:14" s="1" customFormat="1" ht="15" customHeight="1">
      <c r="A432" s="109"/>
      <c r="B432" s="56"/>
      <c r="C432" s="56"/>
      <c r="D432" s="30"/>
      <c r="E432" s="29"/>
      <c r="F432" s="30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109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3"/>
      <c r="H434" s="44"/>
      <c r="I434" s="44"/>
      <c r="J434" s="119"/>
    </row>
    <row r="435" spans="1:10" s="1" customFormat="1" ht="15" customHeight="1">
      <c r="A435" s="109"/>
      <c r="B435" s="33"/>
      <c r="C435" s="161"/>
      <c r="D435" s="161"/>
      <c r="E435" s="35"/>
      <c r="F435" s="161"/>
      <c r="H435" s="44"/>
      <c r="I435" s="44"/>
      <c r="J435" s="119"/>
    </row>
    <row r="436" spans="1:10" s="1" customFormat="1" ht="15" customHeight="1">
      <c r="A436" s="39"/>
      <c r="B436" s="33"/>
      <c r="C436" s="42"/>
      <c r="D436" s="161"/>
      <c r="E436" s="109"/>
      <c r="F436" s="69"/>
      <c r="H436" s="44"/>
      <c r="I436" s="44"/>
      <c r="J436" s="119"/>
    </row>
    <row r="437" spans="1:10" s="1" customFormat="1" ht="15" customHeight="1">
      <c r="A437" s="92"/>
      <c r="B437" s="39"/>
      <c r="C437" s="163"/>
      <c r="D437" s="161"/>
      <c r="E437" s="109"/>
      <c r="F437" s="68"/>
      <c r="H437" s="44"/>
      <c r="I437" s="44"/>
      <c r="J437" s="119"/>
    </row>
    <row r="438" spans="1:10" s="1" customFormat="1" ht="15" customHeight="1">
      <c r="B438" s="92"/>
      <c r="C438" s="161"/>
      <c r="D438" s="161"/>
      <c r="E438" s="109"/>
      <c r="F438" s="198"/>
      <c r="H438" s="44"/>
      <c r="I438" s="44"/>
      <c r="J438" s="119"/>
    </row>
    <row r="439" spans="1:10" s="1" customFormat="1" ht="15" customHeight="1">
      <c r="A439" s="64" t="str">
        <f>A18</f>
        <v>240-4 Panel (3L1R)</v>
      </c>
      <c r="B439" s="92"/>
      <c r="C439" s="161"/>
      <c r="D439" s="161"/>
      <c r="E439" s="109"/>
      <c r="F439" s="198"/>
      <c r="H439" s="44"/>
      <c r="I439" s="44"/>
      <c r="J439" s="119"/>
    </row>
    <row r="440" spans="1:10" s="1" customFormat="1" ht="15.9" customHeight="1">
      <c r="A440" s="76" t="str">
        <f>A19</f>
        <v xml:space="preserve">Outside Bi Fold Door </v>
      </c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44"/>
      <c r="B442" s="38"/>
      <c r="C442" s="43"/>
      <c r="D442" s="161"/>
      <c r="E442" s="109"/>
      <c r="F442" s="109"/>
      <c r="H442" s="44"/>
      <c r="I442" s="44"/>
      <c r="J442" s="119"/>
    </row>
    <row r="443" spans="1:10" s="1" customFormat="1" ht="15.9" customHeight="1">
      <c r="A443" s="40"/>
      <c r="C443" s="44"/>
      <c r="D443" s="84"/>
      <c r="E443" s="44"/>
      <c r="F443" s="44"/>
      <c r="H443" s="44"/>
      <c r="I443" s="44"/>
      <c r="J443" s="119"/>
    </row>
    <row r="444" spans="1:10" s="1" customFormat="1" ht="35.1" customHeight="1">
      <c r="A444" s="109"/>
      <c r="C444" s="161"/>
      <c r="D444" s="85"/>
      <c r="E444" s="40"/>
      <c r="F444" s="32"/>
      <c r="H444" s="44"/>
      <c r="I444" s="24"/>
      <c r="J444" s="24"/>
    </row>
    <row r="445" spans="1:10" ht="15.6">
      <c r="B445" s="64"/>
      <c r="C445" s="163"/>
      <c r="D445" s="161"/>
      <c r="E445" s="109"/>
      <c r="F445" s="161"/>
      <c r="G445" s="109"/>
      <c r="H445" s="109"/>
    </row>
    <row r="450" spans="1:10" s="1" customFormat="1" ht="15.9" customHeight="1">
      <c r="A450" s="109"/>
      <c r="B450"/>
      <c r="C450"/>
      <c r="D450" s="81"/>
      <c r="E450"/>
      <c r="F450"/>
      <c r="G450"/>
      <c r="H450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44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1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163"/>
      <c r="D456" s="161"/>
      <c r="E456" s="109"/>
      <c r="F456" s="161"/>
      <c r="G456" s="109"/>
      <c r="H456" s="109"/>
      <c r="I456" s="109"/>
      <c r="J456" s="24"/>
    </row>
    <row r="457" spans="1:10" s="1" customFormat="1" ht="15.9" customHeight="1">
      <c r="A457" s="109"/>
      <c r="B457" s="33"/>
      <c r="C457" s="161"/>
      <c r="D457" s="161"/>
      <c r="E457" s="109"/>
      <c r="F457" s="161"/>
      <c r="G457" s="109"/>
      <c r="H457" s="109"/>
      <c r="I457" s="24"/>
      <c r="J457" s="24"/>
    </row>
    <row r="458" spans="1:10" s="1" customFormat="1" ht="15.9" customHeight="1">
      <c r="A458" s="109"/>
      <c r="B458" s="33"/>
      <c r="C458" s="33"/>
      <c r="D458" s="161"/>
      <c r="E458" s="109"/>
      <c r="F458" s="109"/>
      <c r="G458" s="109"/>
      <c r="H458" s="109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7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" customHeight="1">
      <c r="A476" s="109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23" customFormat="1" ht="15.9" customHeight="1">
      <c r="A477" s="109"/>
      <c r="B477" s="33"/>
      <c r="C477" s="33"/>
      <c r="D477" s="161"/>
      <c r="E477" s="109"/>
      <c r="F477" s="109"/>
      <c r="G477" s="109"/>
      <c r="H477" s="109"/>
      <c r="I477" s="109"/>
      <c r="J477" s="109"/>
    </row>
    <row r="478" spans="1:10" s="1" customFormat="1" ht="15.9" customHeight="1">
      <c r="A478" s="44"/>
      <c r="B478" s="33"/>
      <c r="C478" s="33"/>
      <c r="D478" s="161"/>
      <c r="E478" s="109"/>
      <c r="F478" s="109"/>
      <c r="G478" s="109"/>
      <c r="H478" s="109"/>
      <c r="I478" s="44"/>
      <c r="J478" s="119"/>
    </row>
    <row r="479" spans="1:10" s="1" customFormat="1" ht="15.9" customHeight="1">
      <c r="A479" s="40"/>
      <c r="B479" s="44"/>
      <c r="C479" s="44"/>
      <c r="D479" s="84"/>
      <c r="E479" s="44"/>
      <c r="F479" s="44"/>
      <c r="G479" s="44"/>
      <c r="H479" s="44"/>
      <c r="I479" s="32"/>
      <c r="J479" s="40"/>
    </row>
    <row r="480" spans="1:10" s="1" customFormat="1" ht="15.9" customHeight="1">
      <c r="A480" s="27"/>
      <c r="B480" s="40"/>
      <c r="C480" s="44"/>
      <c r="D480" s="85"/>
      <c r="E480" s="40"/>
      <c r="F480" s="32"/>
      <c r="G480" s="40"/>
      <c r="H480" s="32"/>
      <c r="I480" s="24"/>
      <c r="J480" s="24"/>
    </row>
    <row r="481" spans="1:10" s="1" customFormat="1" ht="15.9" customHeight="1">
      <c r="A481" s="27"/>
      <c r="B481" s="33"/>
      <c r="C481" s="42"/>
      <c r="D481" s="161"/>
      <c r="E481" s="109"/>
      <c r="F481" s="109"/>
      <c r="G481" s="109"/>
      <c r="H481" s="42"/>
      <c r="I481" s="67"/>
      <c r="J481" s="165"/>
    </row>
    <row r="482" spans="1:10" s="1" customFormat="1" ht="15.9" customHeight="1">
      <c r="A482" s="27"/>
      <c r="B482" s="33"/>
      <c r="C482" s="163"/>
      <c r="D482" s="161"/>
      <c r="E482" s="109"/>
      <c r="F482" s="109"/>
      <c r="G482" s="109"/>
      <c r="H482" s="67"/>
      <c r="I482" s="38"/>
      <c r="J482" s="109"/>
    </row>
    <row r="483" spans="1:10" s="1" customFormat="1" ht="15.9" customHeight="1">
      <c r="A483" s="27"/>
      <c r="B483" s="33"/>
      <c r="C483" s="161"/>
      <c r="D483" s="161"/>
      <c r="E483" s="109"/>
      <c r="F483" s="109"/>
      <c r="G483" s="109"/>
      <c r="H483" s="38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46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161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D495" s="161"/>
      <c r="E495" s="109"/>
      <c r="F495" s="109"/>
      <c r="G495" s="33"/>
      <c r="H495" s="33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42"/>
      <c r="I499" s="67"/>
      <c r="J499" s="165"/>
    </row>
    <row r="500" spans="1:10" s="1" customFormat="1" ht="15.9" customHeight="1">
      <c r="A500" s="27"/>
      <c r="B500" s="33"/>
      <c r="C500" s="47"/>
      <c r="D500" s="161"/>
      <c r="E500" s="109"/>
      <c r="F500" s="109"/>
      <c r="G500" s="109"/>
      <c r="H500" s="67"/>
      <c r="I500" s="38"/>
      <c r="J500" s="109"/>
    </row>
    <row r="501" spans="1:10" s="1" customFormat="1" ht="15.9" customHeight="1">
      <c r="A501" s="27"/>
      <c r="B501" s="33"/>
      <c r="C501" s="46"/>
      <c r="D501" s="161"/>
      <c r="E501" s="109"/>
      <c r="F501" s="109"/>
      <c r="G501" s="109"/>
      <c r="H501" s="38"/>
      <c r="I501" s="24"/>
      <c r="J501" s="24"/>
    </row>
    <row r="502" spans="1:10" s="1" customFormat="1" ht="15.9" customHeight="1">
      <c r="A502" s="27"/>
      <c r="B502" s="33"/>
      <c r="C502" s="161"/>
      <c r="D502" s="161"/>
      <c r="E502" s="109"/>
      <c r="F502" s="109"/>
      <c r="G502" s="109"/>
      <c r="H502" s="42"/>
      <c r="I502" s="67"/>
      <c r="J502" s="165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67"/>
      <c r="I503" s="38"/>
      <c r="J503" s="109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38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24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24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109"/>
      <c r="J512" s="24"/>
    </row>
    <row r="513" spans="1:22" s="1" customFormat="1" ht="15.9" customHeight="1">
      <c r="A513" s="27"/>
      <c r="B513" s="33"/>
      <c r="C513" s="33"/>
      <c r="D513" s="161"/>
      <c r="E513" s="109"/>
      <c r="F513" s="109"/>
      <c r="G513" s="109"/>
      <c r="H513" s="109"/>
      <c r="I513" s="43"/>
      <c r="J513" s="107"/>
    </row>
    <row r="514" spans="1:22" s="1" customFormat="1" ht="15.9" customHeight="1">
      <c r="A514" s="44"/>
      <c r="B514" s="44"/>
      <c r="C514" s="44"/>
      <c r="D514" s="84"/>
      <c r="E514" s="44"/>
      <c r="F514" s="44"/>
      <c r="G514" s="44"/>
      <c r="H514" s="44"/>
      <c r="I514" s="44"/>
      <c r="J514" s="119"/>
    </row>
    <row r="515" spans="1:22" s="1" customFormat="1" ht="15.9" customHeight="1">
      <c r="A515" s="44"/>
      <c r="B515" s="44"/>
      <c r="C515" s="44"/>
      <c r="D515" s="84"/>
      <c r="E515" s="44"/>
      <c r="F515" s="44"/>
      <c r="G515" s="44"/>
      <c r="H515" s="44"/>
      <c r="I515" s="44"/>
      <c r="J515" s="119"/>
    </row>
    <row r="516" spans="1:22" s="1" customFormat="1" ht="15.9" customHeight="1">
      <c r="B516" s="44"/>
      <c r="C516" s="44"/>
      <c r="D516" s="84"/>
      <c r="E516" s="44"/>
      <c r="F516" s="44"/>
      <c r="G516" s="44"/>
      <c r="H516" s="44"/>
    </row>
    <row r="517" spans="1:22" s="1" customFormat="1" ht="15.9" customHeight="1" thickBot="1"/>
    <row r="518" spans="1:22" s="1" customFormat="1" ht="24.9" customHeight="1" thickBot="1">
      <c r="A518" s="502" t="s">
        <v>401</v>
      </c>
      <c r="B518" s="503"/>
      <c r="C518" s="503"/>
      <c r="D518" s="503"/>
      <c r="E518" s="503"/>
      <c r="F518" s="503"/>
      <c r="G518" s="503"/>
      <c r="H518" s="503"/>
      <c r="I518" s="503"/>
      <c r="J518" s="504"/>
    </row>
    <row r="519" spans="1:22" s="1" customFormat="1" ht="35.1" customHeight="1" thickBot="1">
      <c r="A519" s="102" t="s">
        <v>2</v>
      </c>
      <c r="B519" s="103" t="s">
        <v>3</v>
      </c>
      <c r="C519" s="103" t="s">
        <v>3</v>
      </c>
      <c r="D519" s="104" t="s">
        <v>35</v>
      </c>
      <c r="E519" s="103" t="s">
        <v>5</v>
      </c>
      <c r="F519" s="339" t="s">
        <v>27</v>
      </c>
      <c r="G519" s="305"/>
      <c r="H519" s="104" t="s">
        <v>27</v>
      </c>
      <c r="I519" s="104" t="s">
        <v>26</v>
      </c>
      <c r="J519" s="115" t="s">
        <v>6</v>
      </c>
      <c r="N519" s="249" t="s">
        <v>3</v>
      </c>
      <c r="O519" s="249" t="s">
        <v>3</v>
      </c>
    </row>
    <row r="520" spans="1:22" s="1" customFormat="1" ht="15.9" customHeight="1">
      <c r="A520" s="123">
        <f>IF(C520="","",1)</f>
        <v>1</v>
      </c>
      <c r="B520" s="121" t="str">
        <f>IF($D$127=5,N520,IF($D$127=6,N521,IF($D$127=8,N522,IF($D$127=10,N523,IF($D$127=12,N524,IF($D$127=14,N525,IF($D$127=18,N526,IF($D$127=20,N527,IF($D$127=22,N528,)))))))))</f>
        <v>กระจก 6 mm (สูง) (กว้าง)</v>
      </c>
      <c r="C520" s="121" t="str">
        <f>IF($D$127=5,O520,IF($D$127=6,O521,IF($D$127=8,O522,IF($D$127=10,O523,IF($D$127=12,O524,IF($D$127=14,O525,IF($D$127=18,O526,IF($D$127=20,O527,IF($D$127=22,O528,)))))))))</f>
        <v>GLASS thk.6 mm (H) (W)</v>
      </c>
      <c r="D520" s="124">
        <f>$J$123-215</f>
        <v>2285</v>
      </c>
      <c r="E520" s="123" t="s">
        <v>11</v>
      </c>
      <c r="F520" s="527" t="s">
        <v>271</v>
      </c>
      <c r="G520" s="528"/>
      <c r="H520" s="123" t="s">
        <v>403</v>
      </c>
      <c r="I520" s="124">
        <f>(($J$126-185-(113.25*3))/4)-13</f>
        <v>730.8125</v>
      </c>
      <c r="J520" s="151">
        <f>$J$120*4</f>
        <v>4</v>
      </c>
      <c r="M520" s="1">
        <f>ROW()</f>
        <v>520</v>
      </c>
      <c r="N520" s="19" t="s">
        <v>194</v>
      </c>
      <c r="O520" s="19" t="s">
        <v>195</v>
      </c>
    </row>
    <row r="521" spans="1:22" s="1" customFormat="1" ht="15.9" customHeight="1">
      <c r="A521" s="346"/>
      <c r="B521" s="295"/>
      <c r="C521" s="295"/>
      <c r="D521" s="296"/>
      <c r="E521" s="238"/>
      <c r="F521" s="251"/>
      <c r="G521" s="297"/>
      <c r="H521" s="238"/>
      <c r="I521" s="298"/>
      <c r="J521" s="299"/>
      <c r="M521" s="1">
        <f>ROW()</f>
        <v>521</v>
      </c>
      <c r="N521" s="19" t="s">
        <v>53</v>
      </c>
      <c r="O521" s="19" t="s">
        <v>54</v>
      </c>
    </row>
    <row r="522" spans="1:22" s="1" customFormat="1" ht="15.9" customHeight="1">
      <c r="A522" s="346"/>
      <c r="B522" s="295"/>
      <c r="C522" s="295"/>
      <c r="D522" s="296"/>
      <c r="E522" s="238"/>
      <c r="F522" s="251"/>
      <c r="G522" s="297"/>
      <c r="H522" s="238"/>
      <c r="I522" s="298"/>
      <c r="J522" s="299"/>
      <c r="M522" s="1">
        <f>ROW()</f>
        <v>522</v>
      </c>
      <c r="N522" s="19" t="s">
        <v>257</v>
      </c>
      <c r="O522" s="19" t="s">
        <v>258</v>
      </c>
    </row>
    <row r="523" spans="1:22" s="1" customFormat="1" ht="15.9" customHeight="1">
      <c r="A523" s="129" t="str">
        <f>IF(B523="","",+#REF!+1)</f>
        <v/>
      </c>
      <c r="B523" s="127"/>
      <c r="C523" s="127"/>
      <c r="D523" s="128"/>
      <c r="E523" s="129"/>
      <c r="F523" s="155"/>
      <c r="G523" s="157"/>
      <c r="H523" s="129"/>
      <c r="I523" s="144"/>
      <c r="J523" s="130"/>
      <c r="M523" s="1">
        <f>ROW()</f>
        <v>523</v>
      </c>
      <c r="N523" s="19" t="s">
        <v>259</v>
      </c>
      <c r="O523" s="19" t="s">
        <v>265</v>
      </c>
    </row>
    <row r="524" spans="1:22" s="1" customFormat="1" ht="15.9" customHeight="1">
      <c r="A524" s="135" t="str">
        <f>IF(B524="","",+A523+1)</f>
        <v/>
      </c>
      <c r="B524" s="133"/>
      <c r="C524" s="133"/>
      <c r="D524" s="134"/>
      <c r="E524" s="135"/>
      <c r="F524" s="158"/>
      <c r="G524" s="159"/>
      <c r="H524" s="135"/>
      <c r="I524" s="145"/>
      <c r="J524" s="136"/>
      <c r="M524" s="1">
        <f>ROW()</f>
        <v>524</v>
      </c>
      <c r="N524" s="19" t="s">
        <v>260</v>
      </c>
      <c r="O524" s="19" t="s">
        <v>266</v>
      </c>
    </row>
    <row r="525" spans="1:22" s="1" customFormat="1" ht="15.9" customHeight="1">
      <c r="A525" s="17"/>
      <c r="B525" s="56"/>
      <c r="C525" s="56"/>
      <c r="D525" s="30"/>
      <c r="E525" s="17"/>
      <c r="F525" s="17"/>
      <c r="G525" s="17"/>
      <c r="H525" s="109"/>
      <c r="I525" s="109"/>
      <c r="J525" s="24"/>
      <c r="M525" s="1">
        <f>ROW()</f>
        <v>525</v>
      </c>
      <c r="N525" s="19" t="s">
        <v>261</v>
      </c>
      <c r="O525" s="19" t="s">
        <v>267</v>
      </c>
    </row>
    <row r="526" spans="1:22">
      <c r="J526" s="99" t="str">
        <f>LEFT($J$111,13)&amp;"-05"</f>
        <v>FG-240-4P3L1R-05</v>
      </c>
      <c r="M526" s="1">
        <f>ROW()</f>
        <v>526</v>
      </c>
      <c r="N526" s="19" t="s">
        <v>262</v>
      </c>
      <c r="O526" s="19" t="s">
        <v>268</v>
      </c>
      <c r="P526" s="1"/>
      <c r="Q526" s="1"/>
      <c r="R526" s="1"/>
      <c r="S526" s="1"/>
      <c r="T526" s="1"/>
      <c r="U526" s="1"/>
      <c r="V526" s="1"/>
    </row>
    <row r="527" spans="1:22">
      <c r="M527" s="1">
        <f>ROW()</f>
        <v>527</v>
      </c>
      <c r="N527" s="19" t="s">
        <v>263</v>
      </c>
      <c r="O527" s="19" t="s">
        <v>269</v>
      </c>
    </row>
    <row r="528" spans="1:22">
      <c r="M528" s="1">
        <f>ROW()</f>
        <v>528</v>
      </c>
      <c r="N528" s="19" t="s">
        <v>264</v>
      </c>
      <c r="O528" s="19" t="s">
        <v>270</v>
      </c>
    </row>
  </sheetData>
  <dataConsolidate function="product">
    <dataRefs count="1">
      <dataRef ref="O154:O162" sheet="240_2Panel(L)" r:id="rId1"/>
    </dataRefs>
  </dataConsolidate>
  <mergeCells count="45">
    <mergeCell ref="I156:J156"/>
    <mergeCell ref="I157:J157"/>
    <mergeCell ref="I158:J158"/>
    <mergeCell ref="D159:D160"/>
    <mergeCell ref="H159:H160"/>
    <mergeCell ref="A6:J6"/>
    <mergeCell ref="H120:I121"/>
    <mergeCell ref="J120:J121"/>
    <mergeCell ref="A117:J117"/>
    <mergeCell ref="H123:I124"/>
    <mergeCell ref="J123:J124"/>
    <mergeCell ref="D123:G123"/>
    <mergeCell ref="D121:G121"/>
    <mergeCell ref="D119:G119"/>
    <mergeCell ref="D129:G129"/>
    <mergeCell ref="A125:B125"/>
    <mergeCell ref="H126:I127"/>
    <mergeCell ref="J126:J127"/>
    <mergeCell ref="D127:G127"/>
    <mergeCell ref="A131:J131"/>
    <mergeCell ref="I154:J154"/>
    <mergeCell ref="A518:J518"/>
    <mergeCell ref="A427:J427"/>
    <mergeCell ref="A320:J320"/>
    <mergeCell ref="A213:J213"/>
    <mergeCell ref="F334:G334"/>
    <mergeCell ref="F330:G330"/>
    <mergeCell ref="F331:G331"/>
    <mergeCell ref="C308:E308"/>
    <mergeCell ref="A172:J172"/>
    <mergeCell ref="I159:J160"/>
    <mergeCell ref="I161:J161"/>
    <mergeCell ref="I168:J168"/>
    <mergeCell ref="I162:J165"/>
    <mergeCell ref="I155:J155"/>
    <mergeCell ref="F520:G520"/>
    <mergeCell ref="I166:J167"/>
    <mergeCell ref="D161:D162"/>
    <mergeCell ref="D163:D167"/>
    <mergeCell ref="D168:D169"/>
    <mergeCell ref="D170:D171"/>
    <mergeCell ref="H163:H167"/>
    <mergeCell ref="H161:H162"/>
    <mergeCell ref="H168:H169"/>
    <mergeCell ref="H170:H171"/>
  </mergeCells>
  <dataValidations count="4">
    <dataValidation type="list" allowBlank="1" showInputMessage="1" showErrorMessage="1" sqref="D127:G127">
      <formula1>$N$120:$N$128</formula1>
    </dataValidation>
    <dataValidation type="list" allowBlank="1" showInputMessage="1" showErrorMessage="1" sqref="C206">
      <formula1>$Z$174:$Z$192</formula1>
    </dataValidation>
    <dataValidation type="list" allowBlank="1" showInputMessage="1" showErrorMessage="1" sqref="D129:G129">
      <formula1>$O$120</formula1>
    </dataValidation>
    <dataValidation type="list" allowBlank="1" showInputMessage="1" showErrorMessage="1" sqref="D123:G123">
      <formula1>$P$119:$P$128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16383" man="1"/>
    <brk id="421" max="9" man="1"/>
  </rowBreaks>
  <drawing r:id="rId3"/>
  <legacy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theme="5" tint="-0.249977111117893"/>
  </sheetPr>
  <dimension ref="A1:Y528"/>
  <sheetViews>
    <sheetView showGridLines="0" view="pageBreakPreview" topLeftCell="A148" zoomScale="75" zoomScaleNormal="75" zoomScaleSheetLayoutView="75" workbookViewId="0">
      <selection activeCell="J128" sqref="J128"/>
    </sheetView>
  </sheetViews>
  <sheetFormatPr defaultRowHeight="14.4" outlineLevelRow="1" outlineLevelCol="1"/>
  <cols>
    <col min="1" max="1" width="7" customWidth="1"/>
    <col min="2" max="2" width="40.6640625" customWidth="1"/>
    <col min="3" max="3" width="61.33203125" customWidth="1"/>
    <col min="4" max="4" width="13.44140625" style="81" customWidth="1"/>
    <col min="5" max="5" width="12" hidden="1" customWidth="1" outlineLevel="1"/>
    <col min="6" max="6" width="20.6640625" customWidth="1" collapsed="1"/>
    <col min="7" max="7" width="7.5546875" customWidth="1"/>
    <col min="8" max="8" width="27.88671875" bestFit="1" customWidth="1"/>
    <col min="9" max="9" width="11.109375" bestFit="1" customWidth="1"/>
    <col min="10" max="10" width="11.6640625" style="112" customWidth="1"/>
    <col min="11" max="11" width="10.44140625" customWidth="1"/>
    <col min="12" max="12" width="10" bestFit="1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3.4414062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197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197"/>
      <c r="E3" s="197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140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>
      <c r="G45" s="10"/>
    </row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/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332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197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197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5.6">
      <c r="A118" s="12"/>
      <c r="C118" s="8"/>
      <c r="D118" s="15"/>
      <c r="E118" s="13"/>
      <c r="J118" s="199"/>
      <c r="K118" s="11"/>
      <c r="L118" s="56"/>
      <c r="M118" s="56"/>
      <c r="N118" s="56"/>
    </row>
    <row r="119" spans="1:16" s="1" customFormat="1" ht="15" customHeight="1">
      <c r="A119" s="12"/>
      <c r="C119" s="110" t="s">
        <v>635</v>
      </c>
      <c r="D119" s="552" t="s">
        <v>677</v>
      </c>
      <c r="E119" s="553"/>
      <c r="F119" s="553"/>
      <c r="G119" s="554"/>
      <c r="I119" s="16"/>
      <c r="J119" s="12"/>
      <c r="N119" s="243" t="s">
        <v>191</v>
      </c>
      <c r="O119" s="12" t="s">
        <v>227</v>
      </c>
      <c r="P119" s="247" t="s">
        <v>16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4">
        <v>5</v>
      </c>
      <c r="O120" s="12" t="s">
        <v>243</v>
      </c>
      <c r="P120" s="335" t="s">
        <v>389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6</v>
      </c>
      <c r="O121" s="12" t="s">
        <v>244</v>
      </c>
      <c r="P121" s="336" t="s">
        <v>390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8</v>
      </c>
      <c r="P122" s="336" t="s">
        <v>391</v>
      </c>
    </row>
    <row r="123" spans="1:16" s="1" customFormat="1" ht="15" customHeight="1">
      <c r="A123" s="12"/>
      <c r="C123" s="110" t="s">
        <v>629</v>
      </c>
      <c r="D123" s="524" t="s">
        <v>392</v>
      </c>
      <c r="E123" s="525"/>
      <c r="F123" s="525"/>
      <c r="G123" s="526"/>
      <c r="H123" s="519" t="s">
        <v>638</v>
      </c>
      <c r="I123" s="520"/>
      <c r="J123" s="517">
        <v>2385</v>
      </c>
      <c r="N123" s="245">
        <v>10</v>
      </c>
      <c r="P123" s="336" t="s">
        <v>392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12</v>
      </c>
      <c r="P124" s="335" t="s">
        <v>393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198"/>
      <c r="L125" s="77"/>
      <c r="N125" s="245">
        <v>14</v>
      </c>
      <c r="P125" s="335" t="s">
        <v>394</v>
      </c>
    </row>
    <row r="126" spans="1:16" s="1" customFormat="1" ht="15" customHeight="1">
      <c r="A126" s="199"/>
      <c r="B126" s="199"/>
      <c r="C126" s="423" t="s">
        <v>631</v>
      </c>
      <c r="D126" s="15"/>
      <c r="H126" s="519" t="s">
        <v>639</v>
      </c>
      <c r="I126" s="520"/>
      <c r="J126" s="517">
        <v>2385</v>
      </c>
      <c r="K126" s="198"/>
      <c r="L126" s="77"/>
      <c r="N126" s="245">
        <v>18</v>
      </c>
      <c r="P126" s="335" t="s">
        <v>395</v>
      </c>
    </row>
    <row r="127" spans="1:16" s="1" customFormat="1" ht="15" customHeight="1">
      <c r="A127" s="199"/>
      <c r="B127" s="199"/>
      <c r="C127" s="110" t="s">
        <v>633</v>
      </c>
      <c r="D127" s="534">
        <v>6</v>
      </c>
      <c r="E127" s="535"/>
      <c r="F127" s="535"/>
      <c r="G127" s="536"/>
      <c r="H127" s="520"/>
      <c r="I127" s="520"/>
      <c r="J127" s="518"/>
      <c r="N127" s="245">
        <v>20</v>
      </c>
      <c r="P127" s="335" t="s">
        <v>396</v>
      </c>
    </row>
    <row r="128" spans="1:16" s="1" customFormat="1" ht="18.75" customHeight="1">
      <c r="C128" s="423" t="s">
        <v>632</v>
      </c>
      <c r="D128" s="15"/>
      <c r="E128" s="12"/>
      <c r="F128" s="7"/>
      <c r="G128" s="278"/>
      <c r="I128" s="12"/>
      <c r="J128" s="12"/>
      <c r="N128" s="245">
        <v>22</v>
      </c>
      <c r="P128" s="335" t="s">
        <v>397</v>
      </c>
    </row>
    <row r="129" spans="1:23" s="1" customFormat="1" ht="15" customHeight="1">
      <c r="A129" s="88" t="str">
        <f>A18</f>
        <v>240-4 Panel (4L)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  <c r="P129" s="1" t="s">
        <v>487</v>
      </c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314</v>
      </c>
      <c r="G133" s="186">
        <v>1</v>
      </c>
      <c r="H133" s="186" t="s">
        <v>52</v>
      </c>
      <c r="I133" s="124">
        <f>$J$126-60</f>
        <v>2325</v>
      </c>
      <c r="J133" s="125">
        <f t="shared" ref="J133:J153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8</v>
      </c>
      <c r="U133" s="283" t="s">
        <v>295</v>
      </c>
      <c r="V133" s="285">
        <f>($J$126-182-(113.25*3))/4</f>
        <v>465.8125</v>
      </c>
      <c r="W133" s="286">
        <f>$J$121*T133</f>
        <v>0</v>
      </c>
    </row>
    <row r="134" spans="1:23" s="1" customFormat="1" ht="18" customHeight="1">
      <c r="A134" s="143">
        <f t="shared" ref="A134:A153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2299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8</v>
      </c>
      <c r="U134" s="283" t="s">
        <v>295</v>
      </c>
      <c r="V134" s="285">
        <f t="shared" ref="V134:V135" si="2">($J$126-182-(113.25*3))/4</f>
        <v>465.8125</v>
      </c>
      <c r="W134" s="131">
        <f t="shared" ref="W134:W135" si="3">$J$121*T134</f>
        <v>0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1.377</v>
      </c>
      <c r="F135" s="139" t="s">
        <v>316</v>
      </c>
      <c r="G135" s="143">
        <v>1</v>
      </c>
      <c r="H135" s="143" t="s">
        <v>52</v>
      </c>
      <c r="I135" s="130">
        <f>$J$126-60</f>
        <v>2325</v>
      </c>
      <c r="J135" s="131">
        <f t="shared" ref="J135:J152" si="4">$J$120*G135</f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8</v>
      </c>
      <c r="U135" s="283" t="s">
        <v>295</v>
      </c>
      <c r="V135" s="285">
        <f t="shared" si="2"/>
        <v>465.8125</v>
      </c>
      <c r="W135" s="293">
        <f t="shared" si="3"/>
        <v>0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2325</v>
      </c>
      <c r="J136" s="131">
        <f t="shared" si="4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8</v>
      </c>
      <c r="U136" s="283" t="s">
        <v>64</v>
      </c>
      <c r="V136" s="288">
        <f>$J$123-242</f>
        <v>2143</v>
      </c>
      <c r="W136" s="286">
        <f>$J$121*T136</f>
        <v>0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2385</v>
      </c>
      <c r="J137" s="131">
        <f t="shared" si="4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8</v>
      </c>
      <c r="U137" s="129" t="s">
        <v>64</v>
      </c>
      <c r="V137" s="130">
        <f>$J$123-242</f>
        <v>2143</v>
      </c>
      <c r="W137" s="131">
        <f t="shared" ref="W137:W138" si="5">$J$121*T137</f>
        <v>0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2385</v>
      </c>
      <c r="J138" s="131">
        <f t="shared" si="4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8</v>
      </c>
      <c r="U138" s="135" t="s">
        <v>64</v>
      </c>
      <c r="V138" s="136">
        <f>$J$123-242</f>
        <v>2143</v>
      </c>
      <c r="W138" s="293">
        <f t="shared" si="5"/>
        <v>0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2289</v>
      </c>
      <c r="J139" s="131">
        <f t="shared" si="4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2289</v>
      </c>
      <c r="J140" s="131">
        <f t="shared" ref="J140" si="6">$J$120*G140</f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4</v>
      </c>
      <c r="H141" s="143" t="s">
        <v>295</v>
      </c>
      <c r="I141" s="178">
        <f>($J$126-182-(113.25*3))/4</f>
        <v>465.8125</v>
      </c>
      <c r="J141" s="131">
        <f t="shared" ref="J141:J146" si="7">$J$120*G141</f>
        <v>4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4</v>
      </c>
      <c r="H142" s="143" t="s">
        <v>295</v>
      </c>
      <c r="I142" s="178">
        <f>($J$126-182-(113.25*3))/4</f>
        <v>465.8125</v>
      </c>
      <c r="J142" s="131">
        <f t="shared" si="7"/>
        <v>4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6</v>
      </c>
      <c r="H143" s="143" t="s">
        <v>63</v>
      </c>
      <c r="I143" s="130">
        <f>$J$123-92</f>
        <v>2293</v>
      </c>
      <c r="J143" s="131">
        <f t="shared" si="7"/>
        <v>6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2</v>
      </c>
      <c r="H144" s="143" t="s">
        <v>63</v>
      </c>
      <c r="I144" s="130">
        <f>$J$123-92</f>
        <v>2293</v>
      </c>
      <c r="J144" s="131">
        <f t="shared" si="7"/>
        <v>2</v>
      </c>
      <c r="N144" s="98"/>
    </row>
    <row r="145" spans="1:14" s="1" customFormat="1" ht="18" customHeight="1">
      <c r="A145" s="143">
        <f t="shared" si="1"/>
        <v>13</v>
      </c>
      <c r="B145" s="140" t="str">
        <f t="shared" ref="B145:I145" si="8">IF($D$127=5,O133,IF($D$127=6,O133,IF($D$127=8,O134,IF($D$127=10,O134,IF($D$127=12,O134,IF($D$127=14,O135,IF($D$127=18,O135,IF($D$127=20,O135,IF($D$127=22,O135,)))))))))</f>
        <v>5-6mm คิ้วตบกระจกแนวนอน</v>
      </c>
      <c r="C145" s="140" t="str">
        <f t="shared" si="8"/>
        <v>5-6mm GLAZING BEAD HORIZONTAL</v>
      </c>
      <c r="D145" s="140" t="str">
        <f t="shared" si="8"/>
        <v>B24008</v>
      </c>
      <c r="E145" s="140">
        <f t="shared" si="8"/>
        <v>0.23100000000000001</v>
      </c>
      <c r="F145" s="140" t="str">
        <f t="shared" si="8"/>
        <v>B24008-001</v>
      </c>
      <c r="G145" s="143">
        <f t="shared" si="8"/>
        <v>8</v>
      </c>
      <c r="H145" s="129" t="str">
        <f t="shared" si="8"/>
        <v>(W-182-(113.25 × 3))/4</v>
      </c>
      <c r="I145" s="178">
        <f t="shared" si="8"/>
        <v>465.8125</v>
      </c>
      <c r="J145" s="131">
        <f t="shared" si="7"/>
        <v>8</v>
      </c>
      <c r="N145" s="98"/>
    </row>
    <row r="146" spans="1:14" s="1" customFormat="1" ht="18" customHeight="1">
      <c r="A146" s="143">
        <f t="shared" si="1"/>
        <v>14</v>
      </c>
      <c r="B146" s="140" t="str">
        <f t="shared" ref="B146:I146" si="9">IF($D$127=5,O136,IF($D$127=6,O136,IF($D$127=8,O137,IF($D$127=10,O137,IF($D$127=12,O137,IF($D$127=14,O138,IF($D$127=18,O138,IF($D$127=20,O138,IF($D$127=22,O138,)))))))))</f>
        <v>5-6mm คิ้วตบกระจกแนวตั้ง</v>
      </c>
      <c r="C146" s="140" t="str">
        <f t="shared" si="9"/>
        <v>5-6mm GLAZING BEAD VERTICAL</v>
      </c>
      <c r="D146" s="140" t="str">
        <f t="shared" si="9"/>
        <v>B24008</v>
      </c>
      <c r="E146" s="140">
        <f t="shared" si="9"/>
        <v>0.23100000000000001</v>
      </c>
      <c r="F146" s="140" t="str">
        <f t="shared" si="9"/>
        <v>B24008-002</v>
      </c>
      <c r="G146" s="143">
        <f t="shared" si="9"/>
        <v>8</v>
      </c>
      <c r="H146" s="129" t="str">
        <f t="shared" si="9"/>
        <v>H-242</v>
      </c>
      <c r="I146" s="144">
        <f t="shared" si="9"/>
        <v>2143</v>
      </c>
      <c r="J146" s="131">
        <f t="shared" si="7"/>
        <v>8</v>
      </c>
      <c r="N146" s="98"/>
    </row>
    <row r="147" spans="1:14" s="1" customFormat="1" ht="18" customHeight="1">
      <c r="A147" s="143" t="str">
        <f t="shared" si="1"/>
        <v/>
      </c>
      <c r="B147" s="140"/>
      <c r="C147" s="140"/>
      <c r="D147" s="139"/>
      <c r="E147" s="143"/>
      <c r="F147" s="139"/>
      <c r="G147" s="143"/>
      <c r="H147" s="143"/>
      <c r="I147" s="130"/>
      <c r="J147" s="131">
        <f t="shared" si="4"/>
        <v>0</v>
      </c>
      <c r="N147" s="98"/>
    </row>
    <row r="148" spans="1:14" s="1" customFormat="1" ht="18" customHeight="1">
      <c r="A148" s="143" t="str">
        <f t="shared" si="1"/>
        <v/>
      </c>
      <c r="B148" s="140"/>
      <c r="C148" s="140"/>
      <c r="D148" s="139"/>
      <c r="E148" s="143"/>
      <c r="F148" s="139"/>
      <c r="G148" s="143"/>
      <c r="H148" s="143"/>
      <c r="I148" s="130"/>
      <c r="J148" s="131">
        <f t="shared" si="4"/>
        <v>0</v>
      </c>
      <c r="N148" s="98"/>
    </row>
    <row r="149" spans="1:14" s="1" customFormat="1" ht="18" customHeight="1">
      <c r="A149" s="143" t="str">
        <f t="shared" si="1"/>
        <v/>
      </c>
      <c r="B149" s="140"/>
      <c r="C149" s="140"/>
      <c r="D149" s="139"/>
      <c r="E149" s="143"/>
      <c r="F149" s="139"/>
      <c r="G149" s="143"/>
      <c r="H149" s="143"/>
      <c r="I149" s="130"/>
      <c r="J149" s="131"/>
      <c r="N149" s="98"/>
    </row>
    <row r="150" spans="1:14" s="1" customFormat="1" ht="18" customHeight="1">
      <c r="A150" s="143" t="str">
        <f t="shared" si="1"/>
        <v/>
      </c>
      <c r="B150" s="140"/>
      <c r="C150" s="140"/>
      <c r="D150" s="139"/>
      <c r="E150" s="143"/>
      <c r="F150" s="139"/>
      <c r="G150" s="143"/>
      <c r="H150" s="143"/>
      <c r="I150" s="130"/>
      <c r="J150" s="131">
        <f t="shared" si="4"/>
        <v>0</v>
      </c>
      <c r="N150" s="98"/>
    </row>
    <row r="151" spans="1:14" s="1" customFormat="1" ht="18" customHeight="1">
      <c r="A151" s="143" t="str">
        <f t="shared" si="1"/>
        <v/>
      </c>
      <c r="B151" s="140"/>
      <c r="C151" s="140"/>
      <c r="D151" s="139"/>
      <c r="E151" s="143"/>
      <c r="F151" s="139"/>
      <c r="G151" s="143"/>
      <c r="H151" s="143"/>
      <c r="I151" s="130"/>
      <c r="J151" s="131">
        <f t="shared" si="4"/>
        <v>0</v>
      </c>
      <c r="N151" s="98"/>
    </row>
    <row r="152" spans="1:14" s="1" customFormat="1" ht="18" customHeight="1">
      <c r="A152" s="143" t="str">
        <f t="shared" si="1"/>
        <v/>
      </c>
      <c r="B152" s="140"/>
      <c r="C152" s="140"/>
      <c r="D152" s="139"/>
      <c r="E152" s="143"/>
      <c r="F152" s="139"/>
      <c r="G152" s="143"/>
      <c r="H152" s="143"/>
      <c r="I152" s="144"/>
      <c r="J152" s="131">
        <f t="shared" si="4"/>
        <v>0</v>
      </c>
      <c r="N152" s="98"/>
    </row>
    <row r="153" spans="1:14" s="1" customFormat="1" ht="18" customHeight="1" thickBot="1">
      <c r="A153" s="143" t="str">
        <f t="shared" si="1"/>
        <v/>
      </c>
      <c r="B153" s="207"/>
      <c r="C153" s="207"/>
      <c r="D153" s="208"/>
      <c r="E153" s="209"/>
      <c r="F153" s="208"/>
      <c r="G153" s="209"/>
      <c r="H153" s="209"/>
      <c r="I153" s="171"/>
      <c r="J153" s="172">
        <f t="shared" si="0"/>
        <v>0</v>
      </c>
    </row>
    <row r="154" spans="1:14" s="1" customFormat="1" ht="27" outlineLevel="1" thickBot="1">
      <c r="A154" s="169" t="s">
        <v>2</v>
      </c>
      <c r="B154" s="169" t="s">
        <v>29</v>
      </c>
      <c r="C154" s="169" t="s">
        <v>3</v>
      </c>
      <c r="D154" s="169" t="s">
        <v>4</v>
      </c>
      <c r="E154" s="169" t="s">
        <v>5</v>
      </c>
      <c r="F154" s="177" t="s">
        <v>85</v>
      </c>
      <c r="G154" s="169" t="s">
        <v>22</v>
      </c>
      <c r="H154" s="170" t="s">
        <v>23</v>
      </c>
      <c r="I154" s="547" t="s">
        <v>659</v>
      </c>
      <c r="J154" s="548"/>
      <c r="K154" s="1">
        <v>110</v>
      </c>
    </row>
    <row r="155" spans="1:14" s="1" customFormat="1" ht="15" customHeight="1" outlineLevel="1">
      <c r="A155" s="21">
        <f>IF(B155="","",1)</f>
        <v>1</v>
      </c>
      <c r="B155" s="173" t="str">
        <f t="shared" ref="B155:C161" si="10">B133</f>
        <v>เฟรมบน</v>
      </c>
      <c r="C155" s="173" t="str">
        <f t="shared" si="10"/>
        <v>HEAD</v>
      </c>
      <c r="D155" s="174" t="str">
        <f>VLOOKUP(C155,$C$133:$H$153,2,0)</f>
        <v>B24001</v>
      </c>
      <c r="E155" s="441">
        <f t="shared" ref="E155:E161" si="11">VLOOKUP(C155,$C$133:$H$153,3,0)</f>
        <v>1.603</v>
      </c>
      <c r="F155" s="353">
        <f>VLOOKUP(C155,$C$133:$J$153,7,0)</f>
        <v>2325</v>
      </c>
      <c r="G155" s="175">
        <f t="shared" ref="G155:G161" si="12">VLOOKUP(C155,$C$133:$J$153,8,0)</f>
        <v>1</v>
      </c>
      <c r="H155" s="450">
        <f>ROUNDUP((F155*G155)/6400,0)</f>
        <v>1</v>
      </c>
      <c r="I155" s="555">
        <f>$K$154*K155</f>
        <v>409.96725000000004</v>
      </c>
      <c r="J155" s="556"/>
      <c r="K155" s="442">
        <f t="shared" ref="K155:K168" si="13">(F155/1000)*E155</f>
        <v>3.7269750000000004</v>
      </c>
    </row>
    <row r="156" spans="1:14" s="1" customFormat="1" ht="15" customHeight="1" outlineLevel="1">
      <c r="A156" s="18">
        <f t="shared" ref="A156:A161" si="14">IF(B156="","",+A155+1)</f>
        <v>2</v>
      </c>
      <c r="B156" s="173" t="str">
        <f t="shared" si="10"/>
        <v>บังใบบน</v>
      </c>
      <c r="C156" s="173" t="str">
        <f t="shared" si="10"/>
        <v>DOOR STOP HEAD</v>
      </c>
      <c r="D156" s="174" t="str">
        <f>VLOOKUP(C156,$C$133:$H$153,2,0)</f>
        <v>B24002</v>
      </c>
      <c r="E156" s="441">
        <f t="shared" si="11"/>
        <v>0.27800000000000002</v>
      </c>
      <c r="F156" s="353">
        <f t="shared" ref="F156:F161" si="15">VLOOKUP(C156,$C$133:$I$153,7,0)</f>
        <v>2299</v>
      </c>
      <c r="G156" s="175">
        <f t="shared" si="12"/>
        <v>1</v>
      </c>
      <c r="H156" s="175">
        <f>ROUNDUP((F156*G156)/6400,0)</f>
        <v>1</v>
      </c>
      <c r="I156" s="557">
        <f>$K$154*K156</f>
        <v>70.303420000000003</v>
      </c>
      <c r="J156" s="558"/>
      <c r="K156" s="442">
        <f t="shared" si="13"/>
        <v>0.63912200000000008</v>
      </c>
    </row>
    <row r="157" spans="1:14" s="1" customFormat="1" ht="15" customHeight="1" outlineLevel="1">
      <c r="A157" s="18">
        <f t="shared" si="14"/>
        <v>3</v>
      </c>
      <c r="B157" s="173" t="str">
        <f t="shared" si="10"/>
        <v xml:space="preserve">เฟรมล่าง </v>
      </c>
      <c r="C157" s="173" t="str">
        <f t="shared" si="10"/>
        <v>SILL</v>
      </c>
      <c r="D157" s="174" t="str">
        <f>VLOOKUP(C157,$C$133:$H$153,2,0)</f>
        <v>B24003</v>
      </c>
      <c r="E157" s="441">
        <f t="shared" si="11"/>
        <v>1.377</v>
      </c>
      <c r="F157" s="353">
        <f t="shared" si="15"/>
        <v>2325</v>
      </c>
      <c r="G157" s="175">
        <f t="shared" si="12"/>
        <v>1</v>
      </c>
      <c r="H157" s="175">
        <f t="shared" ref="H157:H158" si="16">ROUNDUP((F157*G157)/6400,0)</f>
        <v>1</v>
      </c>
      <c r="I157" s="557">
        <f t="shared" ref="I157" si="17">$K$154*K157</f>
        <v>352.16775000000001</v>
      </c>
      <c r="J157" s="558"/>
      <c r="K157" s="442">
        <f t="shared" si="13"/>
        <v>3.2015250000000002</v>
      </c>
    </row>
    <row r="158" spans="1:14" s="1" customFormat="1" ht="15" customHeight="1" outlineLevel="1">
      <c r="A158" s="18">
        <f t="shared" si="14"/>
        <v>4</v>
      </c>
      <c r="B158" s="173" t="str">
        <f t="shared" si="10"/>
        <v>ตัวตับธรณี</v>
      </c>
      <c r="C158" s="173" t="str">
        <f t="shared" si="10"/>
        <v>DOOR STOP SILL</v>
      </c>
      <c r="D158" s="174" t="str">
        <f>VLOOKUP(C158,$C$133:$H$153,2,0)</f>
        <v>B24004</v>
      </c>
      <c r="E158" s="441">
        <f t="shared" si="11"/>
        <v>0.51600000000000001</v>
      </c>
      <c r="F158" s="353">
        <f t="shared" si="15"/>
        <v>2325</v>
      </c>
      <c r="G158" s="175">
        <f t="shared" si="12"/>
        <v>1</v>
      </c>
      <c r="H158" s="175">
        <f t="shared" si="16"/>
        <v>1</v>
      </c>
      <c r="I158" s="557">
        <f t="shared" ref="I158:I167" si="18">$K$154*K158</f>
        <v>131.96700000000001</v>
      </c>
      <c r="J158" s="558"/>
      <c r="K158" s="442">
        <f t="shared" si="13"/>
        <v>1.1997000000000002</v>
      </c>
    </row>
    <row r="159" spans="1:14" s="1" customFormat="1" ht="15" customHeight="1" outlineLevel="1">
      <c r="A159" s="18">
        <f t="shared" si="14"/>
        <v>5</v>
      </c>
      <c r="B159" s="173" t="str">
        <f t="shared" si="10"/>
        <v>เฟรมข้าง (ซ้าย)</v>
      </c>
      <c r="C159" s="173" t="str">
        <f t="shared" si="10"/>
        <v>JAMB (L)</v>
      </c>
      <c r="D159" s="508" t="str">
        <f>VLOOKUP(C159,$C$133:$H$153,2,0)</f>
        <v>B24005</v>
      </c>
      <c r="E159" s="441">
        <f t="shared" si="11"/>
        <v>0.89300000000000002</v>
      </c>
      <c r="F159" s="353">
        <f t="shared" si="15"/>
        <v>2385</v>
      </c>
      <c r="G159" s="175">
        <f t="shared" si="12"/>
        <v>1</v>
      </c>
      <c r="H159" s="546">
        <f>ROUNDUP(((F159*G159)+(F160*G160))/6400,0)</f>
        <v>1</v>
      </c>
      <c r="I159" s="557">
        <f t="shared" si="18"/>
        <v>234.27854999999997</v>
      </c>
      <c r="J159" s="558"/>
      <c r="K159" s="442">
        <f t="shared" si="13"/>
        <v>2.1298049999999997</v>
      </c>
    </row>
    <row r="160" spans="1:14" s="1" customFormat="1" ht="15" customHeight="1" outlineLevel="1">
      <c r="A160" s="18">
        <f t="shared" si="14"/>
        <v>6</v>
      </c>
      <c r="B160" s="173" t="str">
        <f t="shared" si="10"/>
        <v>เฟรมข้าง (ขวา)</v>
      </c>
      <c r="C160" s="173" t="str">
        <f t="shared" si="10"/>
        <v>JAMB (R)</v>
      </c>
      <c r="D160" s="509"/>
      <c r="E160" s="441">
        <f t="shared" si="11"/>
        <v>0.89300000000000002</v>
      </c>
      <c r="F160" s="353">
        <f t="shared" si="15"/>
        <v>2385</v>
      </c>
      <c r="G160" s="175">
        <f t="shared" si="12"/>
        <v>1</v>
      </c>
      <c r="H160" s="546"/>
      <c r="I160" s="557">
        <f t="shared" si="18"/>
        <v>234.27854999999997</v>
      </c>
      <c r="J160" s="558"/>
      <c r="K160" s="442">
        <f t="shared" si="13"/>
        <v>2.1298049999999997</v>
      </c>
    </row>
    <row r="161" spans="1:23" s="1" customFormat="1" ht="15" customHeight="1" outlineLevel="1">
      <c r="A161" s="18">
        <f t="shared" si="14"/>
        <v>7</v>
      </c>
      <c r="B161" s="173" t="str">
        <f>B139</f>
        <v>บังใบข้าง (ซ้าย)</v>
      </c>
      <c r="C161" s="173" t="str">
        <f t="shared" si="10"/>
        <v>DOOR STOP JAMB (L)</v>
      </c>
      <c r="D161" s="508" t="str">
        <f>VLOOKUP(C161,$C$133:$H$153,2,0)</f>
        <v>B24006</v>
      </c>
      <c r="E161" s="441">
        <f t="shared" si="11"/>
        <v>0.23499999999999999</v>
      </c>
      <c r="F161" s="353">
        <f t="shared" si="15"/>
        <v>2289</v>
      </c>
      <c r="G161" s="175">
        <f t="shared" si="12"/>
        <v>1</v>
      </c>
      <c r="H161" s="546">
        <f>ROUNDUP(((F161*G161)+(F162*G162))/6400,0)</f>
        <v>1</v>
      </c>
      <c r="I161" s="557">
        <f t="shared" si="18"/>
        <v>59.170650000000002</v>
      </c>
      <c r="J161" s="558"/>
      <c r="K161" s="442">
        <f t="shared" si="13"/>
        <v>0.53791500000000003</v>
      </c>
    </row>
    <row r="162" spans="1:23" s="1" customFormat="1" ht="15" customHeight="1" outlineLevel="1">
      <c r="A162" s="18">
        <f t="shared" ref="A162:A167" si="19">IF(B162="","",+A161+1)</f>
        <v>8</v>
      </c>
      <c r="B162" s="173" t="str">
        <f t="shared" ref="B162:C162" si="20">B140</f>
        <v>บังใบข้าง (ขวา)</v>
      </c>
      <c r="C162" s="173" t="str">
        <f t="shared" si="20"/>
        <v>DOOR STOP JAMB (R)</v>
      </c>
      <c r="D162" s="509"/>
      <c r="E162" s="441">
        <f t="shared" ref="E162:E167" si="21">VLOOKUP(C162,$C$133:$H$153,3,0)</f>
        <v>0.23499999999999999</v>
      </c>
      <c r="F162" s="353">
        <f t="shared" ref="F162:F167" si="22">VLOOKUP(C162,$C$133:$I$153,7,0)</f>
        <v>2289</v>
      </c>
      <c r="G162" s="175">
        <f t="shared" ref="G162:G167" si="23">VLOOKUP(C162,$C$133:$J$153,8,0)</f>
        <v>1</v>
      </c>
      <c r="H162" s="546"/>
      <c r="I162" s="557">
        <f t="shared" si="18"/>
        <v>59.170650000000002</v>
      </c>
      <c r="J162" s="558"/>
      <c r="K162" s="442">
        <f t="shared" si="13"/>
        <v>0.53791500000000003</v>
      </c>
    </row>
    <row r="163" spans="1:23" s="1" customFormat="1" ht="13.8" outlineLevel="1">
      <c r="A163" s="18">
        <f t="shared" si="19"/>
        <v>9</v>
      </c>
      <c r="B163" s="173" t="str">
        <f t="shared" ref="B163:C163" si="24">B141</f>
        <v>ขวางบน</v>
      </c>
      <c r="C163" s="173" t="str">
        <f t="shared" si="24"/>
        <v>SASH (Hor) (T)</v>
      </c>
      <c r="D163" s="508" t="str">
        <f t="shared" ref="D163:D167" si="25">VLOOKUP(C163,$C$133:$H$153,2,0)</f>
        <v>B24007</v>
      </c>
      <c r="E163" s="441">
        <f t="shared" si="21"/>
        <v>1.1060000000000001</v>
      </c>
      <c r="F163" s="353">
        <f t="shared" si="22"/>
        <v>465.8125</v>
      </c>
      <c r="G163" s="175">
        <f t="shared" si="23"/>
        <v>4</v>
      </c>
      <c r="H163" s="549">
        <f>ROUNDUP(((F163*G163)+(F164*G164)+(F165*G165)+(F166*G166))/6400,0)</f>
        <v>4</v>
      </c>
      <c r="I163" s="557">
        <f t="shared" si="18"/>
        <v>56.670748750000008</v>
      </c>
      <c r="J163" s="558"/>
      <c r="K163" s="442">
        <f t="shared" si="13"/>
        <v>0.51518862500000007</v>
      </c>
    </row>
    <row r="164" spans="1:23" s="1" customFormat="1" ht="13.8" outlineLevel="1">
      <c r="A164" s="18">
        <f t="shared" si="19"/>
        <v>10</v>
      </c>
      <c r="B164" s="173" t="str">
        <f t="shared" ref="B164:C164" si="26">B142</f>
        <v>ขวางล่าง</v>
      </c>
      <c r="C164" s="173" t="str">
        <f t="shared" si="26"/>
        <v>SASH (Hor) (B)</v>
      </c>
      <c r="D164" s="510"/>
      <c r="E164" s="441">
        <f t="shared" si="21"/>
        <v>1.1060000000000001</v>
      </c>
      <c r="F164" s="353">
        <f t="shared" si="22"/>
        <v>465.8125</v>
      </c>
      <c r="G164" s="175">
        <f t="shared" si="23"/>
        <v>4</v>
      </c>
      <c r="H164" s="551"/>
      <c r="I164" s="557">
        <f t="shared" si="18"/>
        <v>56.670748750000008</v>
      </c>
      <c r="J164" s="558"/>
      <c r="K164" s="442">
        <f t="shared" si="13"/>
        <v>0.51518862500000007</v>
      </c>
    </row>
    <row r="165" spans="1:23" s="1" customFormat="1" ht="13.8" outlineLevel="1">
      <c r="A165" s="18">
        <f t="shared" si="19"/>
        <v>11</v>
      </c>
      <c r="B165" s="173" t="str">
        <f t="shared" ref="B165:C165" si="27">B143</f>
        <v>เสา</v>
      </c>
      <c r="C165" s="173" t="str">
        <f t="shared" si="27"/>
        <v xml:space="preserve">SASH (Ver) </v>
      </c>
      <c r="D165" s="510"/>
      <c r="E165" s="441">
        <f t="shared" si="21"/>
        <v>1.1060000000000001</v>
      </c>
      <c r="F165" s="353">
        <f t="shared" si="22"/>
        <v>2293</v>
      </c>
      <c r="G165" s="175">
        <f t="shared" si="23"/>
        <v>6</v>
      </c>
      <c r="H165" s="551"/>
      <c r="I165" s="557">
        <f t="shared" si="18"/>
        <v>278.96638000000007</v>
      </c>
      <c r="J165" s="558"/>
      <c r="K165" s="442">
        <f t="shared" si="13"/>
        <v>2.5360580000000006</v>
      </c>
    </row>
    <row r="166" spans="1:23" s="1" customFormat="1" ht="15" customHeight="1" outlineLevel="1">
      <c r="A166" s="18">
        <f t="shared" si="19"/>
        <v>12</v>
      </c>
      <c r="B166" s="173" t="str">
        <f t="shared" ref="B166:C166" si="28">B144</f>
        <v>เสากุญแจ</v>
      </c>
      <c r="C166" s="173" t="str">
        <f t="shared" si="28"/>
        <v xml:space="preserve">SASH (Ver) LOCK </v>
      </c>
      <c r="D166" s="509"/>
      <c r="E166" s="441">
        <f t="shared" si="21"/>
        <v>1.1060000000000001</v>
      </c>
      <c r="F166" s="353">
        <f t="shared" si="22"/>
        <v>2293</v>
      </c>
      <c r="G166" s="175">
        <f t="shared" si="23"/>
        <v>2</v>
      </c>
      <c r="H166" s="550"/>
      <c r="I166" s="557">
        <f t="shared" si="18"/>
        <v>278.96638000000007</v>
      </c>
      <c r="J166" s="558"/>
      <c r="K166" s="442">
        <f t="shared" si="13"/>
        <v>2.5360580000000006</v>
      </c>
    </row>
    <row r="167" spans="1:23" s="1" customFormat="1" ht="15" customHeight="1" outlineLevel="1">
      <c r="A167" s="18">
        <f t="shared" si="19"/>
        <v>13</v>
      </c>
      <c r="B167" s="173" t="str">
        <f t="shared" ref="B167:C167" si="29">B145</f>
        <v>5-6mm คิ้วตบกระจกแนวนอน</v>
      </c>
      <c r="C167" s="173" t="str">
        <f t="shared" si="29"/>
        <v>5-6mm GLAZING BEAD HORIZONTAL</v>
      </c>
      <c r="D167" s="549" t="str">
        <f t="shared" si="25"/>
        <v>B24008</v>
      </c>
      <c r="E167" s="441">
        <f t="shared" si="21"/>
        <v>0.23100000000000001</v>
      </c>
      <c r="F167" s="353">
        <f t="shared" si="22"/>
        <v>465.8125</v>
      </c>
      <c r="G167" s="175">
        <f t="shared" si="23"/>
        <v>8</v>
      </c>
      <c r="H167" s="549">
        <f>ROUNDUP(((F167*G167)+(F168*G168))/6400,0)</f>
        <v>4</v>
      </c>
      <c r="I167" s="557">
        <f t="shared" si="18"/>
        <v>11.836295625000002</v>
      </c>
      <c r="J167" s="558"/>
      <c r="K167" s="442">
        <f t="shared" si="13"/>
        <v>0.10760268750000002</v>
      </c>
    </row>
    <row r="168" spans="1:23" s="1" customFormat="1" ht="15" customHeight="1" outlineLevel="1">
      <c r="A168" s="18">
        <f>IF(B168="","",+A167+1)</f>
        <v>14</v>
      </c>
      <c r="B168" s="173" t="str">
        <f>B146</f>
        <v>5-6mm คิ้วตบกระจกแนวตั้ง</v>
      </c>
      <c r="C168" s="173" t="str">
        <f>C146</f>
        <v>5-6mm GLAZING BEAD VERTICAL</v>
      </c>
      <c r="D168" s="550"/>
      <c r="E168" s="441">
        <f>VLOOKUP(C168,$C$133:$H$153,3,0)</f>
        <v>0.23100000000000001</v>
      </c>
      <c r="F168" s="353">
        <f>VLOOKUP(C168,$C$133:$I$153,7,0)</f>
        <v>2143</v>
      </c>
      <c r="G168" s="175">
        <f>VLOOKUP(C168,$C$133:$J$153,8,0)</f>
        <v>8</v>
      </c>
      <c r="H168" s="550"/>
      <c r="I168" s="557">
        <f t="shared" ref="I168" si="30">$K$154*K168</f>
        <v>54.453629999999997</v>
      </c>
      <c r="J168" s="558"/>
      <c r="K168" s="442">
        <f t="shared" si="13"/>
        <v>0.495033</v>
      </c>
    </row>
    <row r="169" spans="1:23" s="1" customFormat="1" outlineLevel="1" thickBot="1">
      <c r="D169" s="448"/>
      <c r="H169" s="449" t="s">
        <v>661</v>
      </c>
      <c r="I169" s="559">
        <f>SUM(I155:J168)</f>
        <v>2288.8680031250001</v>
      </c>
      <c r="J169" s="559"/>
    </row>
    <row r="170" spans="1:23" s="1" customFormat="1" ht="24.9" customHeight="1" thickBot="1">
      <c r="A170" s="529" t="s">
        <v>9</v>
      </c>
      <c r="B170" s="530"/>
      <c r="C170" s="530"/>
      <c r="D170" s="530"/>
      <c r="E170" s="530"/>
      <c r="F170" s="530"/>
      <c r="G170" s="530"/>
      <c r="H170" s="530"/>
      <c r="I170" s="530"/>
      <c r="J170" s="531"/>
    </row>
    <row r="171" spans="1:23" s="1" customFormat="1" ht="35.1" customHeight="1" thickBot="1">
      <c r="A171" s="102" t="s">
        <v>2</v>
      </c>
      <c r="B171" s="103" t="s">
        <v>29</v>
      </c>
      <c r="C171" s="103" t="s">
        <v>3</v>
      </c>
      <c r="D171" s="103" t="s">
        <v>199</v>
      </c>
      <c r="E171" s="103" t="s">
        <v>5</v>
      </c>
      <c r="F171" s="104" t="s">
        <v>28</v>
      </c>
      <c r="G171" s="103" t="s">
        <v>19</v>
      </c>
      <c r="H171" s="104" t="s">
        <v>200</v>
      </c>
      <c r="I171" s="547" t="s">
        <v>660</v>
      </c>
      <c r="J171" s="548"/>
      <c r="K171" s="443">
        <v>0.2</v>
      </c>
      <c r="N171" s="101" t="s">
        <v>191</v>
      </c>
      <c r="O171" s="246" t="s">
        <v>29</v>
      </c>
      <c r="P171" s="246" t="s">
        <v>3</v>
      </c>
      <c r="Q171" s="246" t="s">
        <v>199</v>
      </c>
      <c r="R171" s="246" t="s">
        <v>5</v>
      </c>
      <c r="S171" s="246" t="s">
        <v>28</v>
      </c>
      <c r="T171" s="246" t="s">
        <v>19</v>
      </c>
      <c r="U171" s="246" t="s">
        <v>200</v>
      </c>
      <c r="V171" s="246" t="s">
        <v>20</v>
      </c>
      <c r="W171" s="246" t="s">
        <v>201</v>
      </c>
    </row>
    <row r="172" spans="1:23" s="1" customFormat="1" ht="18" customHeight="1">
      <c r="A172" s="200">
        <f>IF(B172="","",1)</f>
        <v>1</v>
      </c>
      <c r="B172" s="140" t="s">
        <v>110</v>
      </c>
      <c r="C172" s="140" t="s">
        <v>66</v>
      </c>
      <c r="D172" s="139" t="s">
        <v>73</v>
      </c>
      <c r="E172" s="143"/>
      <c r="F172" s="143" t="s">
        <v>73</v>
      </c>
      <c r="G172" s="143" t="s">
        <v>202</v>
      </c>
      <c r="H172" s="143">
        <v>2</v>
      </c>
      <c r="I172" s="560">
        <f>(K172+$K$172)*H172</f>
        <v>6.6920000000000002</v>
      </c>
      <c r="J172" s="561"/>
      <c r="K172" s="444">
        <v>1.673</v>
      </c>
      <c r="N172" s="101" t="s">
        <v>226</v>
      </c>
      <c r="O172" s="280" t="s">
        <v>252</v>
      </c>
      <c r="P172" s="290" t="s">
        <v>248</v>
      </c>
      <c r="Q172" s="280" t="s">
        <v>69</v>
      </c>
      <c r="R172" s="213"/>
      <c r="S172" s="213" t="s">
        <v>69</v>
      </c>
      <c r="T172" s="213" t="s">
        <v>198</v>
      </c>
      <c r="U172" s="291">
        <f>((($I$141*$G$141)+($I$142*$G$142)+($I$143*$G$143)+($I$144*$G$144))/1000)*$J$120</f>
        <v>22.070499999999999</v>
      </c>
      <c r="V172" s="291">
        <v>100</v>
      </c>
      <c r="W172" s="292">
        <f>ROUNDUP((U172)/100,0)</f>
        <v>1</v>
      </c>
    </row>
    <row r="173" spans="1:23" s="1" customFormat="1" ht="18" customHeight="1">
      <c r="A173" s="201">
        <f>IF(B173="","",+A172+1)</f>
        <v>2</v>
      </c>
      <c r="B173" s="140" t="s">
        <v>111</v>
      </c>
      <c r="C173" s="140" t="s">
        <v>67</v>
      </c>
      <c r="D173" s="139" t="s">
        <v>74</v>
      </c>
      <c r="E173" s="143"/>
      <c r="F173" s="143" t="s">
        <v>74</v>
      </c>
      <c r="G173" s="143" t="s">
        <v>202</v>
      </c>
      <c r="H173" s="143">
        <v>8</v>
      </c>
      <c r="I173" s="562">
        <f>(K173+$K$172)*H173</f>
        <v>37.384</v>
      </c>
      <c r="J173" s="563"/>
      <c r="K173" s="444">
        <v>3</v>
      </c>
      <c r="N173" s="101" t="s">
        <v>230</v>
      </c>
      <c r="O173" s="280" t="s">
        <v>253</v>
      </c>
      <c r="P173" s="290" t="s">
        <v>249</v>
      </c>
      <c r="Q173" s="280" t="s">
        <v>188</v>
      </c>
      <c r="R173" s="213"/>
      <c r="S173" s="213" t="s">
        <v>188</v>
      </c>
      <c r="T173" s="213" t="s">
        <v>198</v>
      </c>
      <c r="U173" s="291">
        <f>((($I$141*$G$141)+($I$142*$G$142)+($I$143*$G$143)+($I$144*$G$144))/1000)*$J$120</f>
        <v>22.070499999999999</v>
      </c>
      <c r="V173" s="291">
        <v>100</v>
      </c>
      <c r="W173" s="292">
        <f t="shared" ref="W173:W174" si="31">ROUNDUP((U173)/100,0)</f>
        <v>1</v>
      </c>
    </row>
    <row r="174" spans="1:23" s="1" customFormat="1" ht="18" customHeight="1">
      <c r="A174" s="201">
        <f t="shared" ref="A174:A190" si="32">IF(B174="","",+A173+1)</f>
        <v>3</v>
      </c>
      <c r="B174" s="140" t="s">
        <v>106</v>
      </c>
      <c r="C174" s="140" t="s">
        <v>503</v>
      </c>
      <c r="D174" s="139" t="s">
        <v>75</v>
      </c>
      <c r="E174" s="143"/>
      <c r="F174" s="143" t="s">
        <v>75</v>
      </c>
      <c r="G174" s="143" t="s">
        <v>202</v>
      </c>
      <c r="H174" s="143">
        <v>2</v>
      </c>
      <c r="I174" s="562">
        <f>(K174+$K$172)*H174</f>
        <v>9.0920000000000005</v>
      </c>
      <c r="J174" s="563"/>
      <c r="K174" s="444">
        <v>2.8730000000000002</v>
      </c>
      <c r="N174" s="101" t="s">
        <v>229</v>
      </c>
      <c r="O174" s="290" t="s">
        <v>254</v>
      </c>
      <c r="P174" s="290" t="s">
        <v>250</v>
      </c>
      <c r="Q174" s="280" t="s">
        <v>70</v>
      </c>
      <c r="R174" s="213"/>
      <c r="S174" s="213" t="s">
        <v>70</v>
      </c>
      <c r="T174" s="213" t="s">
        <v>198</v>
      </c>
      <c r="U174" s="291">
        <f>((($I$141*$G$141)+($I$142*$G$142)+($I$143*$G$143)+($I$144*$G$144))/1000)*$J$120</f>
        <v>22.070499999999999</v>
      </c>
      <c r="V174" s="291">
        <v>100</v>
      </c>
      <c r="W174" s="292">
        <f t="shared" si="31"/>
        <v>1</v>
      </c>
    </row>
    <row r="175" spans="1:23" s="1" customFormat="1" ht="18" customHeight="1">
      <c r="A175" s="201">
        <f t="shared" si="32"/>
        <v>4</v>
      </c>
      <c r="B175" s="140" t="s">
        <v>107</v>
      </c>
      <c r="C175" s="140" t="s">
        <v>504</v>
      </c>
      <c r="D175" s="139" t="s">
        <v>76</v>
      </c>
      <c r="E175" s="143"/>
      <c r="F175" s="143" t="s">
        <v>76</v>
      </c>
      <c r="G175" s="143" t="s">
        <v>202</v>
      </c>
      <c r="H175" s="143">
        <v>2</v>
      </c>
      <c r="I175" s="562">
        <f>(K175+$K$172)*H175</f>
        <v>13.985200000000001</v>
      </c>
      <c r="J175" s="563"/>
      <c r="K175" s="444">
        <v>5.3196000000000003</v>
      </c>
      <c r="N175" s="101" t="s">
        <v>231</v>
      </c>
      <c r="O175" s="290" t="s">
        <v>255</v>
      </c>
      <c r="P175" s="290" t="s">
        <v>251</v>
      </c>
      <c r="Q175" s="280" t="s">
        <v>189</v>
      </c>
      <c r="R175" s="213"/>
      <c r="S175" s="213" t="s">
        <v>189</v>
      </c>
      <c r="T175" s="213" t="s">
        <v>198</v>
      </c>
      <c r="U175" s="291">
        <f>((($I$141*$G$141)+($I$142*$G$142)+($I$143*$G$143)+($I$144*$G$144))/1000)*$J$120</f>
        <v>22.070499999999999</v>
      </c>
      <c r="V175" s="291">
        <v>100</v>
      </c>
      <c r="W175" s="292">
        <f>ROUNDUP((U175)/100,0)</f>
        <v>1</v>
      </c>
    </row>
    <row r="176" spans="1:23" s="1" customFormat="1" ht="18" customHeight="1">
      <c r="A176" s="201">
        <f t="shared" si="32"/>
        <v>5</v>
      </c>
      <c r="B176" s="140" t="s">
        <v>108</v>
      </c>
      <c r="C176" s="140" t="s">
        <v>10</v>
      </c>
      <c r="D176" s="139">
        <v>9</v>
      </c>
      <c r="E176" s="143"/>
      <c r="F176" s="143">
        <v>9</v>
      </c>
      <c r="G176" s="143" t="s">
        <v>202</v>
      </c>
      <c r="H176" s="143">
        <v>16</v>
      </c>
      <c r="I176" s="564">
        <v>0</v>
      </c>
      <c r="J176" s="565"/>
      <c r="K176" s="444">
        <v>0</v>
      </c>
      <c r="N176" s="101" t="s">
        <v>232</v>
      </c>
      <c r="O176" s="290" t="s">
        <v>256</v>
      </c>
      <c r="P176" s="290" t="s">
        <v>247</v>
      </c>
      <c r="Q176" s="280" t="s">
        <v>233</v>
      </c>
      <c r="R176" s="213"/>
      <c r="S176" s="213" t="s">
        <v>233</v>
      </c>
      <c r="T176" s="213" t="s">
        <v>198</v>
      </c>
      <c r="U176" s="291">
        <f>((($I$141*$G$141)+($I$142*$G$142)+($I$143*$G$143)+($I$144*$G$144))/1000)*$J$120</f>
        <v>22.070499999999999</v>
      </c>
      <c r="V176" s="291">
        <v>100</v>
      </c>
      <c r="W176" s="292">
        <f>ROUNDUP((U176)/100,0)</f>
        <v>1</v>
      </c>
    </row>
    <row r="177" spans="1:25" s="1" customFormat="1" ht="18" customHeight="1">
      <c r="A177" s="201">
        <f t="shared" si="32"/>
        <v>6</v>
      </c>
      <c r="B177" s="140" t="s">
        <v>109</v>
      </c>
      <c r="C177" s="140" t="s">
        <v>68</v>
      </c>
      <c r="D177" s="139">
        <v>9</v>
      </c>
      <c r="E177" s="143"/>
      <c r="F177" s="143">
        <v>9</v>
      </c>
      <c r="G177" s="143" t="s">
        <v>202</v>
      </c>
      <c r="H177" s="143">
        <v>32</v>
      </c>
      <c r="I177" s="564">
        <v>0</v>
      </c>
      <c r="J177" s="565"/>
      <c r="K177" s="444">
        <v>0</v>
      </c>
    </row>
    <row r="178" spans="1:25" s="1" customFormat="1" ht="18" customHeight="1">
      <c r="A178" s="201">
        <f t="shared" si="32"/>
        <v>7</v>
      </c>
      <c r="B178" s="140" t="s">
        <v>118</v>
      </c>
      <c r="C178" s="140" t="s">
        <v>77</v>
      </c>
      <c r="D178" s="139" t="s">
        <v>80</v>
      </c>
      <c r="E178" s="143"/>
      <c r="F178" s="143" t="s">
        <v>80</v>
      </c>
      <c r="G178" s="143" t="s">
        <v>185</v>
      </c>
      <c r="H178" s="143">
        <v>1</v>
      </c>
      <c r="I178" s="562">
        <f>(K178+$K$172)*H178</f>
        <v>1201.143</v>
      </c>
      <c r="J178" s="563"/>
      <c r="K178" s="447">
        <v>1199.47</v>
      </c>
    </row>
    <row r="179" spans="1:25" s="1" customFormat="1" ht="18" customHeight="1">
      <c r="A179" s="201">
        <f t="shared" si="32"/>
        <v>8</v>
      </c>
      <c r="B179" s="140" t="s">
        <v>142</v>
      </c>
      <c r="C179" s="140" t="s">
        <v>141</v>
      </c>
      <c r="D179" s="139" t="s">
        <v>81</v>
      </c>
      <c r="E179" s="143"/>
      <c r="F179" s="143" t="s">
        <v>81</v>
      </c>
      <c r="G179" s="143" t="s">
        <v>185</v>
      </c>
      <c r="H179" s="143">
        <v>1</v>
      </c>
      <c r="I179" s="562">
        <f>(K179+$K$172)*H179</f>
        <v>941.553</v>
      </c>
      <c r="J179" s="563"/>
      <c r="K179" s="447">
        <v>939.88</v>
      </c>
    </row>
    <row r="180" spans="1:25" s="1" customFormat="1" ht="18" customHeight="1">
      <c r="A180" s="201">
        <f t="shared" si="32"/>
        <v>9</v>
      </c>
      <c r="B180" s="140" t="s">
        <v>131</v>
      </c>
      <c r="C180" s="140" t="s">
        <v>100</v>
      </c>
      <c r="D180" s="139" t="s">
        <v>102</v>
      </c>
      <c r="E180" s="143"/>
      <c r="F180" s="143" t="s">
        <v>102</v>
      </c>
      <c r="G180" s="143" t="s">
        <v>185</v>
      </c>
      <c r="H180" s="143">
        <v>1</v>
      </c>
      <c r="I180" s="562">
        <f>(K180+$K$172)*H180</f>
        <v>1201.143</v>
      </c>
      <c r="J180" s="563"/>
      <c r="K180" s="447">
        <v>1199.47</v>
      </c>
    </row>
    <row r="181" spans="1:25" s="1" customFormat="1" ht="18" customHeight="1">
      <c r="A181" s="201">
        <f t="shared" si="32"/>
        <v>10</v>
      </c>
      <c r="B181" s="140" t="s">
        <v>143</v>
      </c>
      <c r="C181" s="140" t="s">
        <v>121</v>
      </c>
      <c r="D181" s="139" t="s">
        <v>103</v>
      </c>
      <c r="E181" s="143"/>
      <c r="F181" s="143" t="s">
        <v>103</v>
      </c>
      <c r="G181" s="143" t="s">
        <v>185</v>
      </c>
      <c r="H181" s="143">
        <v>1</v>
      </c>
      <c r="I181" s="562">
        <f t="shared" ref="I181" si="33">(K181+$K$172)*H181</f>
        <v>766.11300000000006</v>
      </c>
      <c r="J181" s="563"/>
      <c r="K181" s="447">
        <v>764.44</v>
      </c>
      <c r="N181" s="56"/>
      <c r="O181" s="56"/>
      <c r="P181" s="56"/>
      <c r="Q181" s="289"/>
      <c r="R181" s="289"/>
      <c r="S181" s="289"/>
      <c r="T181" s="17"/>
      <c r="U181" s="17"/>
      <c r="V181" s="17"/>
      <c r="W181" s="56"/>
    </row>
    <row r="182" spans="1:25" s="1" customFormat="1" ht="18" customHeight="1">
      <c r="A182" s="201">
        <f t="shared" si="32"/>
        <v>11</v>
      </c>
      <c r="B182" s="140" t="s">
        <v>113</v>
      </c>
      <c r="C182" s="140" t="s">
        <v>502</v>
      </c>
      <c r="D182" s="139" t="s">
        <v>83</v>
      </c>
      <c r="E182" s="143"/>
      <c r="F182" s="143" t="s">
        <v>83</v>
      </c>
      <c r="G182" s="143" t="s">
        <v>185</v>
      </c>
      <c r="H182" s="143">
        <v>2</v>
      </c>
      <c r="I182" s="562">
        <f t="shared" ref="I182:I188" si="34">(K182+$K$172)*H182</f>
        <v>3941.9059999999999</v>
      </c>
      <c r="J182" s="563"/>
      <c r="K182" s="447">
        <v>1969.28</v>
      </c>
      <c r="N182" s="101" t="s">
        <v>227</v>
      </c>
      <c r="O182" s="246" t="s">
        <v>29</v>
      </c>
      <c r="P182" s="246" t="s">
        <v>3</v>
      </c>
      <c r="Q182" s="246" t="s">
        <v>199</v>
      </c>
      <c r="R182" s="246" t="s">
        <v>5</v>
      </c>
      <c r="S182" s="246" t="s">
        <v>28</v>
      </c>
      <c r="T182" s="246" t="s">
        <v>19</v>
      </c>
      <c r="U182" s="246" t="s">
        <v>200</v>
      </c>
      <c r="V182" s="246" t="s">
        <v>20</v>
      </c>
      <c r="W182" s="246" t="s">
        <v>201</v>
      </c>
    </row>
    <row r="183" spans="1:25" s="1" customFormat="1" ht="18" customHeight="1">
      <c r="A183" s="201">
        <f t="shared" si="32"/>
        <v>12</v>
      </c>
      <c r="B183" s="140" t="s">
        <v>112</v>
      </c>
      <c r="C183" s="140" t="s">
        <v>114</v>
      </c>
      <c r="D183" s="128" t="s">
        <v>520</v>
      </c>
      <c r="E183" s="129"/>
      <c r="F183" s="129" t="s">
        <v>520</v>
      </c>
      <c r="G183" s="143" t="s">
        <v>202</v>
      </c>
      <c r="H183" s="143">
        <v>4</v>
      </c>
      <c r="I183" s="562">
        <f t="shared" si="34"/>
        <v>37.268000000000001</v>
      </c>
      <c r="J183" s="563"/>
      <c r="K183" s="447">
        <v>7.6440000000000001</v>
      </c>
      <c r="N183" s="101" t="s">
        <v>240</v>
      </c>
      <c r="O183" s="290" t="s">
        <v>234</v>
      </c>
      <c r="P183" s="290" t="s">
        <v>236</v>
      </c>
      <c r="Q183" s="280" t="s">
        <v>190</v>
      </c>
      <c r="R183" s="213"/>
      <c r="S183" s="213" t="s">
        <v>190</v>
      </c>
      <c r="T183" s="213" t="s">
        <v>198</v>
      </c>
      <c r="U183" s="291">
        <f>((($I$134*$G$134)+($I$136*$G$136)+($I$139*$G$139))/1000)*$J$120</f>
        <v>6.9130000000000003</v>
      </c>
      <c r="V183" s="291">
        <v>300</v>
      </c>
      <c r="W183" s="292">
        <f>ROUNDUP((U183)/V183,0)</f>
        <v>1</v>
      </c>
    </row>
    <row r="184" spans="1:25" s="1" customFormat="1" ht="18" customHeight="1">
      <c r="A184" s="201">
        <f t="shared" si="32"/>
        <v>13</v>
      </c>
      <c r="B184" s="140" t="s">
        <v>115</v>
      </c>
      <c r="C184" s="140" t="s">
        <v>45</v>
      </c>
      <c r="D184" s="139" t="s">
        <v>84</v>
      </c>
      <c r="E184" s="143"/>
      <c r="F184" s="143" t="s">
        <v>84</v>
      </c>
      <c r="G184" s="143" t="s">
        <v>202</v>
      </c>
      <c r="H184" s="143">
        <v>1</v>
      </c>
      <c r="I184" s="562">
        <f t="shared" si="34"/>
        <v>13.773</v>
      </c>
      <c r="J184" s="563"/>
      <c r="K184" s="447">
        <v>12.1</v>
      </c>
      <c r="N184" s="101" t="s">
        <v>241</v>
      </c>
      <c r="O184" s="290" t="s">
        <v>235</v>
      </c>
      <c r="P184" s="290" t="s">
        <v>238</v>
      </c>
      <c r="Q184" s="280" t="s">
        <v>71</v>
      </c>
      <c r="R184" s="213"/>
      <c r="S184" s="213" t="s">
        <v>71</v>
      </c>
      <c r="T184" s="213" t="s">
        <v>198</v>
      </c>
      <c r="U184" s="291">
        <f>((($I$134*$G$134)+($I$136*$G$136)+($I$139*$G$139))/1000)*$J$120</f>
        <v>6.9130000000000003</v>
      </c>
      <c r="V184" s="291">
        <v>100</v>
      </c>
      <c r="W184" s="292">
        <f t="shared" ref="W184:W186" si="35">ROUNDUP((U184)/V184,0)</f>
        <v>1</v>
      </c>
    </row>
    <row r="185" spans="1:25" s="1" customFormat="1" ht="18" customHeight="1">
      <c r="A185" s="201">
        <f t="shared" si="32"/>
        <v>14</v>
      </c>
      <c r="B185" s="139" t="str">
        <f>IF($D$129="Standard",$O$183,IF($D$129="Soumdproof",$O$184,))</f>
        <v>ยางเฟรมกันน้ำ (ธรรมดา)</v>
      </c>
      <c r="C185" s="139" t="str">
        <f>IF($D$129="Standard",$P$183,IF($D$129="Soumdproof",$P$184,))</f>
        <v>FRAME SEAL (Standard)</v>
      </c>
      <c r="D185" s="139" t="str">
        <f>IF($D$129="Standard",$Q$183,IF($D$129="Soumdproof",$Q$184,))</f>
        <v>02-026</v>
      </c>
      <c r="E185" s="143">
        <f t="shared" ref="E185" si="36">IF($D$129="Standard",R184,IF($D$129="Soumdproof",R185,))</f>
        <v>0</v>
      </c>
      <c r="F185" s="143" t="str">
        <f>IF($D$129="Standard",$S$183,IF($D$129="Soumdproof",$S$184,))</f>
        <v>02-026</v>
      </c>
      <c r="G185" s="143" t="str">
        <f>IF($D$129="Standard",$T$183,IF($D$129="Soumdproof",$T$184,))</f>
        <v>M</v>
      </c>
      <c r="H185" s="261">
        <f>IF($D$129="Standard",$U$183,IF($D$129="Soumdproof",$U$184,))</f>
        <v>6.9130000000000003</v>
      </c>
      <c r="I185" s="562">
        <f t="shared" si="34"/>
        <v>65.524870500000006</v>
      </c>
      <c r="J185" s="563"/>
      <c r="K185" s="444">
        <v>7.8055000000000003</v>
      </c>
      <c r="N185" s="101" t="s">
        <v>240</v>
      </c>
      <c r="O185" s="290" t="s">
        <v>245</v>
      </c>
      <c r="P185" s="290" t="s">
        <v>237</v>
      </c>
      <c r="Q185" s="280" t="s">
        <v>72</v>
      </c>
      <c r="R185" s="213"/>
      <c r="S185" s="213" t="s">
        <v>72</v>
      </c>
      <c r="T185" s="213" t="s">
        <v>198</v>
      </c>
      <c r="U185" s="291">
        <f>((($I$141*$G$141*2)+($I$143*$G$143*2)+($I$144*$G$144*2))/1000)*$J$120</f>
        <v>40.414499999999997</v>
      </c>
      <c r="V185" s="291">
        <v>350</v>
      </c>
      <c r="W185" s="292">
        <f t="shared" si="35"/>
        <v>1</v>
      </c>
    </row>
    <row r="186" spans="1:25" s="1" customFormat="1" ht="18" customHeight="1">
      <c r="A186" s="201">
        <f t="shared" si="32"/>
        <v>15</v>
      </c>
      <c r="B186" s="139" t="str">
        <f>IF($D$129="Standard",$O$185,IF($D$129="Soumdproof",$O$186,))</f>
        <v>ยางแซชกันน้ำ (ธรรมดา)</v>
      </c>
      <c r="C186" s="139" t="str">
        <f>IF($D$129="Standard",$P$185,IF($D$129="Soumdproof",$P$186,))</f>
        <v>SASH SEAL FOAM (Standard)</v>
      </c>
      <c r="D186" s="139" t="str">
        <f>IF($D$129="Standard",$Q$185,IF($D$129="Soumdproof",$Q$186,))</f>
        <v>02-031</v>
      </c>
      <c r="E186" s="143">
        <f t="shared" ref="E186" si="37">IF($D$129="Standard",R186,IF($D$129="Soumdproof",R187,))</f>
        <v>0</v>
      </c>
      <c r="F186" s="143" t="str">
        <f>IF($D$129="Standard",$S$185,IF($D$129="Soumdproof",$S$186,))</f>
        <v>02-031</v>
      </c>
      <c r="G186" s="143" t="str">
        <f>IF($D$129="Standard",$T$185,IF($D$129="Soumdproof",$T$186,))</f>
        <v>M</v>
      </c>
      <c r="H186" s="261">
        <f>IF($D$129="Standard",$U$185,IF($D$129="Soumdproof",$U$186,))</f>
        <v>40.414499999999997</v>
      </c>
      <c r="I186" s="562">
        <f t="shared" si="34"/>
        <v>322.22480849999999</v>
      </c>
      <c r="J186" s="563"/>
      <c r="K186" s="444">
        <v>6.3</v>
      </c>
      <c r="N186" s="101" t="s">
        <v>241</v>
      </c>
      <c r="O186" s="290" t="s">
        <v>246</v>
      </c>
      <c r="P186" s="290" t="s">
        <v>239</v>
      </c>
      <c r="Q186" s="280" t="s">
        <v>193</v>
      </c>
      <c r="R186" s="213"/>
      <c r="S186" s="213" t="s">
        <v>193</v>
      </c>
      <c r="T186" s="213" t="s">
        <v>198</v>
      </c>
      <c r="U186" s="291">
        <f>((($I$141*$G$141*2)+($I$143*$G$143*2)+($I$144*$G$144*2))/1000)*$J$120</f>
        <v>40.414499999999997</v>
      </c>
      <c r="V186" s="291">
        <v>100</v>
      </c>
      <c r="W186" s="292">
        <f t="shared" si="35"/>
        <v>1</v>
      </c>
    </row>
    <row r="187" spans="1:25" s="1" customFormat="1" ht="18" customHeight="1">
      <c r="A187" s="201">
        <f t="shared" si="32"/>
        <v>16</v>
      </c>
      <c r="B187" s="241" t="str">
        <f>IF($D$127=5,$O$174,IF($D$127=6,$O$175,IF($D$127=8,$O$176,IF($D$127=10,$O$174,IF($D$127=12,$O$174,IF($D$127=14,$O$176,IF($D$127=18,$O$174,IF($D$127=20,$O$175,IF($D$127=22,"")))))))))</f>
        <v>6,20 mm ยางอัดกระจก</v>
      </c>
      <c r="C187" s="241" t="str">
        <f>IF($D$127=5,$P$174,IF($D$127=6,$P$175,IF($D$127=8,$P$176,IF($D$127=10,$P$174,IF($D$127=12,$P$174,IF($D$127=14,$P$176,IF($D$127=18,$P$174,IF($D$127=20,$P$175,IF($D$127=22,"")))))))))</f>
        <v>6,20 mm ROLL IN WEDGE</v>
      </c>
      <c r="D187" s="241" t="str">
        <f>IF($D$127=5,$Q$174,IF($D$127=6,$Q$175,IF($D$127=8,$Q$176,IF($D$127=10,$Q$174,IF($D$127=12,$Q$174,IF($D$127=14,$Q$176,IF($D$127=18,$Q$174,IF($D$127=20,$Q$175,IF($D$127=22,"")))))))))</f>
        <v>02-034</v>
      </c>
      <c r="E187" s="241">
        <f t="shared" ref="E187" si="38">IF($D$127=5,R175,IF($D$127=6,R176,IF($D$127=8,R177,IF($D$127=10,R175,IF($D$127=12,R175,IF($D$127=14,R177,IF($D$127=18,R175,IF($D$127=20,R176,IF($D$127=22,"",)))))))))</f>
        <v>0</v>
      </c>
      <c r="F187" s="242" t="str">
        <f>IF($D$127=5,$S$174,IF($D$127=6,$S$175,IF($D$127=8,$S$176,IF($D$127=10,$S$174,IF($D$127=12,$S$174,IF($D$127=14,$S$176,IF($D$127=18,$S$174,IF($D$127=20,$S$175,IF($D$127=22,"")))))))))</f>
        <v>02-034</v>
      </c>
      <c r="G187" s="242" t="str">
        <f>IF($D$127=5,$T$174,IF($D$127=6,$T$175,IF($D$127=8,$T$176,IF($D$127=10,$T$174,IF($D$127=12,$T$174,IF($D$127=14,$T$176,IF($D$127=18,$T$174,IF($D$127=20,$T$175,IF($D$127=22,"")))))))))</f>
        <v>M</v>
      </c>
      <c r="H187" s="261">
        <f>IF($D$127=5,$U$174,IF($D$127=6,$U$175,IF($D$127=8,$U$176,IF($D$127=10,$U$174*2,IF($D$127=12,$U$174,IF($D$127=14,$U$176*2,IF($D$127=18,$U$174,IF($D$127=20,$U$175,IF($D$127=22,"")))))))))</f>
        <v>22.070499999999999</v>
      </c>
      <c r="I187" s="562">
        <f t="shared" si="34"/>
        <v>291.61751649999997</v>
      </c>
      <c r="J187" s="563"/>
      <c r="K187" s="444">
        <v>11.54</v>
      </c>
    </row>
    <row r="188" spans="1:25" s="1" customFormat="1" ht="18" customHeight="1">
      <c r="A188" s="201">
        <f t="shared" si="32"/>
        <v>17</v>
      </c>
      <c r="B188" s="241" t="str">
        <f>IF($D$127=5,$O$172,IF($D$127=6,$O$172,IF($D$127=8,$O$174,IF($D$127=10,"",IF($D$127=12,$O$173,IF($D$127=14,"",IF($D$127=18,$O$172,IF($D$127=20,$O$173,IF($D$127=22,"",)))))))))</f>
        <v>5,6,18 mm ยางรองกระจก</v>
      </c>
      <c r="C188" s="241" t="str">
        <f>IF($D$127=5,$P$172,IF($D$127=6,$P$172,IF($D$127=8,$P$174,IF($D$127=10,"",IF($D$127=12,$P$173,IF($D$127=14,"",IF($D$127=18,$P$172,IF($D$127=20,$P$173,IF($D$127=22,"",)))))))))</f>
        <v>5,6,18 mm CAPTIVE WEDGE</v>
      </c>
      <c r="D188" s="241" t="str">
        <f>IF($D$127=5,$Q$172,IF($D$127=6,$Q$172,IF($D$127=8,$Q$174,IF($D$127=10,"",IF($D$127=12,$Q$173,IF($D$127=14,"",IF($D$127=18,$Q$172,IF($D$127=20,$Q$173,IF($D$127=22,"",)))))))))</f>
        <v>02-022</v>
      </c>
      <c r="E188" s="241">
        <f t="shared" ref="E188" si="39">IF($D$127=5,R173,IF($D$127=6,R173,IF($D$127=8,R175,IF($D$127=10,"",IF($D$127=12,R174,IF($D$127=14,"",IF($D$127=18,R173,IF($D$127=20,R174,IF($D$127=22,"",)))))))))</f>
        <v>0</v>
      </c>
      <c r="F188" s="242" t="str">
        <f>IF($D$127=5,$S$172,IF($D$127=6,$S$172,IF($D$127=8,$S$174,IF($D$127=10,"",IF($D$127=12,$S$173,IF($D$127=14,"",IF($D$127=18,$S$172,IF($D$127=20,$S$173,IF($D$127=22,"",)))))))))</f>
        <v>02-022</v>
      </c>
      <c r="G188" s="242" t="str">
        <f>IF($D$127=5,$T$172,IF($D$127=6,$T$172,IF($D$127=8,$T$174,IF($D$127=10,"",IF($D$127=12,$T$173,IF($D$127=14,"",IF($D$127=18,$T$172,IF($D$127=20,$T$173,IF($D$127=22,"",)))))))))</f>
        <v>M</v>
      </c>
      <c r="H188" s="261">
        <f>IF($D$127=5,$U$172,IF($D$127=6,$U$172,IF($D$127=8,$U$174,IF($D$127=10,"",IF($D$127=12,$U$173,IF($D$127=14,"",IF($D$127=18,$U$172,IF($D$127=20,$U$173,IF($D$127=22,"")))))))))</f>
        <v>22.070499999999999</v>
      </c>
      <c r="I188" s="562">
        <f t="shared" si="34"/>
        <v>250.1249765</v>
      </c>
      <c r="J188" s="563"/>
      <c r="K188" s="444">
        <v>9.66</v>
      </c>
    </row>
    <row r="189" spans="1:25" s="1" customFormat="1" ht="18" customHeight="1">
      <c r="A189" s="201" t="str">
        <f t="shared" si="32"/>
        <v/>
      </c>
      <c r="B189" s="140"/>
      <c r="C189" s="140"/>
      <c r="D189" s="139"/>
      <c r="E189" s="143"/>
      <c r="F189" s="143"/>
      <c r="G189" s="143"/>
      <c r="H189" s="446" t="s">
        <v>661</v>
      </c>
      <c r="I189" s="566">
        <f>SUM(I172:J188)</f>
        <v>9099.5443719999985</v>
      </c>
      <c r="J189" s="567"/>
    </row>
    <row r="190" spans="1:25" s="1" customFormat="1" ht="18" customHeight="1">
      <c r="A190" s="201" t="str">
        <f t="shared" si="32"/>
        <v/>
      </c>
      <c r="B190" s="140"/>
      <c r="C190" s="140"/>
      <c r="D190" s="139"/>
      <c r="E190" s="143"/>
      <c r="F190" s="143"/>
      <c r="G190" s="143"/>
      <c r="H190" s="143"/>
      <c r="I190" s="130"/>
      <c r="J190" s="131">
        <f t="shared" ref="J190" si="40">$J$120*H190</f>
        <v>0</v>
      </c>
    </row>
    <row r="191" spans="1:25" s="1" customFormat="1" ht="18" customHeight="1">
      <c r="A191" s="201" t="str">
        <f t="shared" ref="A191:A205" si="41">IF(B191="","",+A190+1)</f>
        <v/>
      </c>
      <c r="B191" s="140"/>
      <c r="C191" s="140"/>
      <c r="D191" s="139"/>
      <c r="E191" s="143"/>
      <c r="F191" s="143"/>
      <c r="G191" s="143"/>
      <c r="H191" s="143"/>
      <c r="I191" s="130"/>
      <c r="J191" s="131">
        <f>$J$120*H191</f>
        <v>0</v>
      </c>
    </row>
    <row r="192" spans="1:25" ht="18" customHeight="1">
      <c r="A192" s="201" t="str">
        <f t="shared" si="41"/>
        <v/>
      </c>
      <c r="B192" s="140"/>
      <c r="C192" s="140"/>
      <c r="D192" s="139"/>
      <c r="E192" s="143"/>
      <c r="F192" s="143"/>
      <c r="G192" s="143"/>
      <c r="H192" s="143"/>
      <c r="I192" s="130"/>
      <c r="J192" s="131">
        <f>$J$120*H192</f>
        <v>0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14" s="1" customFormat="1" ht="18" customHeight="1">
      <c r="A193" s="201" t="str">
        <f t="shared" si="41"/>
        <v/>
      </c>
      <c r="B193" s="140"/>
      <c r="C193" s="140"/>
      <c r="D193" s="139"/>
      <c r="E193" s="143"/>
      <c r="F193" s="143"/>
      <c r="G193" s="143"/>
      <c r="H193" s="143"/>
      <c r="I193" s="130"/>
      <c r="J193" s="131">
        <f>$J$120*H193</f>
        <v>0</v>
      </c>
    </row>
    <row r="194" spans="1:14" s="1" customFormat="1" ht="18" customHeight="1">
      <c r="A194" s="201" t="str">
        <f t="shared" si="41"/>
        <v/>
      </c>
      <c r="B194" s="140"/>
      <c r="C194" s="140"/>
      <c r="D194" s="139"/>
      <c r="E194" s="143"/>
      <c r="F194" s="143"/>
      <c r="G194" s="143"/>
      <c r="H194" s="143"/>
      <c r="I194" s="130"/>
      <c r="J194" s="131">
        <f>$J$120*H194</f>
        <v>0</v>
      </c>
    </row>
    <row r="195" spans="1:14" s="1" customFormat="1" ht="18" customHeight="1">
      <c r="A195" s="201" t="str">
        <f>IF(B195="","",+A194+1)</f>
        <v/>
      </c>
      <c r="B195" s="140"/>
      <c r="C195" s="140"/>
      <c r="D195" s="139"/>
      <c r="E195" s="143"/>
      <c r="F195" s="143"/>
      <c r="G195" s="143"/>
      <c r="H195" s="143"/>
      <c r="I195" s="130"/>
      <c r="J195" s="131">
        <f>$J$120*H195</f>
        <v>0</v>
      </c>
    </row>
    <row r="196" spans="1:14" s="1" customFormat="1" ht="18" customHeight="1">
      <c r="A196" s="201"/>
      <c r="B196" s="140"/>
      <c r="C196" s="140"/>
      <c r="D196" s="139"/>
      <c r="E196" s="143"/>
      <c r="F196" s="143"/>
      <c r="G196" s="143"/>
      <c r="H196" s="143"/>
      <c r="I196" s="130"/>
      <c r="J196" s="131"/>
    </row>
    <row r="197" spans="1:14" s="1" customFormat="1" ht="18" customHeight="1">
      <c r="A197" s="201" t="str">
        <f>IF(B197="","",+A195+1)</f>
        <v/>
      </c>
      <c r="B197" s="140"/>
      <c r="C197" s="140"/>
      <c r="D197" s="139"/>
      <c r="E197" s="143"/>
      <c r="F197" s="143"/>
      <c r="G197" s="143"/>
      <c r="H197" s="143"/>
      <c r="I197" s="130"/>
      <c r="J197" s="131">
        <f t="shared" ref="J197:J205" si="42">$J$120*H197</f>
        <v>0</v>
      </c>
    </row>
    <row r="198" spans="1:14" s="1" customFormat="1" ht="18" customHeight="1">
      <c r="A198" s="201" t="str">
        <f>IF(B198="","",+A197+1)</f>
        <v/>
      </c>
      <c r="B198" s="140"/>
      <c r="C198" s="140"/>
      <c r="D198" s="139"/>
      <c r="E198" s="143"/>
      <c r="F198" s="143"/>
      <c r="G198" s="143"/>
      <c r="H198" s="143"/>
      <c r="I198" s="130"/>
      <c r="J198" s="131">
        <f t="shared" si="42"/>
        <v>0</v>
      </c>
    </row>
    <row r="199" spans="1:14" s="1" customFormat="1" ht="18" customHeight="1">
      <c r="A199" s="201" t="str">
        <f>IF(B199="","",+A198+1)</f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 t="shared" si="42"/>
        <v>0</v>
      </c>
    </row>
    <row r="200" spans="1:14" s="1" customFormat="1" ht="18" customHeight="1">
      <c r="A200" s="201" t="str">
        <f>IF(B200="","",+#REF!+1)</f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si="42"/>
        <v>0</v>
      </c>
    </row>
    <row r="201" spans="1:14" s="1" customFormat="1" ht="18" customHeight="1">
      <c r="A201" s="201" t="str">
        <f>IF(B201="","",+A200+1)</f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si="42"/>
        <v>0</v>
      </c>
    </row>
    <row r="202" spans="1:14" s="1" customFormat="1" ht="18" customHeight="1">
      <c r="A202" s="201" t="str">
        <f>IF(B202="","",+#REF!+1)</f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si="42"/>
        <v>0</v>
      </c>
    </row>
    <row r="203" spans="1:14" s="1" customFormat="1" ht="18" customHeight="1">
      <c r="A203" s="201" t="str">
        <f t="shared" si="41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si="42"/>
        <v>0</v>
      </c>
    </row>
    <row r="204" spans="1:14" s="1" customFormat="1" ht="18" customHeight="1">
      <c r="A204" s="201" t="str">
        <f>IF(B204="","",+#REF!+1)</f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 t="shared" si="42"/>
        <v>0</v>
      </c>
    </row>
    <row r="205" spans="1:14" s="1" customFormat="1" ht="18" customHeight="1">
      <c r="A205" s="317" t="str">
        <f t="shared" si="41"/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 t="shared" si="42"/>
        <v>0</v>
      </c>
    </row>
    <row r="206" spans="1:14" s="1" customFormat="1" ht="18" customHeight="1">
      <c r="A206" s="25"/>
      <c r="B206" s="161"/>
      <c r="C206" s="33"/>
      <c r="D206" s="30"/>
      <c r="E206" s="17"/>
      <c r="F206" s="30"/>
      <c r="G206" s="30"/>
      <c r="H206" s="161"/>
      <c r="I206" s="24"/>
      <c r="J206" s="24"/>
    </row>
    <row r="207" spans="1:14" ht="12.75" customHeight="1">
      <c r="A207" s="17"/>
      <c r="J207" s="99" t="str">
        <f>LEFT($J$111,11)&amp;"-02"</f>
        <v>FG-240-4P4L-02</v>
      </c>
    </row>
    <row r="208" spans="1:14" ht="15" customHeight="1">
      <c r="B208" s="56"/>
      <c r="C208" s="56"/>
      <c r="D208" s="30"/>
      <c r="E208" s="17"/>
      <c r="F208" s="17"/>
      <c r="G208" s="17"/>
      <c r="H208" s="17"/>
      <c r="K208" s="7"/>
      <c r="L208" s="7"/>
      <c r="M208" s="2"/>
      <c r="N208" s="2"/>
    </row>
    <row r="209" spans="1:14" ht="30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197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197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 s="93"/>
      <c r="C215" s="56"/>
      <c r="D215" s="30"/>
      <c r="E215" s="29"/>
      <c r="F215" s="160"/>
      <c r="G215"/>
      <c r="H215"/>
      <c r="I215" s="160"/>
      <c r="J215" s="116"/>
    </row>
    <row r="216" spans="1:14" s="1" customFormat="1" ht="15" customHeight="1">
      <c r="A216" s="17"/>
      <c r="B216" s="56"/>
      <c r="C216" s="89"/>
      <c r="D216" s="30"/>
      <c r="E216" s="29"/>
      <c r="F216" s="30"/>
      <c r="G216" s="160"/>
      <c r="H216" s="16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s="1" customFormat="1" ht="15.6">
      <c r="A218" s="109"/>
      <c r="B218" s="33"/>
      <c r="C218" s="327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368</v>
      </c>
      <c r="D220" s="30"/>
      <c r="E220" s="29"/>
      <c r="F220" s="30"/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89"/>
      <c r="J221" s="12"/>
    </row>
    <row r="222" spans="1:14" s="1" customFormat="1" ht="15" customHeight="1">
      <c r="A222" s="109"/>
      <c r="B222" s="33"/>
      <c r="C222" s="327" t="s">
        <v>273</v>
      </c>
      <c r="D222" s="161"/>
      <c r="E222" s="109"/>
      <c r="F222" s="161"/>
      <c r="J222" s="12"/>
    </row>
    <row r="223" spans="1:14" s="1" customFormat="1" ht="15" customHeight="1">
      <c r="A223" s="109"/>
      <c r="B223" s="33"/>
      <c r="C223" s="374">
        <f>$I$133</f>
        <v>2325</v>
      </c>
      <c r="D223" s="161"/>
      <c r="E223" s="35"/>
      <c r="F223" s="161"/>
      <c r="G223" s="68"/>
      <c r="J223" s="12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326"/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326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327"/>
      <c r="D229" s="161"/>
      <c r="E229" s="109"/>
      <c r="F229" s="161"/>
      <c r="H229" s="109"/>
      <c r="I229" s="196"/>
      <c r="J229" s="117"/>
    </row>
    <row r="230" spans="1:10" s="1" customFormat="1" ht="15.9" customHeight="1">
      <c r="A230" s="92"/>
      <c r="B230" s="92"/>
      <c r="C230" s="356"/>
      <c r="D230" s="161"/>
      <c r="E230" s="109"/>
      <c r="F230" s="161"/>
      <c r="H230" s="109"/>
      <c r="I230" s="328"/>
      <c r="J230" s="117"/>
    </row>
    <row r="231" spans="1:10" s="1" customFormat="1" ht="15.9" customHeight="1">
      <c r="A231" s="45"/>
      <c r="B231" s="45"/>
      <c r="D231" s="161"/>
      <c r="E231" s="109"/>
      <c r="F231" s="161"/>
      <c r="I231" s="196"/>
      <c r="J231" s="117"/>
    </row>
    <row r="232" spans="1:10" s="1" customFormat="1" ht="15.9" customHeight="1">
      <c r="A232" s="109"/>
      <c r="B232" s="109"/>
      <c r="D232" s="161"/>
      <c r="E232" s="109"/>
      <c r="F232" s="161"/>
      <c r="I232" s="196"/>
      <c r="J232" s="117"/>
    </row>
    <row r="233" spans="1:10" s="1" customFormat="1" ht="15.9" customHeight="1">
      <c r="A233" s="39"/>
      <c r="B233" s="38"/>
      <c r="D233" s="161"/>
      <c r="E233" s="109"/>
      <c r="F233" s="109"/>
      <c r="I233" s="196"/>
      <c r="J233" s="117"/>
    </row>
    <row r="234" spans="1:10" s="1" customFormat="1" ht="15.9" customHeight="1">
      <c r="A234" s="44"/>
      <c r="B234" s="44"/>
      <c r="C234" s="89" t="s">
        <v>369</v>
      </c>
      <c r="D234" s="84"/>
      <c r="E234" s="44"/>
      <c r="F234" s="44"/>
      <c r="G234" s="109"/>
      <c r="H234" s="109"/>
      <c r="I234" s="196"/>
      <c r="J234" s="117"/>
    </row>
    <row r="235" spans="1:10" s="1" customFormat="1" ht="15.9" customHeight="1">
      <c r="A235" s="40"/>
      <c r="B235" s="40"/>
      <c r="C235" s="328" t="s">
        <v>652</v>
      </c>
      <c r="D235" s="85"/>
      <c r="E235" s="40"/>
      <c r="F235" s="32"/>
      <c r="G235" s="109"/>
      <c r="H235" s="109"/>
      <c r="J235" s="12"/>
    </row>
    <row r="236" spans="1:10" s="1" customFormat="1" ht="15.9" customHeight="1">
      <c r="A236" s="109"/>
      <c r="B236" s="33"/>
      <c r="C236" s="433" t="s">
        <v>654</v>
      </c>
      <c r="D236" s="161"/>
      <c r="E236" s="109"/>
      <c r="F236" s="161"/>
      <c r="G236" s="109"/>
      <c r="H236" s="109"/>
      <c r="I236" s="109"/>
      <c r="J236" s="24"/>
    </row>
    <row r="237" spans="1:10" s="1" customFormat="1" ht="15.9" customHeight="1">
      <c r="A237" s="109"/>
      <c r="B237" s="33"/>
      <c r="C237" s="374">
        <f>$I$134</f>
        <v>2299</v>
      </c>
      <c r="D237" s="161"/>
      <c r="E237" s="109"/>
      <c r="F237" s="161"/>
      <c r="G237" s="109"/>
      <c r="H237" s="109"/>
      <c r="I237" s="24"/>
      <c r="J237" s="24"/>
    </row>
    <row r="238" spans="1:10" s="1" customFormat="1" ht="15.9" customHeight="1">
      <c r="A238" s="109"/>
      <c r="B238" s="33"/>
      <c r="C238" s="363">
        <f>$J$134</f>
        <v>1</v>
      </c>
      <c r="D238" s="161"/>
      <c r="E238" s="109"/>
      <c r="F238" s="161"/>
      <c r="G238" s="109"/>
      <c r="H238" s="107"/>
      <c r="I238" s="89"/>
      <c r="J238" s="118"/>
    </row>
    <row r="239" spans="1:10" s="1" customFormat="1" ht="15.9" customHeight="1">
      <c r="A239" s="109"/>
      <c r="B239" s="33"/>
      <c r="C239" s="44"/>
      <c r="D239" s="161"/>
      <c r="E239" s="109"/>
      <c r="F239" s="161"/>
      <c r="G239" s="109"/>
      <c r="H239" s="107"/>
      <c r="I239" s="89"/>
      <c r="J239" s="118"/>
    </row>
    <row r="240" spans="1:10" s="1" customFormat="1" ht="15.9" customHeight="1">
      <c r="A240" s="109"/>
      <c r="B240" s="33"/>
      <c r="C240" s="44"/>
      <c r="D240" s="161"/>
      <c r="E240" s="109"/>
      <c r="F240" s="161"/>
      <c r="G240" s="109"/>
      <c r="H240" s="107"/>
      <c r="I240" s="196"/>
      <c r="J240" s="117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109"/>
      <c r="I241" s="196"/>
      <c r="J241" s="117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24"/>
      <c r="J242" s="24"/>
    </row>
    <row r="243" spans="1:10" s="1" customFormat="1" ht="15.9" customHeight="1">
      <c r="A243" s="109"/>
      <c r="B243" s="33"/>
      <c r="D243" s="161"/>
      <c r="E243" s="109"/>
      <c r="F243" s="161"/>
      <c r="G243" s="109"/>
      <c r="H243" s="36"/>
      <c r="I243" s="24"/>
      <c r="J243" s="24"/>
    </row>
    <row r="244" spans="1:10" s="1" customFormat="1" ht="15.9" customHeight="1">
      <c r="A244" s="109"/>
      <c r="B244" s="33"/>
      <c r="D244" s="161"/>
      <c r="E244" s="109"/>
      <c r="F244" s="161"/>
      <c r="G244" s="109"/>
      <c r="H244" s="109"/>
      <c r="I244" s="109"/>
      <c r="J244" s="24"/>
    </row>
    <row r="245" spans="1:10" s="1" customFormat="1" ht="15.9" customHeight="1">
      <c r="A245" s="109"/>
      <c r="B245" s="33"/>
      <c r="C245" s="89" t="s">
        <v>370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28" t="s">
        <v>275</v>
      </c>
      <c r="D246" s="161"/>
      <c r="E246" s="109"/>
      <c r="F246" s="161"/>
      <c r="G246" s="109"/>
      <c r="H246" s="109"/>
      <c r="I246" s="24"/>
      <c r="J246" s="24"/>
    </row>
    <row r="247" spans="1:10" s="1" customFormat="1" ht="15" customHeight="1">
      <c r="A247" s="109"/>
      <c r="B247" s="33"/>
      <c r="C247" s="327" t="s">
        <v>273</v>
      </c>
      <c r="D247" s="161"/>
      <c r="E247" s="109"/>
      <c r="F247" s="161"/>
      <c r="G247" s="109"/>
      <c r="H247" s="109"/>
      <c r="I247" s="24"/>
      <c r="J247" s="24"/>
    </row>
    <row r="248" spans="1:10" s="1" customFormat="1" ht="15.9" customHeight="1">
      <c r="A248" s="109"/>
      <c r="B248" s="33"/>
      <c r="C248" s="374">
        <f>$I$135</f>
        <v>2325</v>
      </c>
      <c r="D248" s="161"/>
      <c r="E248" s="109"/>
      <c r="F248" s="161"/>
      <c r="G248" s="109"/>
      <c r="H248" s="109"/>
      <c r="I248" s="44"/>
      <c r="J248" s="119"/>
    </row>
    <row r="249" spans="1:10" s="1" customFormat="1" ht="15.9" customHeight="1">
      <c r="A249" s="109"/>
      <c r="B249" s="33"/>
      <c r="C249" s="363">
        <f>$J$135</f>
        <v>1</v>
      </c>
      <c r="D249" s="161"/>
      <c r="E249" s="109"/>
      <c r="F249" s="161"/>
      <c r="G249" s="109"/>
      <c r="H249" s="109"/>
      <c r="I249" s="32"/>
      <c r="J249" s="40"/>
    </row>
    <row r="250" spans="1:10" s="1" customFormat="1" ht="15.9" customHeight="1">
      <c r="A250" s="109"/>
      <c r="B250" s="33"/>
      <c r="C250" s="161"/>
      <c r="D250" s="161"/>
      <c r="E250" s="109"/>
      <c r="F250" s="161"/>
      <c r="G250" s="109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4"/>
      <c r="H251" s="109"/>
      <c r="J251" s="12"/>
    </row>
    <row r="252" spans="1:10" s="1" customFormat="1" ht="15.9" customHeight="1">
      <c r="A252" s="109"/>
      <c r="B252" s="33"/>
      <c r="C252" s="33"/>
      <c r="D252" s="161"/>
      <c r="E252" s="109"/>
      <c r="F252" s="109"/>
      <c r="G252" s="44"/>
      <c r="H252" s="109"/>
      <c r="J252" s="12"/>
    </row>
    <row r="253" spans="1:10" s="1" customFormat="1" ht="15.9" customHeight="1">
      <c r="A253" s="109"/>
      <c r="B253" s="33"/>
      <c r="C253" s="33"/>
      <c r="D253" s="161"/>
      <c r="E253" s="109"/>
      <c r="F253" s="109"/>
      <c r="G253" s="44"/>
      <c r="H253" s="109"/>
      <c r="J253" s="12"/>
    </row>
    <row r="254" spans="1:10" s="1" customFormat="1" ht="15.9" customHeight="1">
      <c r="A254" s="109"/>
      <c r="B254" s="33"/>
      <c r="C254" s="33"/>
      <c r="D254" s="161"/>
      <c r="E254" s="109"/>
      <c r="F254" s="109"/>
      <c r="G254" s="40"/>
      <c r="H254" s="109"/>
      <c r="I254" s="24"/>
      <c r="J254" s="24"/>
    </row>
    <row r="255" spans="1:10" s="1" customFormat="1" ht="15.9" customHeight="1">
      <c r="A255" s="109"/>
      <c r="B255" s="33"/>
      <c r="D255" s="161"/>
      <c r="E255" s="109"/>
      <c r="F255" s="109"/>
      <c r="G255" s="109"/>
      <c r="H255" s="109"/>
      <c r="I255" s="24"/>
      <c r="J255" s="24"/>
    </row>
    <row r="256" spans="1:10" s="1" customFormat="1" ht="15.9" customHeight="1">
      <c r="A256" s="44"/>
      <c r="B256" s="44"/>
      <c r="D256" s="84"/>
      <c r="E256" s="44"/>
      <c r="F256" s="44"/>
      <c r="G256" s="109"/>
      <c r="H256" s="109"/>
      <c r="I256" s="24"/>
      <c r="J256" s="24"/>
    </row>
    <row r="257" spans="1:10" s="1" customFormat="1" ht="15.9" customHeight="1">
      <c r="A257" s="40"/>
      <c r="B257" s="40"/>
      <c r="C257" s="89" t="s">
        <v>371</v>
      </c>
      <c r="D257" s="85"/>
      <c r="E257" s="40"/>
      <c r="F257" s="32"/>
      <c r="G257" s="109"/>
      <c r="I257" s="24"/>
      <c r="J257" s="24"/>
    </row>
    <row r="258" spans="1:10" s="1" customFormat="1" ht="15.9" customHeight="1">
      <c r="A258" s="27"/>
      <c r="B258" s="33"/>
      <c r="C258" s="328" t="s">
        <v>275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27" t="s">
        <v>273</v>
      </c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74">
        <f>$I$136</f>
        <v>2325</v>
      </c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363">
        <f>$J$136</f>
        <v>1</v>
      </c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33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33"/>
      <c r="D264" s="161"/>
      <c r="E264" s="109"/>
      <c r="F264" s="109"/>
      <c r="G264" s="109"/>
      <c r="I264" s="24"/>
      <c r="J264" s="24"/>
    </row>
    <row r="265" spans="1:10" s="1" customFormat="1" ht="15.9" customHeight="1">
      <c r="A265" s="27"/>
      <c r="B265" s="33"/>
      <c r="C265" s="46"/>
      <c r="D265" s="161"/>
      <c r="E265" s="109"/>
      <c r="F265" s="109"/>
      <c r="G265" s="109"/>
      <c r="I265" s="24"/>
      <c r="J265" s="24"/>
    </row>
    <row r="266" spans="1:10" s="1" customFormat="1" ht="15.9" customHeight="1">
      <c r="A266" s="27"/>
      <c r="B266" s="33"/>
      <c r="C266" s="161"/>
      <c r="D266" s="161"/>
      <c r="E266" s="109"/>
      <c r="F266" s="109"/>
      <c r="G266" s="109"/>
      <c r="I266" s="24"/>
      <c r="J266" s="24"/>
    </row>
    <row r="267" spans="1:10" s="1" customFormat="1" ht="15.9" customHeight="1">
      <c r="A267" s="27"/>
      <c r="B267" s="33"/>
      <c r="C267" s="33"/>
      <c r="D267" s="161"/>
      <c r="E267" s="109"/>
      <c r="F267" s="109"/>
      <c r="G267" s="109"/>
      <c r="I267" s="24"/>
      <c r="J267" s="24"/>
    </row>
    <row r="268" spans="1:10" s="1" customFormat="1" ht="15.9" customHeight="1">
      <c r="A268" s="27"/>
      <c r="B268" s="33"/>
      <c r="C268" s="89" t="s">
        <v>373</v>
      </c>
      <c r="D268" s="161"/>
      <c r="E268" s="109"/>
      <c r="F268" s="109"/>
      <c r="G268" s="109"/>
      <c r="H268" s="109"/>
      <c r="I268" s="24"/>
      <c r="J268" s="24"/>
    </row>
    <row r="269" spans="1:10" s="1" customFormat="1" ht="15.9" customHeight="1">
      <c r="A269" s="27"/>
      <c r="B269" s="33"/>
      <c r="C269" s="328" t="s">
        <v>379</v>
      </c>
      <c r="D269" s="328"/>
      <c r="E269" s="328"/>
      <c r="F269" s="109"/>
      <c r="G269" s="109"/>
      <c r="H269" s="109"/>
      <c r="I269" s="24"/>
      <c r="J269" s="24"/>
    </row>
    <row r="270" spans="1:10" s="1" customFormat="1" ht="15.9" customHeight="1">
      <c r="A270" s="27"/>
      <c r="B270" s="33"/>
      <c r="C270" s="327" t="s">
        <v>279</v>
      </c>
      <c r="D270" s="327"/>
      <c r="E270" s="327"/>
      <c r="F270" s="109"/>
      <c r="G270" s="109"/>
      <c r="H270" s="109"/>
      <c r="J270" s="12"/>
    </row>
    <row r="271" spans="1:10" s="1" customFormat="1" ht="15.9" customHeight="1">
      <c r="A271" s="27"/>
      <c r="B271" s="33"/>
      <c r="C271" s="374">
        <f>$I$137</f>
        <v>2385</v>
      </c>
      <c r="D271" s="161"/>
      <c r="E271" s="109"/>
      <c r="F271" s="109"/>
      <c r="G271" s="33"/>
      <c r="H271" s="33"/>
      <c r="J271" s="12"/>
    </row>
    <row r="272" spans="1:10" s="1" customFormat="1" ht="15.9" customHeight="1">
      <c r="A272" s="27"/>
      <c r="B272" s="33"/>
      <c r="C272" s="363">
        <f>$J$137+$J$138</f>
        <v>2</v>
      </c>
      <c r="D272" s="161"/>
      <c r="E272" s="109"/>
      <c r="F272" s="109"/>
      <c r="G272" s="109"/>
      <c r="H272" s="109"/>
      <c r="J272" s="12"/>
    </row>
    <row r="273" spans="1:10" s="1" customFormat="1" ht="15.9" customHeight="1">
      <c r="A273" s="27"/>
      <c r="B273" s="33"/>
      <c r="D273" s="89"/>
      <c r="E273" s="89"/>
      <c r="F273" s="109"/>
      <c r="G273" s="109"/>
      <c r="H273" s="109"/>
      <c r="J273" s="12"/>
    </row>
    <row r="274" spans="1:10" s="1" customFormat="1" ht="15.9" customHeight="1">
      <c r="A274" s="27"/>
      <c r="B274" s="33"/>
      <c r="D274" s="89"/>
      <c r="E274" s="89"/>
      <c r="F274" s="109"/>
      <c r="G274" s="109"/>
      <c r="H274" s="109"/>
      <c r="J274" s="12"/>
    </row>
    <row r="275" spans="1:10" s="1" customFormat="1" ht="15.9" customHeight="1">
      <c r="A275" s="27"/>
      <c r="B275" s="33"/>
      <c r="D275" s="89"/>
      <c r="E275" s="89"/>
      <c r="F275" s="109"/>
      <c r="G275" s="109"/>
      <c r="H275" s="109"/>
      <c r="J275" s="12"/>
    </row>
    <row r="276" spans="1:10" s="1" customFormat="1" ht="15.9" customHeight="1">
      <c r="A276" s="27"/>
      <c r="D276" s="328"/>
      <c r="E276" s="328"/>
      <c r="F276" s="109"/>
      <c r="G276" s="109"/>
      <c r="H276" s="109"/>
      <c r="J276" s="12"/>
    </row>
    <row r="277" spans="1:10" s="1" customFormat="1" ht="15.9" customHeight="1">
      <c r="A277" s="27"/>
      <c r="B277" s="33"/>
      <c r="D277" s="328"/>
      <c r="E277" s="328"/>
      <c r="F277" s="109"/>
      <c r="G277" s="109"/>
      <c r="I277" s="24"/>
      <c r="J277" s="24"/>
    </row>
    <row r="278" spans="1:10" s="1" customFormat="1" ht="15.9" customHeight="1">
      <c r="A278" s="27"/>
      <c r="B278" s="33"/>
      <c r="C278" s="33"/>
      <c r="D278" s="161"/>
      <c r="E278" s="109"/>
      <c r="F278" s="109"/>
      <c r="G278" s="109"/>
      <c r="I278" s="24"/>
      <c r="J278" s="24"/>
    </row>
    <row r="279" spans="1:10" s="1" customFormat="1" ht="15.9" customHeight="1">
      <c r="A279" s="27"/>
      <c r="B279" s="33"/>
      <c r="C279" s="89" t="s">
        <v>374</v>
      </c>
      <c r="D279" s="162"/>
      <c r="E279" s="24"/>
      <c r="F279" s="109"/>
      <c r="G279" s="109"/>
      <c r="I279" s="24"/>
      <c r="J279" s="24"/>
    </row>
    <row r="280" spans="1:10" s="1" customFormat="1" ht="15.9" customHeight="1">
      <c r="A280" s="27"/>
      <c r="B280" s="33"/>
      <c r="C280" s="328" t="s">
        <v>649</v>
      </c>
      <c r="D280" s="328"/>
      <c r="E280" s="328"/>
      <c r="F280" s="109"/>
      <c r="G280" s="109"/>
      <c r="I280" s="109"/>
      <c r="J280" s="24"/>
    </row>
    <row r="281" spans="1:10" s="1" customFormat="1" ht="15.9" customHeight="1">
      <c r="A281" s="27"/>
      <c r="B281" s="33"/>
      <c r="C281" s="433" t="s">
        <v>650</v>
      </c>
      <c r="D281" s="327"/>
      <c r="E281" s="327"/>
      <c r="F281" s="109"/>
      <c r="G281" s="109"/>
      <c r="I281" s="109"/>
      <c r="J281" s="24"/>
    </row>
    <row r="282" spans="1:10" s="1" customFormat="1" ht="15.9" customHeight="1">
      <c r="A282" s="27"/>
      <c r="B282" s="33"/>
      <c r="C282" s="374">
        <f>$I$139</f>
        <v>2289</v>
      </c>
      <c r="F282" s="109"/>
      <c r="G282" s="109"/>
      <c r="I282" s="109"/>
      <c r="J282" s="24"/>
    </row>
    <row r="283" spans="1:10" s="1" customFormat="1" ht="15.9" customHeight="1">
      <c r="A283" s="27"/>
      <c r="B283" s="33"/>
      <c r="C283" s="363">
        <f>$J$139+$J$140</f>
        <v>2</v>
      </c>
      <c r="F283" s="109"/>
      <c r="G283" s="109"/>
      <c r="I283" s="109"/>
      <c r="J283" s="24"/>
    </row>
    <row r="284" spans="1:10" s="1" customFormat="1" ht="15.9" customHeight="1">
      <c r="A284" s="27"/>
      <c r="B284" s="33"/>
      <c r="F284" s="109"/>
      <c r="G284" s="109"/>
      <c r="H284" s="109"/>
      <c r="J284" s="12"/>
    </row>
    <row r="285" spans="1:10" s="1" customFormat="1" ht="15.9" customHeight="1">
      <c r="A285" s="27"/>
      <c r="B285" s="33"/>
      <c r="F285" s="109"/>
      <c r="G285" s="109"/>
      <c r="H285" s="109"/>
      <c r="J285" s="12"/>
    </row>
    <row r="286" spans="1:10" s="1" customFormat="1" ht="15.9" customHeight="1">
      <c r="A286" s="27"/>
      <c r="B286" s="33"/>
      <c r="C286" s="33"/>
      <c r="D286" s="161"/>
      <c r="E286" s="109"/>
      <c r="F286" s="109"/>
      <c r="G286" s="109"/>
      <c r="H286" s="109"/>
      <c r="J286" s="12"/>
    </row>
    <row r="287" spans="1:10" s="1" customFormat="1" ht="15.9" customHeight="1">
      <c r="A287" s="27"/>
      <c r="B287" s="33"/>
      <c r="F287" s="109"/>
      <c r="G287" s="109"/>
      <c r="H287" s="109"/>
      <c r="J287" s="12"/>
    </row>
    <row r="288" spans="1:10" s="1" customFormat="1" ht="15.9" customHeight="1">
      <c r="A288" s="27"/>
      <c r="B288" s="33"/>
      <c r="F288" s="109"/>
      <c r="G288" s="109"/>
      <c r="H288" s="109"/>
      <c r="I288" s="162"/>
      <c r="J288" s="24"/>
    </row>
    <row r="289" spans="1:10" s="1" customFormat="1" ht="15.9" customHeight="1">
      <c r="A289" s="27"/>
      <c r="B289" s="33"/>
      <c r="C289" s="89" t="s">
        <v>375</v>
      </c>
      <c r="F289" s="109"/>
      <c r="G289" s="109"/>
      <c r="H289" s="109"/>
      <c r="I289" s="109"/>
      <c r="J289" s="24"/>
    </row>
    <row r="290" spans="1:10" s="1" customFormat="1" ht="15.9" customHeight="1">
      <c r="A290" s="27"/>
      <c r="B290" s="33"/>
      <c r="C290" s="94" t="s">
        <v>457</v>
      </c>
      <c r="D290" s="161"/>
      <c r="E290" s="109"/>
      <c r="F290" s="109"/>
      <c r="G290" s="109"/>
      <c r="H290" s="109"/>
      <c r="I290" s="24"/>
      <c r="J290" s="24"/>
    </row>
    <row r="291" spans="1:10" s="1" customFormat="1" ht="15.9" customHeight="1">
      <c r="A291" s="27"/>
      <c r="B291" s="33"/>
      <c r="C291" s="327" t="s">
        <v>458</v>
      </c>
      <c r="D291" s="161"/>
      <c r="E291" s="109"/>
      <c r="F291" s="109"/>
      <c r="G291" s="109"/>
      <c r="H291" s="109"/>
      <c r="I291" s="24"/>
      <c r="J291" s="24"/>
    </row>
    <row r="292" spans="1:10" s="1" customFormat="1" ht="15.9" customHeight="1">
      <c r="A292" s="27"/>
      <c r="B292" s="33"/>
      <c r="C292" s="328" t="s">
        <v>281</v>
      </c>
      <c r="D292" s="328"/>
      <c r="E292" s="328"/>
      <c r="F292" s="109"/>
      <c r="G292" s="109"/>
      <c r="I292" s="24"/>
      <c r="J292" s="24"/>
    </row>
    <row r="293" spans="1:10" s="23" customFormat="1" ht="15.9" customHeight="1">
      <c r="A293" s="27"/>
      <c r="B293" s="33"/>
      <c r="C293" s="327" t="s">
        <v>282</v>
      </c>
      <c r="D293" s="327"/>
      <c r="E293" s="327"/>
      <c r="F293" s="109"/>
      <c r="G293" s="109"/>
      <c r="H293" s="1"/>
      <c r="I293" s="109"/>
      <c r="J293" s="109"/>
    </row>
    <row r="294" spans="1:10" s="1" customFormat="1" ht="15.9" customHeight="1">
      <c r="A294" s="27"/>
      <c r="B294" s="33"/>
      <c r="C294" s="374">
        <f>$I$141</f>
        <v>465.8125</v>
      </c>
      <c r="F294" s="109"/>
      <c r="G294" s="109"/>
      <c r="I294" s="44"/>
      <c r="J294" s="119"/>
    </row>
    <row r="295" spans="1:10" s="1" customFormat="1" ht="15.9" customHeight="1">
      <c r="A295" s="27"/>
      <c r="B295" s="33"/>
      <c r="C295" s="363">
        <f>$J$141+$J$142</f>
        <v>8</v>
      </c>
      <c r="D295" s="161"/>
      <c r="E295" s="109"/>
      <c r="F295" s="109"/>
      <c r="G295" s="109"/>
      <c r="H295" s="161"/>
      <c r="I295" s="32"/>
      <c r="J295" s="40"/>
    </row>
    <row r="296" spans="1:10" s="1" customFormat="1" ht="15.9" customHeight="1">
      <c r="A296" s="27"/>
      <c r="B296" s="33"/>
      <c r="C296" s="374">
        <f>$I$143</f>
        <v>2293</v>
      </c>
      <c r="D296" s="161"/>
      <c r="E296" s="109"/>
      <c r="F296" s="109"/>
      <c r="G296" s="109"/>
      <c r="H296" s="109"/>
      <c r="I296" s="24"/>
      <c r="J296" s="24"/>
    </row>
    <row r="297" spans="1:10" s="1" customFormat="1" ht="15.9" customHeight="1">
      <c r="A297" s="27"/>
      <c r="B297" s="33"/>
      <c r="C297" s="363">
        <f>$J$143+$J$144</f>
        <v>8</v>
      </c>
      <c r="D297" s="161"/>
      <c r="E297" s="109"/>
      <c r="F297" s="109"/>
      <c r="G297" s="109"/>
      <c r="H297" s="109"/>
      <c r="I297" s="24"/>
      <c r="J297" s="24"/>
    </row>
    <row r="298" spans="1:10" s="1" customFormat="1" ht="15.9" customHeight="1">
      <c r="A298" s="27"/>
      <c r="B298" s="33"/>
      <c r="C298" s="363"/>
      <c r="D298" s="161"/>
      <c r="E298" s="109"/>
      <c r="F298" s="109"/>
      <c r="G298" s="109"/>
      <c r="H298" s="109"/>
      <c r="I298" s="24"/>
      <c r="J298" s="24"/>
    </row>
    <row r="299" spans="1:10" s="1" customFormat="1" ht="15.9" customHeight="1">
      <c r="A299" s="27"/>
      <c r="B299" s="33"/>
      <c r="D299" s="161"/>
      <c r="E299" s="109"/>
      <c r="F299" s="109"/>
      <c r="G299" s="109"/>
      <c r="H299" s="109"/>
      <c r="I299" s="24"/>
      <c r="J299" s="24"/>
    </row>
    <row r="300" spans="1:10" s="1" customFormat="1" ht="15.9" customHeight="1">
      <c r="A300" s="27"/>
      <c r="B300" s="33"/>
      <c r="C300" s="33"/>
      <c r="D300" s="161"/>
      <c r="E300" s="109"/>
      <c r="F300" s="109"/>
      <c r="G300" s="109"/>
      <c r="H300" s="109"/>
      <c r="I300" s="109"/>
      <c r="J300" s="24"/>
    </row>
    <row r="301" spans="1:10" s="1" customFormat="1" ht="15.9" customHeight="1">
      <c r="A301" s="27"/>
      <c r="B301" s="33"/>
      <c r="C301" s="23"/>
      <c r="D301" s="161"/>
      <c r="E301" s="109"/>
      <c r="F301" s="109"/>
      <c r="G301" s="109"/>
      <c r="H301" s="109"/>
      <c r="I301" s="109"/>
      <c r="J301" s="24"/>
    </row>
    <row r="302" spans="1:10" s="1" customFormat="1" ht="15.9" customHeight="1">
      <c r="A302" s="27"/>
      <c r="B302" s="33"/>
      <c r="C302" s="89" t="s">
        <v>376</v>
      </c>
      <c r="D302" s="161"/>
      <c r="E302" s="109"/>
      <c r="F302" s="109"/>
      <c r="G302" s="109"/>
      <c r="H302" s="109"/>
      <c r="I302" s="109"/>
      <c r="J302" s="24"/>
    </row>
    <row r="303" spans="1:10" s="1" customFormat="1" ht="15.9" customHeight="1">
      <c r="A303" s="27"/>
      <c r="B303" s="33"/>
      <c r="C303" s="94" t="s">
        <v>457</v>
      </c>
      <c r="D303" s="161"/>
      <c r="E303" s="109"/>
      <c r="F303" s="109"/>
      <c r="G303" s="44"/>
      <c r="H303" s="44"/>
      <c r="I303" s="109"/>
      <c r="J303" s="24"/>
    </row>
    <row r="304" spans="1:10" s="1" customFormat="1" ht="15.9" customHeight="1">
      <c r="A304" s="27"/>
      <c r="B304" s="33"/>
      <c r="C304" s="327" t="s">
        <v>458</v>
      </c>
      <c r="D304" s="328"/>
      <c r="E304" s="328"/>
      <c r="F304" s="109"/>
      <c r="G304" s="40"/>
      <c r="H304" s="32"/>
      <c r="I304" s="109"/>
      <c r="J304" s="24"/>
    </row>
    <row r="305" spans="1:14" s="1" customFormat="1" ht="15.9" customHeight="1">
      <c r="A305" s="41"/>
      <c r="B305" s="33"/>
      <c r="C305" s="328" t="s">
        <v>286</v>
      </c>
      <c r="D305" s="327"/>
      <c r="E305" s="327"/>
      <c r="F305" s="109"/>
      <c r="G305" s="109"/>
      <c r="H305" s="109"/>
      <c r="I305" s="109"/>
      <c r="J305" s="24"/>
    </row>
    <row r="306" spans="1:14" s="1" customFormat="1" ht="15.9" customHeight="1">
      <c r="A306" s="44"/>
      <c r="B306" s="44"/>
      <c r="C306" s="327" t="s">
        <v>285</v>
      </c>
      <c r="D306" s="86"/>
      <c r="E306" s="79"/>
      <c r="F306" s="44"/>
      <c r="G306" s="109"/>
      <c r="H306" s="109"/>
      <c r="I306" s="109"/>
      <c r="J306" s="24"/>
    </row>
    <row r="307" spans="1:14" s="1" customFormat="1" ht="15.9" customHeight="1">
      <c r="A307" s="40"/>
      <c r="B307" s="40"/>
      <c r="C307" s="374">
        <f>$I$145</f>
        <v>465.8125</v>
      </c>
      <c r="D307" s="87"/>
      <c r="E307" s="80"/>
      <c r="F307" s="32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363">
        <f>$J$145</f>
        <v>8</v>
      </c>
      <c r="D308" s="15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74">
        <f>$I$146</f>
        <v>2143</v>
      </c>
      <c r="D309" s="15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63">
        <f>$J$146</f>
        <v>8</v>
      </c>
      <c r="D310" s="15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D311" s="15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33"/>
      <c r="D314" s="162"/>
      <c r="E314" s="24"/>
      <c r="F314" s="109"/>
      <c r="G314" s="109"/>
      <c r="H314" s="109"/>
      <c r="I314" s="27"/>
      <c r="J314" s="99" t="str">
        <f>LEFT($J$111,11)&amp;"-03"</f>
        <v>FG-240-4P4L-03</v>
      </c>
    </row>
    <row r="315" spans="1:14" s="1" customFormat="1" ht="15" customHeight="1">
      <c r="A315" s="25"/>
      <c r="B315" s="33"/>
      <c r="D315" s="162"/>
      <c r="E315" s="24"/>
      <c r="F315" s="109"/>
      <c r="G315" s="109"/>
      <c r="H315" s="109"/>
      <c r="I315" s="27"/>
      <c r="J315" s="99"/>
    </row>
    <row r="316" spans="1:14" ht="30" customHeight="1">
      <c r="I316" s="95"/>
      <c r="J316" s="90" t="str">
        <f>$J$2</f>
        <v>HOMELIFE</v>
      </c>
      <c r="K316" s="11"/>
      <c r="L316" s="11"/>
      <c r="M316" s="2"/>
      <c r="N316" s="2"/>
    </row>
    <row r="317" spans="1:14" ht="24.9" customHeight="1">
      <c r="B317" s="197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197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s="1" customFormat="1" ht="15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  <c r="K320" s="4"/>
      <c r="L320" s="4"/>
      <c r="M320" s="4"/>
      <c r="N320" s="4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63"/>
      <c r="B323"/>
      <c r="C323"/>
      <c r="D323" s="81"/>
      <c r="E323"/>
      <c r="F323"/>
      <c r="G323"/>
      <c r="H323"/>
      <c r="I323" s="160"/>
      <c r="J323" s="116"/>
    </row>
    <row r="324" spans="1:10" s="1" customFormat="1" ht="15" customHeight="1">
      <c r="A324" s="17"/>
      <c r="B324" s="72"/>
      <c r="C324" s="56"/>
      <c r="D324" s="30"/>
      <c r="E324" s="29"/>
      <c r="F324" s="160"/>
      <c r="G324" s="160"/>
      <c r="H324" s="160"/>
      <c r="I324" s="31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198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198"/>
      <c r="I331" s="161"/>
      <c r="J331" s="109"/>
    </row>
    <row r="332" spans="1:10" s="1" customFormat="1" ht="15" customHeight="1">
      <c r="A332" s="64" t="str">
        <f>A18</f>
        <v>240-4 Panel (4L)</v>
      </c>
      <c r="B332" s="92"/>
      <c r="C332" s="161"/>
      <c r="D332" s="161"/>
      <c r="E332" s="109"/>
      <c r="F332" s="198"/>
      <c r="G332" s="198"/>
      <c r="H332" s="198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92"/>
      <c r="C333" s="161"/>
      <c r="D333" s="161"/>
      <c r="E333" s="109"/>
      <c r="F333" s="198"/>
      <c r="G333" s="198"/>
      <c r="H333" s="198"/>
      <c r="I333" s="109"/>
      <c r="J333" s="109"/>
    </row>
    <row r="334" spans="1:10" s="1" customFormat="1" ht="15.9" customHeight="1">
      <c r="A334" s="109"/>
      <c r="B334" s="45"/>
      <c r="C334" s="42"/>
      <c r="D334" s="161"/>
      <c r="E334" s="109"/>
      <c r="F334" s="507"/>
      <c r="G334" s="507"/>
      <c r="H334" s="198"/>
      <c r="I334" s="109"/>
      <c r="J334" s="109"/>
    </row>
    <row r="335" spans="1:10" s="1" customFormat="1" ht="15.9" customHeight="1">
      <c r="A335" s="39"/>
      <c r="B335" s="109"/>
      <c r="C335" s="161"/>
      <c r="D335" s="161"/>
      <c r="E335" s="109"/>
      <c r="F335" s="37"/>
      <c r="G335" s="38"/>
      <c r="H335" s="109"/>
      <c r="I335" s="109"/>
      <c r="J335" s="109"/>
    </row>
    <row r="336" spans="1:10" s="1" customFormat="1" ht="15.9" customHeight="1">
      <c r="A336" s="44"/>
      <c r="C336" s="43"/>
      <c r="D336" s="161"/>
      <c r="E336" s="109"/>
      <c r="F336" s="109"/>
      <c r="G336" s="109"/>
      <c r="H336" s="109"/>
      <c r="I336" s="44"/>
      <c r="J336" s="119"/>
    </row>
    <row r="337" spans="1:10" s="1" customFormat="1" ht="15.9" customHeight="1">
      <c r="A337" s="40"/>
      <c r="C337" s="44"/>
      <c r="D337" s="84"/>
      <c r="E337" s="44"/>
      <c r="F337" s="44"/>
      <c r="G337" s="44"/>
      <c r="H337" s="44"/>
      <c r="I337" s="32"/>
      <c r="J337" s="40"/>
    </row>
    <row r="338" spans="1:10" s="1" customFormat="1" ht="15.9" customHeight="1">
      <c r="A338" s="109"/>
      <c r="C338" s="161"/>
      <c r="D338" s="85"/>
      <c r="E338" s="40"/>
      <c r="F338" s="32"/>
      <c r="G338" s="40"/>
      <c r="H338" s="32"/>
      <c r="I338" s="24"/>
      <c r="J338" s="24"/>
    </row>
    <row r="339" spans="1:10" s="1" customFormat="1" ht="15.9" customHeight="1">
      <c r="A339" s="109"/>
      <c r="C339" s="163"/>
      <c r="D339" s="161"/>
      <c r="E339" s="109"/>
      <c r="F339" s="161"/>
      <c r="G339" s="109"/>
      <c r="H339" s="109"/>
      <c r="I339" s="24"/>
      <c r="J339" s="24"/>
    </row>
    <row r="340" spans="1:10" s="1" customFormat="1" ht="15.9" customHeight="1">
      <c r="A340" s="109"/>
      <c r="B340" s="33"/>
      <c r="C340" s="161"/>
      <c r="D340" s="161"/>
      <c r="E340" s="109"/>
      <c r="F340" s="161"/>
      <c r="G340" s="109"/>
      <c r="H340" s="109"/>
      <c r="I340" s="162"/>
      <c r="J340" s="162"/>
    </row>
    <row r="341" spans="1:10" s="1" customFormat="1" ht="15.9" customHeight="1">
      <c r="A341" s="109"/>
      <c r="B341" s="33"/>
      <c r="C341" s="44"/>
      <c r="D341" s="161"/>
      <c r="E341" s="109"/>
      <c r="F341" s="161"/>
      <c r="G341" s="109"/>
      <c r="H341" s="162"/>
      <c r="I341" s="161"/>
      <c r="J341" s="161"/>
    </row>
    <row r="342" spans="1:10" s="1" customFormat="1" ht="15.9" customHeight="1">
      <c r="A342" s="109"/>
      <c r="B342" s="33"/>
      <c r="C342" s="42"/>
      <c r="D342" s="161"/>
      <c r="E342" s="109"/>
      <c r="F342" s="161"/>
      <c r="G342" s="109"/>
      <c r="H342" s="161"/>
      <c r="I342" s="161"/>
      <c r="J342" s="161"/>
    </row>
    <row r="343" spans="1:10" s="1" customFormat="1" ht="15.9" customHeight="1">
      <c r="A343" s="109"/>
      <c r="B343" s="33"/>
      <c r="C343" s="163"/>
      <c r="D343" s="161"/>
      <c r="E343" s="109"/>
      <c r="F343" s="161"/>
      <c r="G343" s="109"/>
      <c r="H343" s="161"/>
      <c r="I343" s="109"/>
      <c r="J343" s="24"/>
    </row>
    <row r="344" spans="1:10" s="1" customFormat="1" ht="15.9" customHeight="1">
      <c r="A344" s="109"/>
      <c r="B344" s="33"/>
      <c r="C344" s="161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44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3"/>
      <c r="D350" s="161"/>
      <c r="E350" s="109"/>
      <c r="F350" s="161"/>
      <c r="G350" s="109"/>
      <c r="H350" s="109"/>
      <c r="I350" s="109"/>
      <c r="J350" s="24"/>
    </row>
    <row r="351" spans="1:10" s="1" customFormat="1" ht="15.9" customHeight="1">
      <c r="A351" s="109"/>
      <c r="B351" s="33"/>
      <c r="C351" s="161"/>
      <c r="D351" s="161"/>
      <c r="E351" s="109"/>
      <c r="F351" s="161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1" customFormat="1" ht="15" customHeight="1">
      <c r="A353" s="109"/>
      <c r="B353" s="33"/>
      <c r="C353" s="33"/>
      <c r="D353" s="161"/>
      <c r="E353" s="109"/>
      <c r="F353" s="109"/>
      <c r="G353" s="109"/>
      <c r="H353" s="107"/>
      <c r="I353" s="24"/>
      <c r="J353" s="24"/>
    </row>
    <row r="354" spans="1:10" s="23" customFormat="1" ht="15.9" customHeight="1">
      <c r="A354" s="109"/>
      <c r="B354" s="33"/>
      <c r="C354" s="33"/>
      <c r="D354" s="161"/>
      <c r="E354" s="109"/>
      <c r="F354" s="109"/>
      <c r="G354" s="109"/>
      <c r="H354" s="109"/>
      <c r="I354" s="109"/>
      <c r="J354" s="109"/>
    </row>
    <row r="355" spans="1:10" s="1" customFormat="1" ht="15.9" customHeight="1">
      <c r="A355" s="44"/>
      <c r="B355" s="33"/>
      <c r="C355" s="33"/>
      <c r="D355" s="161"/>
      <c r="E355" s="109"/>
      <c r="F355" s="109"/>
      <c r="G355" s="109"/>
      <c r="H355" s="109"/>
      <c r="I355" s="44"/>
      <c r="J355" s="119"/>
    </row>
    <row r="356" spans="1:10" s="1" customFormat="1" ht="15.9" customHeight="1">
      <c r="A356" s="40"/>
      <c r="B356" s="44"/>
      <c r="C356" s="44"/>
      <c r="D356" s="84"/>
      <c r="E356" s="44"/>
      <c r="F356" s="44"/>
      <c r="G356" s="44"/>
      <c r="H356" s="44"/>
      <c r="I356" s="32"/>
      <c r="J356" s="40"/>
    </row>
    <row r="357" spans="1:10" s="1" customFormat="1" ht="15.9" customHeight="1">
      <c r="A357" s="27"/>
      <c r="B357" s="40"/>
      <c r="C357" s="44"/>
      <c r="D357" s="85"/>
      <c r="E357" s="40"/>
      <c r="F357" s="32"/>
      <c r="G357" s="40"/>
      <c r="H357" s="32"/>
      <c r="I357" s="24"/>
      <c r="J357" s="24"/>
    </row>
    <row r="358" spans="1:10" s="1" customFormat="1" ht="15.9" customHeight="1">
      <c r="A358" s="27"/>
      <c r="B358" s="33"/>
      <c r="C358" s="42"/>
      <c r="D358" s="161"/>
      <c r="E358" s="109"/>
      <c r="F358" s="109"/>
      <c r="G358" s="109"/>
      <c r="H358" s="42"/>
      <c r="I358" s="163"/>
      <c r="J358" s="163"/>
    </row>
    <row r="359" spans="1:10" s="1" customFormat="1" ht="15.9" customHeight="1">
      <c r="A359" s="27"/>
      <c r="B359" s="33"/>
      <c r="C359" s="163"/>
      <c r="D359" s="161"/>
      <c r="E359" s="109"/>
      <c r="F359" s="109"/>
      <c r="G359" s="109"/>
      <c r="H359" s="163"/>
      <c r="I359" s="161"/>
      <c r="J359" s="161"/>
    </row>
    <row r="360" spans="1:10" s="1" customFormat="1" ht="15.9" customHeight="1">
      <c r="A360" s="27"/>
      <c r="B360" s="33"/>
      <c r="C360" s="161"/>
      <c r="D360" s="161"/>
      <c r="E360" s="109"/>
      <c r="F360" s="109"/>
      <c r="G360" s="109"/>
      <c r="H360" s="161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46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161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D372" s="161"/>
      <c r="E372" s="109"/>
      <c r="F372" s="109"/>
      <c r="G372" s="33"/>
      <c r="H372" s="33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42"/>
      <c r="I376" s="163"/>
      <c r="J376" s="163"/>
    </row>
    <row r="377" spans="1:10" s="1" customFormat="1" ht="15.9" customHeight="1">
      <c r="A377" s="27"/>
      <c r="B377" s="33"/>
      <c r="C377" s="47"/>
      <c r="D377" s="161"/>
      <c r="E377" s="109"/>
      <c r="F377" s="109"/>
      <c r="G377" s="109"/>
      <c r="H377" s="163"/>
      <c r="I377" s="161"/>
      <c r="J377" s="161"/>
    </row>
    <row r="378" spans="1:10" s="1" customFormat="1" ht="15.9" customHeight="1">
      <c r="A378" s="27"/>
      <c r="B378" s="33"/>
      <c r="C378" s="46"/>
      <c r="D378" s="161"/>
      <c r="E378" s="109"/>
      <c r="F378" s="109"/>
      <c r="G378" s="109"/>
      <c r="H378" s="161"/>
      <c r="I378" s="24"/>
      <c r="J378" s="24"/>
    </row>
    <row r="379" spans="1:10" s="1" customFormat="1" ht="15.9" customHeight="1">
      <c r="A379" s="27"/>
      <c r="B379" s="33"/>
      <c r="C379" s="161"/>
      <c r="D379" s="161"/>
      <c r="E379" s="109"/>
      <c r="F379" s="109"/>
      <c r="G379" s="109"/>
      <c r="H379" s="42"/>
      <c r="I379" s="163"/>
      <c r="J379" s="163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3"/>
      <c r="I380" s="161"/>
      <c r="J380" s="161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1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64"/>
      <c r="J388" s="16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4"/>
      <c r="I389" s="165"/>
      <c r="J389" s="165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5"/>
      <c r="I390" s="161"/>
      <c r="J390" s="161"/>
    </row>
    <row r="391" spans="1:10" s="1" customFormat="1" ht="15.9" customHeight="1">
      <c r="A391" s="27"/>
      <c r="B391" s="33"/>
      <c r="C391" s="47"/>
      <c r="D391" s="161"/>
      <c r="E391" s="109"/>
      <c r="F391" s="109"/>
      <c r="G391" s="109"/>
      <c r="H391" s="161"/>
      <c r="I391" s="24"/>
      <c r="J391" s="24"/>
    </row>
    <row r="392" spans="1:10" s="1" customFormat="1" ht="15.9" customHeight="1">
      <c r="A392" s="27"/>
      <c r="B392" s="33"/>
      <c r="C392" s="46"/>
      <c r="D392" s="161"/>
      <c r="E392" s="109"/>
      <c r="F392" s="109"/>
      <c r="G392" s="109"/>
      <c r="H392" s="109"/>
      <c r="I392" s="109"/>
      <c r="J392" s="24"/>
    </row>
    <row r="393" spans="1:10" s="1" customFormat="1" ht="15.9" customHeight="1">
      <c r="A393" s="27"/>
      <c r="B393" s="33"/>
      <c r="C393" s="161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23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1" customFormat="1" ht="15.9" customHeight="1">
      <c r="A405" s="44"/>
      <c r="B405" s="33"/>
      <c r="C405" s="33"/>
      <c r="D405" s="161"/>
      <c r="E405" s="109"/>
      <c r="F405" s="109"/>
      <c r="G405" s="109"/>
      <c r="H405" s="109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109"/>
      <c r="B418" s="44"/>
      <c r="C418" s="44"/>
      <c r="D418" s="84"/>
      <c r="E418" s="44"/>
      <c r="F418" s="44"/>
      <c r="G418" s="44"/>
      <c r="H418" s="44"/>
      <c r="I418" s="24"/>
      <c r="J418" s="24"/>
      <c r="K418" s="71"/>
    </row>
    <row r="419" spans="1:14" s="1" customFormat="1" ht="15.9" customHeight="1">
      <c r="A419" s="109"/>
      <c r="B419" s="33"/>
      <c r="C419" s="33"/>
      <c r="D419" s="161"/>
      <c r="E419" s="109"/>
      <c r="F419" s="109"/>
      <c r="G419" s="109"/>
      <c r="H419" s="109"/>
      <c r="I419" s="24"/>
    </row>
    <row r="420" spans="1:14" ht="18">
      <c r="A420" s="109"/>
      <c r="B420" s="33"/>
      <c r="C420" s="33"/>
      <c r="D420" s="161"/>
      <c r="E420" s="109"/>
      <c r="F420" s="109"/>
      <c r="G420" s="109"/>
      <c r="H420" s="109"/>
      <c r="I420" s="109"/>
      <c r="J420" s="99" t="str">
        <f>LEFT($J$111,11)&amp;"-04"</f>
        <v>FG-240-4P4L-04</v>
      </c>
      <c r="K420" s="7"/>
      <c r="L420" s="7"/>
      <c r="M420" s="2"/>
      <c r="N420" s="2"/>
    </row>
    <row r="421" spans="1:14" ht="15" customHeight="1">
      <c r="A421" s="109"/>
      <c r="B421" s="33"/>
      <c r="C421" s="33"/>
      <c r="D421" s="161"/>
      <c r="E421" s="109"/>
      <c r="F421" s="109"/>
      <c r="G421" s="109"/>
      <c r="H421" s="109"/>
      <c r="I421" s="109"/>
      <c r="J421" s="99"/>
      <c r="K421" s="7"/>
      <c r="L421" s="7"/>
      <c r="M421" s="2"/>
      <c r="N421" s="2"/>
    </row>
    <row r="422" spans="1:14" ht="30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90" t="str">
        <f>$J$2</f>
        <v>HOMELIFE</v>
      </c>
      <c r="K422" s="7"/>
      <c r="L422" s="7"/>
      <c r="M422" s="2"/>
      <c r="N422" s="2"/>
    </row>
    <row r="423" spans="1:14" ht="24.9" customHeight="1">
      <c r="B423" s="197"/>
      <c r="C423" s="5"/>
      <c r="D423" s="95"/>
      <c r="E423" s="95"/>
      <c r="F423" s="95"/>
      <c r="G423" s="95"/>
      <c r="H423" s="95"/>
      <c r="I423" s="28"/>
      <c r="J423" s="91" t="str">
        <f>$J$3</f>
        <v>Fabricators Guide</v>
      </c>
      <c r="K423" s="11"/>
      <c r="L423" s="11"/>
      <c r="M423" s="2"/>
      <c r="N423" s="2"/>
    </row>
    <row r="424" spans="1:14" ht="24.9" customHeight="1">
      <c r="B424" s="197"/>
      <c r="C424" s="28"/>
      <c r="D424" s="28"/>
      <c r="E424" s="28"/>
      <c r="F424" s="28"/>
      <c r="G424" s="28"/>
      <c r="H424" s="28"/>
      <c r="I424" s="28"/>
      <c r="J424" s="91" t="str">
        <f>$J$4</f>
        <v xml:space="preserve">240 Series Bi Fold Door </v>
      </c>
      <c r="K424" s="48"/>
      <c r="L424" s="48"/>
      <c r="M424" s="4"/>
      <c r="N424" s="4"/>
    </row>
    <row r="425" spans="1:14" s="1" customFormat="1" ht="15" customHeight="1" thickBot="1">
      <c r="A425" s="78"/>
      <c r="B425" s="8"/>
      <c r="C425" s="28"/>
      <c r="D425" s="28"/>
      <c r="E425" s="28"/>
      <c r="F425" s="28"/>
      <c r="G425" s="28"/>
      <c r="H425" s="28"/>
      <c r="I425" s="78"/>
      <c r="J425" s="100"/>
      <c r="K425" s="4"/>
      <c r="L425" s="4"/>
      <c r="M425" s="4"/>
      <c r="N425" s="4"/>
    </row>
    <row r="426" spans="1:14" s="1" customFormat="1" ht="24.9" customHeight="1" thickBot="1">
      <c r="A426" s="502" t="s">
        <v>34</v>
      </c>
      <c r="B426" s="503"/>
      <c r="C426" s="503"/>
      <c r="D426" s="503"/>
      <c r="E426" s="503"/>
      <c r="F426" s="503"/>
      <c r="G426" s="503"/>
      <c r="H426" s="503"/>
      <c r="I426" s="503"/>
      <c r="J426" s="504"/>
      <c r="K426" s="4"/>
      <c r="L426" s="4"/>
      <c r="M426" s="4"/>
      <c r="N426" s="4"/>
    </row>
    <row r="427" spans="1:14" s="1" customFormat="1" ht="15" customHeight="1">
      <c r="A427" s="193"/>
      <c r="B427" s="194"/>
      <c r="C427" s="194"/>
      <c r="D427" s="194"/>
      <c r="E427" s="194"/>
      <c r="F427" s="194"/>
      <c r="G427" s="194"/>
      <c r="H427" s="194"/>
      <c r="I427" s="193"/>
      <c r="K427" s="56"/>
      <c r="L427" s="56"/>
      <c r="M427" s="56"/>
      <c r="N427" s="56"/>
    </row>
    <row r="428" spans="1:14" s="1" customFormat="1" ht="15" customHeight="1">
      <c r="A428" s="45"/>
      <c r="B428" s="193"/>
      <c r="C428" s="193"/>
      <c r="D428" s="193"/>
      <c r="E428" s="193"/>
      <c r="F428" s="193"/>
      <c r="G428" s="193"/>
      <c r="H428" s="193"/>
      <c r="I428" s="44"/>
      <c r="J428" s="119"/>
    </row>
    <row r="429" spans="1:14" s="1" customFormat="1" ht="15" customHeight="1">
      <c r="A429" s="109"/>
      <c r="B429" s="39"/>
      <c r="C429" s="33"/>
      <c r="D429" s="161"/>
      <c r="E429" s="35"/>
      <c r="F429" s="39"/>
      <c r="G429" s="193"/>
      <c r="H429" s="44"/>
      <c r="I429" s="44"/>
      <c r="J429" s="119"/>
    </row>
    <row r="430" spans="1:14" s="1" customFormat="1" ht="15" customHeight="1">
      <c r="A430" s="109"/>
      <c r="B430" s="33"/>
      <c r="C430" s="33"/>
      <c r="D430" s="161"/>
      <c r="E430" s="35"/>
      <c r="F430" s="161"/>
      <c r="G430" s="193"/>
      <c r="H430" s="44"/>
      <c r="I430" s="44"/>
      <c r="J430" s="119"/>
    </row>
    <row r="431" spans="1:14" s="1" customFormat="1" ht="15" customHeight="1">
      <c r="A431" s="109"/>
      <c r="B431" s="56"/>
      <c r="C431" s="56"/>
      <c r="D431" s="30"/>
      <c r="E431" s="29"/>
      <c r="F431" s="30"/>
      <c r="H431" s="44"/>
      <c r="I431" s="44"/>
      <c r="J431" s="119"/>
    </row>
    <row r="432" spans="1:14" s="1" customFormat="1" ht="15" customHeight="1">
      <c r="A432" s="109"/>
      <c r="B432" s="33"/>
      <c r="C432" s="161"/>
      <c r="D432" s="161"/>
      <c r="E432" s="109"/>
      <c r="F432" s="161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35"/>
      <c r="F433" s="163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1"/>
      <c r="H434" s="44"/>
      <c r="I434" s="44"/>
      <c r="J434" s="119"/>
    </row>
    <row r="435" spans="1:10" s="1" customFormat="1" ht="15" customHeight="1">
      <c r="A435" s="39"/>
      <c r="B435" s="33"/>
      <c r="C435" s="42"/>
      <c r="D435" s="161"/>
      <c r="E435" s="109"/>
      <c r="F435" s="69"/>
      <c r="H435" s="44"/>
      <c r="I435" s="44"/>
      <c r="J435" s="119"/>
    </row>
    <row r="436" spans="1:10" s="1" customFormat="1" ht="15" customHeight="1">
      <c r="A436" s="92"/>
      <c r="B436" s="39"/>
      <c r="C436" s="163"/>
      <c r="D436" s="161"/>
      <c r="E436" s="109"/>
      <c r="F436" s="68"/>
      <c r="H436" s="44"/>
      <c r="I436" s="44"/>
      <c r="J436" s="119"/>
    </row>
    <row r="437" spans="1:10" s="1" customFormat="1" ht="15" customHeight="1">
      <c r="B437" s="92"/>
      <c r="C437" s="161"/>
      <c r="D437" s="161"/>
      <c r="E437" s="109"/>
      <c r="F437" s="198"/>
      <c r="H437" s="44"/>
      <c r="I437" s="44"/>
      <c r="J437" s="119"/>
    </row>
    <row r="438" spans="1:10" s="1" customFormat="1" ht="15" customHeight="1">
      <c r="A438" s="64" t="str">
        <f>A18</f>
        <v>240-4 Panel (4L)</v>
      </c>
      <c r="B438" s="92"/>
      <c r="C438" s="161"/>
      <c r="D438" s="161"/>
      <c r="E438" s="109"/>
      <c r="F438" s="198"/>
      <c r="H438" s="44"/>
      <c r="I438" s="44"/>
      <c r="J438" s="119"/>
    </row>
    <row r="439" spans="1:10" s="1" customFormat="1" ht="15.9" customHeight="1">
      <c r="A439" s="76" t="str">
        <f>A19</f>
        <v xml:space="preserve">Outside Bi Fold Door </v>
      </c>
      <c r="C439" s="42"/>
      <c r="D439" s="161"/>
      <c r="E439" s="109"/>
      <c r="F439" s="68"/>
      <c r="H439" s="44"/>
      <c r="I439" s="44"/>
      <c r="J439" s="119"/>
    </row>
    <row r="440" spans="1:10" s="1" customFormat="1" ht="15.9" customHeight="1">
      <c r="A440" s="39"/>
      <c r="C440" s="161"/>
      <c r="D440" s="161"/>
      <c r="E440" s="109"/>
      <c r="F440" s="37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39"/>
      <c r="C442" s="161"/>
      <c r="D442" s="161"/>
      <c r="E442" s="109"/>
      <c r="F442" s="37"/>
      <c r="H442" s="44"/>
      <c r="I442" s="44"/>
      <c r="J442" s="119"/>
    </row>
    <row r="443" spans="1:10" s="1" customFormat="1" ht="15.9" customHeight="1">
      <c r="A443" s="44"/>
      <c r="B443" s="38"/>
      <c r="C443" s="43"/>
      <c r="D443" s="161"/>
      <c r="E443" s="109"/>
      <c r="F443" s="109"/>
      <c r="H443" s="44"/>
      <c r="I443" s="44"/>
      <c r="J443" s="119"/>
    </row>
    <row r="444" spans="1:10" s="1" customFormat="1" ht="15.9" customHeight="1">
      <c r="A444" s="40"/>
      <c r="C444" s="44"/>
      <c r="D444" s="84"/>
      <c r="E444" s="44"/>
      <c r="F444" s="44"/>
      <c r="H444" s="44"/>
      <c r="I444" s="44"/>
      <c r="J444" s="119"/>
    </row>
    <row r="445" spans="1:10" ht="15.6">
      <c r="B445" s="64"/>
      <c r="C445" s="163"/>
      <c r="D445" s="161"/>
      <c r="E445" s="109"/>
      <c r="F445" s="161"/>
      <c r="G445" s="109"/>
      <c r="H445" s="109"/>
    </row>
    <row r="450" spans="1:10" s="1" customFormat="1" ht="15.9" customHeight="1">
      <c r="A450" s="109"/>
      <c r="B450"/>
      <c r="C450"/>
      <c r="D450" s="81"/>
      <c r="E450"/>
      <c r="F450"/>
      <c r="G450"/>
      <c r="H450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44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1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163"/>
      <c r="D456" s="161"/>
      <c r="E456" s="109"/>
      <c r="F456" s="161"/>
      <c r="G456" s="109"/>
      <c r="H456" s="109"/>
      <c r="I456" s="109"/>
      <c r="J456" s="24"/>
    </row>
    <row r="457" spans="1:10" s="1" customFormat="1" ht="15.9" customHeight="1">
      <c r="A457" s="109"/>
      <c r="B457" s="33"/>
      <c r="C457" s="161"/>
      <c r="D457" s="161"/>
      <c r="E457" s="109"/>
      <c r="F457" s="161"/>
      <c r="G457" s="109"/>
      <c r="H457" s="109"/>
      <c r="I457" s="24"/>
      <c r="J457" s="24"/>
    </row>
    <row r="458" spans="1:10" s="1" customFormat="1" ht="15.9" customHeight="1">
      <c r="A458" s="109"/>
      <c r="B458" s="33"/>
      <c r="C458" s="33"/>
      <c r="D458" s="161"/>
      <c r="E458" s="109"/>
      <c r="F458" s="109"/>
      <c r="G458" s="109"/>
      <c r="H458" s="109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7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" customHeight="1">
      <c r="A476" s="109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23" customFormat="1" ht="15.9" customHeight="1">
      <c r="A477" s="109"/>
      <c r="B477" s="33"/>
      <c r="C477" s="33"/>
      <c r="D477" s="161"/>
      <c r="E477" s="109"/>
      <c r="F477" s="109"/>
      <c r="G477" s="109"/>
      <c r="H477" s="109"/>
      <c r="I477" s="109"/>
      <c r="J477" s="109"/>
    </row>
    <row r="478" spans="1:10" s="1" customFormat="1" ht="15.9" customHeight="1">
      <c r="A478" s="44"/>
      <c r="B478" s="33"/>
      <c r="C478" s="33"/>
      <c r="D478" s="161"/>
      <c r="E478" s="109"/>
      <c r="F478" s="109"/>
      <c r="G478" s="109"/>
      <c r="H478" s="109"/>
      <c r="I478" s="44"/>
      <c r="J478" s="119"/>
    </row>
    <row r="479" spans="1:10" s="1" customFormat="1" ht="15.9" customHeight="1">
      <c r="A479" s="40"/>
      <c r="B479" s="44"/>
      <c r="C479" s="44"/>
      <c r="D479" s="84"/>
      <c r="E479" s="44"/>
      <c r="F479" s="44"/>
      <c r="G479" s="44"/>
      <c r="H479" s="44"/>
      <c r="I479" s="32"/>
      <c r="J479" s="40"/>
    </row>
    <row r="480" spans="1:10" s="1" customFormat="1" ht="15.9" customHeight="1">
      <c r="A480" s="27"/>
      <c r="B480" s="40"/>
      <c r="C480" s="44"/>
      <c r="D480" s="85"/>
      <c r="E480" s="40"/>
      <c r="F480" s="32"/>
      <c r="G480" s="40"/>
      <c r="H480" s="32"/>
      <c r="I480" s="24"/>
      <c r="J480" s="24"/>
    </row>
    <row r="481" spans="1:10" s="1" customFormat="1" ht="15.9" customHeight="1">
      <c r="A481" s="27"/>
      <c r="B481" s="33"/>
      <c r="C481" s="42"/>
      <c r="D481" s="161"/>
      <c r="E481" s="109"/>
      <c r="F481" s="109"/>
      <c r="G481" s="109"/>
      <c r="H481" s="42"/>
      <c r="I481" s="67"/>
      <c r="J481" s="165"/>
    </row>
    <row r="482" spans="1:10" s="1" customFormat="1" ht="15.9" customHeight="1">
      <c r="A482" s="27"/>
      <c r="B482" s="33"/>
      <c r="C482" s="163"/>
      <c r="D482" s="161"/>
      <c r="E482" s="109"/>
      <c r="F482" s="109"/>
      <c r="G482" s="109"/>
      <c r="H482" s="67"/>
      <c r="I482" s="38"/>
      <c r="J482" s="109"/>
    </row>
    <row r="483" spans="1:10" s="1" customFormat="1" ht="15.9" customHeight="1">
      <c r="A483" s="27"/>
      <c r="B483" s="33"/>
      <c r="C483" s="161"/>
      <c r="D483" s="161"/>
      <c r="E483" s="109"/>
      <c r="F483" s="109"/>
      <c r="G483" s="109"/>
      <c r="H483" s="38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46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161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D495" s="161"/>
      <c r="E495" s="109"/>
      <c r="F495" s="109"/>
      <c r="G495" s="33"/>
      <c r="H495" s="33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42"/>
      <c r="I499" s="67"/>
      <c r="J499" s="165"/>
    </row>
    <row r="500" spans="1:10" s="1" customFormat="1" ht="15.9" customHeight="1">
      <c r="A500" s="27"/>
      <c r="B500" s="33"/>
      <c r="C500" s="47"/>
      <c r="D500" s="161"/>
      <c r="E500" s="109"/>
      <c r="F500" s="109"/>
      <c r="G500" s="109"/>
      <c r="H500" s="67"/>
      <c r="I500" s="38"/>
      <c r="J500" s="109"/>
    </row>
    <row r="501" spans="1:10" s="1" customFormat="1" ht="15.9" customHeight="1">
      <c r="A501" s="27"/>
      <c r="B501" s="33"/>
      <c r="C501" s="46"/>
      <c r="D501" s="161"/>
      <c r="E501" s="109"/>
      <c r="F501" s="109"/>
      <c r="G501" s="109"/>
      <c r="H501" s="38"/>
      <c r="I501" s="24"/>
      <c r="J501" s="24"/>
    </row>
    <row r="502" spans="1:10" s="1" customFormat="1" ht="15.9" customHeight="1">
      <c r="A502" s="27"/>
      <c r="B502" s="33"/>
      <c r="C502" s="161"/>
      <c r="D502" s="161"/>
      <c r="E502" s="109"/>
      <c r="F502" s="109"/>
      <c r="G502" s="109"/>
      <c r="H502" s="42"/>
      <c r="I502" s="67"/>
      <c r="J502" s="165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67"/>
      <c r="I503" s="38"/>
      <c r="J503" s="109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38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43"/>
      <c r="J512" s="107"/>
    </row>
    <row r="513" spans="1:15" s="1" customFormat="1" ht="15.9" customHeight="1">
      <c r="A513" s="27"/>
      <c r="B513" s="33"/>
      <c r="C513" s="33"/>
      <c r="D513" s="161"/>
      <c r="E513" s="109"/>
      <c r="F513" s="109"/>
      <c r="G513" s="109"/>
      <c r="H513" s="109"/>
      <c r="I513" s="43"/>
      <c r="J513" s="107"/>
    </row>
    <row r="514" spans="1:15" s="1" customFormat="1" ht="15.9" customHeight="1">
      <c r="A514" s="44"/>
      <c r="B514" s="44"/>
      <c r="C514" s="44"/>
      <c r="D514" s="84"/>
      <c r="E514" s="44"/>
      <c r="F514" s="44"/>
      <c r="G514" s="44"/>
      <c r="H514" s="44"/>
      <c r="I514" s="44"/>
      <c r="J514" s="119"/>
    </row>
    <row r="515" spans="1:15" s="1" customFormat="1" ht="15.9" customHeight="1">
      <c r="A515" s="44"/>
      <c r="B515" s="44"/>
      <c r="C515" s="44"/>
      <c r="D515" s="84"/>
      <c r="E515" s="44"/>
      <c r="F515" s="44"/>
      <c r="G515" s="44"/>
      <c r="H515" s="44"/>
      <c r="I515" s="44"/>
      <c r="J515" s="119"/>
    </row>
    <row r="516" spans="1:15" s="1" customFormat="1" ht="15.9" customHeight="1">
      <c r="B516" s="44"/>
      <c r="C516" s="44"/>
      <c r="D516" s="84"/>
      <c r="E516" s="44"/>
      <c r="F516" s="44"/>
      <c r="G516" s="44"/>
      <c r="H516" s="44"/>
    </row>
    <row r="517" spans="1:15" s="1" customFormat="1" ht="15.9" customHeight="1" thickBot="1"/>
    <row r="518" spans="1:15" s="1" customFormat="1" ht="24.9" customHeight="1" thickBot="1">
      <c r="A518" s="502" t="s">
        <v>401</v>
      </c>
      <c r="B518" s="503"/>
      <c r="C518" s="503"/>
      <c r="D518" s="503"/>
      <c r="E518" s="503"/>
      <c r="F518" s="503"/>
      <c r="G518" s="503"/>
      <c r="H518" s="503"/>
      <c r="I518" s="503"/>
      <c r="J518" s="504"/>
    </row>
    <row r="519" spans="1:15" s="1" customFormat="1" ht="35.1" customHeight="1" thickBot="1">
      <c r="A519" s="102" t="s">
        <v>2</v>
      </c>
      <c r="B519" s="103" t="s">
        <v>3</v>
      </c>
      <c r="C519" s="103" t="s">
        <v>3</v>
      </c>
      <c r="D519" s="104" t="s">
        <v>35</v>
      </c>
      <c r="E519" s="103" t="s">
        <v>5</v>
      </c>
      <c r="F519" s="339" t="s">
        <v>27</v>
      </c>
      <c r="G519" s="305"/>
      <c r="H519" s="104" t="s">
        <v>27</v>
      </c>
      <c r="I519" s="104" t="s">
        <v>26</v>
      </c>
      <c r="J519" s="115" t="s">
        <v>6</v>
      </c>
      <c r="N519" s="249" t="s">
        <v>3</v>
      </c>
      <c r="O519" s="249" t="s">
        <v>3</v>
      </c>
    </row>
    <row r="520" spans="1:15" s="1" customFormat="1" ht="15.9" customHeight="1">
      <c r="A520" s="123">
        <f>IF(C520="","",1)</f>
        <v>1</v>
      </c>
      <c r="B520" s="121" t="str">
        <f>IF($D$127=5,N520,IF($D$127=6,N521,IF($D$127=8,N522,IF($D$127=10,N523,IF($D$127=12,N524,IF($D$127=14,N525,IF($D$127=18,N526,IF($D$127=20,N527,IF($D$127=22,N528,)))))))))</f>
        <v>กระจก 6 mm (สูง) (กว้าง)</v>
      </c>
      <c r="C520" s="121" t="str">
        <f>IF($D$127=5,O520,IF($D$127=6,O521,IF($D$127=8,O522,IF($D$127=10,O523,IF($D$127=12,O524,IF($D$127=14,O525,IF($D$127=18,O526,IF($D$127=20,O527,IF($D$127=22,O528,)))))))))</f>
        <v>GLASS thk.6 mm (H) (W)</v>
      </c>
      <c r="D520" s="124">
        <f>$J$123-215</f>
        <v>2170</v>
      </c>
      <c r="E520" s="123" t="s">
        <v>11</v>
      </c>
      <c r="F520" s="527" t="s">
        <v>271</v>
      </c>
      <c r="G520" s="528"/>
      <c r="H520" s="123" t="s">
        <v>404</v>
      </c>
      <c r="I520" s="124">
        <f>(($J$126-182-(113.25*3))/4)-13</f>
        <v>452.8125</v>
      </c>
      <c r="J520" s="151">
        <f>$J$120*4</f>
        <v>4</v>
      </c>
      <c r="K520" s="1">
        <f>(D520*I520)/10^6</f>
        <v>0.98260312500000002</v>
      </c>
      <c r="M520" s="1">
        <f>ROW()</f>
        <v>520</v>
      </c>
      <c r="N520" s="19" t="s">
        <v>194</v>
      </c>
      <c r="O520" s="19" t="s">
        <v>195</v>
      </c>
    </row>
    <row r="521" spans="1:15" s="1" customFormat="1" ht="15.9" customHeight="1">
      <c r="A521" s="152"/>
      <c r="B521" s="127"/>
      <c r="C521" s="127"/>
      <c r="D521" s="128"/>
      <c r="E521" s="129"/>
      <c r="F521" s="155"/>
      <c r="G521" s="156"/>
      <c r="H521" s="129"/>
      <c r="I521" s="130"/>
      <c r="J521" s="153"/>
      <c r="K521" s="1">
        <f>K520*J520</f>
        <v>3.9304125000000001</v>
      </c>
      <c r="M521" s="1">
        <f>ROW()</f>
        <v>521</v>
      </c>
      <c r="N521" s="19" t="s">
        <v>53</v>
      </c>
      <c r="O521" s="19" t="s">
        <v>54</v>
      </c>
    </row>
    <row r="522" spans="1:15" s="1" customFormat="1" ht="15.9" customHeight="1">
      <c r="A522" s="152"/>
      <c r="B522" s="127"/>
      <c r="C522" s="127"/>
      <c r="D522" s="128"/>
      <c r="E522" s="129"/>
      <c r="F522" s="155"/>
      <c r="G522" s="156"/>
      <c r="H522" s="129"/>
      <c r="I522" s="130"/>
      <c r="J522" s="153"/>
      <c r="M522" s="1">
        <f>ROW()</f>
        <v>522</v>
      </c>
      <c r="N522" s="19" t="s">
        <v>257</v>
      </c>
      <c r="O522" s="19" t="s">
        <v>258</v>
      </c>
    </row>
    <row r="523" spans="1:15" s="1" customFormat="1" ht="15.9" customHeight="1">
      <c r="A523" s="129" t="str">
        <f>IF(B523="","",+A519+1)</f>
        <v/>
      </c>
      <c r="B523" s="127"/>
      <c r="C523" s="127"/>
      <c r="D523" s="128"/>
      <c r="E523" s="129"/>
      <c r="F523" s="155"/>
      <c r="G523" s="157"/>
      <c r="H523" s="129"/>
      <c r="I523" s="144"/>
      <c r="J523" s="130"/>
      <c r="M523" s="1">
        <f>ROW()</f>
        <v>523</v>
      </c>
      <c r="N523" s="19" t="s">
        <v>259</v>
      </c>
      <c r="O523" s="19" t="s">
        <v>265</v>
      </c>
    </row>
    <row r="524" spans="1:15" s="1" customFormat="1" ht="15.9" customHeight="1">
      <c r="A524" s="135" t="str">
        <f>IF(B524="","",+A523+1)</f>
        <v/>
      </c>
      <c r="B524" s="133"/>
      <c r="C524" s="133"/>
      <c r="D524" s="134"/>
      <c r="E524" s="135"/>
      <c r="F524" s="158"/>
      <c r="G524" s="159"/>
      <c r="H524" s="135"/>
      <c r="I524" s="145"/>
      <c r="J524" s="136"/>
      <c r="M524" s="1">
        <f>ROW()</f>
        <v>524</v>
      </c>
      <c r="N524" s="19" t="s">
        <v>260</v>
      </c>
      <c r="O524" s="19" t="s">
        <v>266</v>
      </c>
    </row>
    <row r="525" spans="1:15" s="1" customFormat="1" ht="15.9" customHeight="1">
      <c r="A525" s="17"/>
      <c r="B525" s="56"/>
      <c r="C525" s="56"/>
      <c r="D525" s="30"/>
      <c r="E525" s="17"/>
      <c r="F525" s="17"/>
      <c r="G525" s="17"/>
      <c r="H525" s="109"/>
      <c r="I525" s="109"/>
      <c r="J525" s="24"/>
      <c r="M525" s="1">
        <f>ROW()</f>
        <v>525</v>
      </c>
      <c r="N525" s="19" t="s">
        <v>261</v>
      </c>
      <c r="O525" s="19" t="s">
        <v>267</v>
      </c>
    </row>
    <row r="526" spans="1:15">
      <c r="J526" s="99" t="str">
        <f>LEFT($J$111,11)&amp;"-05"</f>
        <v>FG-240-4P4L-05</v>
      </c>
      <c r="M526" s="1">
        <f>ROW()</f>
        <v>526</v>
      </c>
      <c r="N526" s="19" t="s">
        <v>262</v>
      </c>
      <c r="O526" s="19" t="s">
        <v>268</v>
      </c>
    </row>
    <row r="527" spans="1:15">
      <c r="M527" s="1">
        <f>ROW()</f>
        <v>527</v>
      </c>
      <c r="N527" s="19" t="s">
        <v>263</v>
      </c>
      <c r="O527" s="19" t="s">
        <v>269</v>
      </c>
    </row>
    <row r="528" spans="1:15">
      <c r="M528" s="1">
        <f>ROW()</f>
        <v>528</v>
      </c>
      <c r="N528" s="19" t="s">
        <v>264</v>
      </c>
      <c r="O528" s="19" t="s">
        <v>270</v>
      </c>
    </row>
  </sheetData>
  <dataConsolidate function="product">
    <dataRefs count="1">
      <dataRef ref="O154:O162" sheet="240_2Panel(L)" r:id="rId1"/>
    </dataRefs>
  </dataConsolidate>
  <mergeCells count="68">
    <mergeCell ref="I181:J181"/>
    <mergeCell ref="I182:J182"/>
    <mergeCell ref="I183:J183"/>
    <mergeCell ref="I189:J189"/>
    <mergeCell ref="I184:J184"/>
    <mergeCell ref="I185:J185"/>
    <mergeCell ref="I186:J186"/>
    <mergeCell ref="I187:J187"/>
    <mergeCell ref="I188:J188"/>
    <mergeCell ref="I176:J176"/>
    <mergeCell ref="I177:J177"/>
    <mergeCell ref="I178:J178"/>
    <mergeCell ref="I179:J179"/>
    <mergeCell ref="I180:J180"/>
    <mergeCell ref="I171:J171"/>
    <mergeCell ref="I172:J172"/>
    <mergeCell ref="I173:J173"/>
    <mergeCell ref="I174:J174"/>
    <mergeCell ref="I175:J175"/>
    <mergeCell ref="I165:J165"/>
    <mergeCell ref="I166:J166"/>
    <mergeCell ref="I167:J167"/>
    <mergeCell ref="I168:J168"/>
    <mergeCell ref="I169:J169"/>
    <mergeCell ref="I160:J160"/>
    <mergeCell ref="I161:J161"/>
    <mergeCell ref="I162:J162"/>
    <mergeCell ref="I163:J163"/>
    <mergeCell ref="I164:J164"/>
    <mergeCell ref="D159:D160"/>
    <mergeCell ref="H159:H160"/>
    <mergeCell ref="A131:J131"/>
    <mergeCell ref="I154:J154"/>
    <mergeCell ref="A170:J170"/>
    <mergeCell ref="D161:D162"/>
    <mergeCell ref="D163:D166"/>
    <mergeCell ref="H163:H166"/>
    <mergeCell ref="H161:H162"/>
    <mergeCell ref="D167:D168"/>
    <mergeCell ref="H167:H168"/>
    <mergeCell ref="I155:J155"/>
    <mergeCell ref="I156:J156"/>
    <mergeCell ref="I157:J157"/>
    <mergeCell ref="I158:J158"/>
    <mergeCell ref="I159:J159"/>
    <mergeCell ref="D129:G129"/>
    <mergeCell ref="A6:J6"/>
    <mergeCell ref="H120:I121"/>
    <mergeCell ref="J120:J121"/>
    <mergeCell ref="A117:J117"/>
    <mergeCell ref="D119:G119"/>
    <mergeCell ref="D121:G121"/>
    <mergeCell ref="H123:I124"/>
    <mergeCell ref="J123:J124"/>
    <mergeCell ref="A125:B125"/>
    <mergeCell ref="H126:I127"/>
    <mergeCell ref="J126:J127"/>
    <mergeCell ref="D123:G123"/>
    <mergeCell ref="D125:G125"/>
    <mergeCell ref="D127:G127"/>
    <mergeCell ref="F520:G520"/>
    <mergeCell ref="A518:J518"/>
    <mergeCell ref="A426:J426"/>
    <mergeCell ref="A320:J320"/>
    <mergeCell ref="A213:J213"/>
    <mergeCell ref="F330:G330"/>
    <mergeCell ref="F331:G331"/>
    <mergeCell ref="F334:G334"/>
  </mergeCells>
  <dataValidations disablePrompts="1" count="4">
    <dataValidation type="list" allowBlank="1" showInputMessage="1" showErrorMessage="1" sqref="D127:G127">
      <formula1>$N$120:$N$128</formula1>
    </dataValidation>
    <dataValidation type="list" allowBlank="1" showInputMessage="1" showErrorMessage="1" sqref="C206">
      <formula1>$O$172:$O$190</formula1>
    </dataValidation>
    <dataValidation type="list" allowBlank="1" showInputMessage="1" showErrorMessage="1" sqref="D129:G129">
      <formula1>$O$120</formula1>
    </dataValidation>
    <dataValidation type="list" allowBlank="1" showInputMessage="1" showErrorMessage="1" sqref="D123:G123">
      <formula1>$P$119:$P$129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2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9" man="1"/>
    <brk id="420" max="9" man="1"/>
  </rowBreaks>
  <drawing r:id="rId3"/>
  <legacy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tabColor theme="5" tint="-0.249977111117893"/>
  </sheetPr>
  <dimension ref="A1:AJ527"/>
  <sheetViews>
    <sheetView showGridLines="0" view="pageBreakPreview" topLeftCell="A112" zoomScale="75" zoomScaleNormal="75" zoomScaleSheetLayoutView="75" workbookViewId="0">
      <selection activeCell="C121" sqref="C121"/>
    </sheetView>
  </sheetViews>
  <sheetFormatPr defaultRowHeight="14.4" outlineLevelRow="1" outlineLevelCol="1"/>
  <cols>
    <col min="1" max="1" width="7" customWidth="1"/>
    <col min="2" max="2" width="40.6640625" customWidth="1"/>
    <col min="3" max="3" width="61.3320312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7.88671875" customWidth="1"/>
    <col min="9" max="9" width="11.109375" bestFit="1" customWidth="1"/>
    <col min="10" max="10" width="11.6640625" style="112" customWidth="1"/>
    <col min="12" max="12" width="10" bestFit="1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3.4414062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197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197"/>
      <c r="E3" s="197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144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>
      <c r="G45" s="10"/>
    </row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/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333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197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197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23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324"/>
      <c r="L117" s="325"/>
      <c r="M117" s="325"/>
      <c r="N117" s="325"/>
    </row>
    <row r="118" spans="1:16" s="1" customFormat="1" ht="15.6">
      <c r="A118" s="12"/>
      <c r="C118" s="8"/>
      <c r="D118" s="15"/>
      <c r="E118" s="13"/>
      <c r="J118" s="199"/>
      <c r="K118" s="11"/>
      <c r="L118" s="56"/>
      <c r="M118" s="56"/>
      <c r="N118" s="56"/>
    </row>
    <row r="119" spans="1:16" s="1" customFormat="1" ht="15" customHeight="1">
      <c r="A119" s="12"/>
      <c r="C119" s="110" t="s">
        <v>635</v>
      </c>
      <c r="D119" s="524" t="s">
        <v>677</v>
      </c>
      <c r="E119" s="525"/>
      <c r="F119" s="525"/>
      <c r="G119" s="526"/>
      <c r="I119" s="16"/>
      <c r="J119" s="12"/>
      <c r="N119" s="243" t="s">
        <v>191</v>
      </c>
      <c r="O119" s="12" t="s">
        <v>227</v>
      </c>
      <c r="P119" s="247" t="s">
        <v>16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4">
        <v>5</v>
      </c>
      <c r="O120" s="12" t="s">
        <v>243</v>
      </c>
      <c r="P120" s="335" t="s">
        <v>389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6</v>
      </c>
      <c r="O121" s="12" t="s">
        <v>244</v>
      </c>
      <c r="P121" s="336" t="s">
        <v>390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8</v>
      </c>
      <c r="P122" s="336" t="s">
        <v>391</v>
      </c>
    </row>
    <row r="123" spans="1:16" s="1" customFormat="1" ht="15" customHeight="1">
      <c r="A123" s="12"/>
      <c r="C123" s="110" t="s">
        <v>629</v>
      </c>
      <c r="D123" s="524" t="s">
        <v>487</v>
      </c>
      <c r="E123" s="525"/>
      <c r="F123" s="525"/>
      <c r="G123" s="526"/>
      <c r="H123" s="519" t="s">
        <v>638</v>
      </c>
      <c r="I123" s="520"/>
      <c r="J123" s="517">
        <v>2550</v>
      </c>
      <c r="N123" s="245">
        <v>10</v>
      </c>
      <c r="P123" s="336" t="s">
        <v>392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12</v>
      </c>
      <c r="P124" s="335" t="s">
        <v>393</v>
      </c>
    </row>
    <row r="125" spans="1:16" s="1" customFormat="1" ht="15" customHeight="1">
      <c r="A125" s="532"/>
      <c r="B125" s="532"/>
      <c r="C125" s="111" t="s">
        <v>630</v>
      </c>
      <c r="D125" s="524" t="s">
        <v>663</v>
      </c>
      <c r="E125" s="525"/>
      <c r="F125" s="525"/>
      <c r="G125" s="526"/>
      <c r="H125" s="41"/>
      <c r="I125" s="41"/>
      <c r="J125" s="12"/>
      <c r="K125" s="198"/>
      <c r="L125" s="77"/>
      <c r="N125" s="245">
        <v>14</v>
      </c>
      <c r="P125" s="335" t="s">
        <v>394</v>
      </c>
    </row>
    <row r="126" spans="1:16" s="1" customFormat="1" ht="15" customHeight="1">
      <c r="A126" s="199"/>
      <c r="B126" s="199"/>
      <c r="C126" s="423" t="s">
        <v>631</v>
      </c>
      <c r="D126" s="15"/>
      <c r="H126" s="519" t="s">
        <v>639</v>
      </c>
      <c r="I126" s="520"/>
      <c r="J126" s="517">
        <v>2015</v>
      </c>
      <c r="K126" s="198"/>
      <c r="L126" s="77"/>
      <c r="N126" s="245">
        <v>18</v>
      </c>
      <c r="P126" s="335" t="s">
        <v>395</v>
      </c>
    </row>
    <row r="127" spans="1:16" s="1" customFormat="1" ht="15" customHeight="1">
      <c r="A127" s="199"/>
      <c r="B127" s="199"/>
      <c r="C127" s="110" t="s">
        <v>633</v>
      </c>
      <c r="D127" s="534">
        <v>6</v>
      </c>
      <c r="E127" s="535"/>
      <c r="F127" s="535"/>
      <c r="G127" s="536"/>
      <c r="H127" s="520"/>
      <c r="I127" s="520"/>
      <c r="J127" s="518"/>
      <c r="N127" s="245">
        <v>20</v>
      </c>
      <c r="P127" s="335" t="s">
        <v>396</v>
      </c>
    </row>
    <row r="128" spans="1:16" s="1" customFormat="1" ht="18.75" customHeight="1">
      <c r="C128" s="423" t="s">
        <v>632</v>
      </c>
      <c r="I128" s="12"/>
      <c r="J128" s="12"/>
      <c r="N128" s="245">
        <v>22</v>
      </c>
      <c r="P128" s="335" t="s">
        <v>397</v>
      </c>
    </row>
    <row r="129" spans="1:23" s="1" customFormat="1" ht="15" customHeight="1">
      <c r="A129" s="88" t="str">
        <f>A18</f>
        <v>240-4 Panel (4R)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  <c r="P129" s="1" t="s">
        <v>487</v>
      </c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1955</v>
      </c>
      <c r="J133" s="125">
        <f t="shared" ref="J133:J153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8</v>
      </c>
      <c r="U133" s="283" t="s">
        <v>295</v>
      </c>
      <c r="V133" s="307">
        <f>($J$126-182-(113.25*3))/4</f>
        <v>373.3125</v>
      </c>
      <c r="W133" s="286">
        <f>$J$121*T133</f>
        <v>0</v>
      </c>
    </row>
    <row r="134" spans="1:23" s="1" customFormat="1" ht="18" customHeight="1">
      <c r="A134" s="143">
        <f t="shared" ref="A134:A153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1929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8</v>
      </c>
      <c r="U134" s="283" t="s">
        <v>295</v>
      </c>
      <c r="V134" s="307">
        <f t="shared" ref="V134:V135" si="2">($J$126-182-(113.25*3))/4</f>
        <v>373.3125</v>
      </c>
      <c r="W134" s="131">
        <f t="shared" ref="W134:W135" si="3">$J$121*T134</f>
        <v>0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1955</v>
      </c>
      <c r="J135" s="131">
        <f t="shared" ref="J135:J152" si="4">$J$120*G135</f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8</v>
      </c>
      <c r="U135" s="283" t="s">
        <v>295</v>
      </c>
      <c r="V135" s="307">
        <f t="shared" si="2"/>
        <v>373.3125</v>
      </c>
      <c r="W135" s="293">
        <f t="shared" si="3"/>
        <v>0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1955</v>
      </c>
      <c r="J136" s="131">
        <f t="shared" si="4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8</v>
      </c>
      <c r="U136" s="283" t="s">
        <v>64</v>
      </c>
      <c r="V136" s="288">
        <f>$J$123-242</f>
        <v>2308</v>
      </c>
      <c r="W136" s="286">
        <f>$J$121*T136</f>
        <v>0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2550</v>
      </c>
      <c r="J137" s="131">
        <f t="shared" si="4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8</v>
      </c>
      <c r="U137" s="129" t="s">
        <v>64</v>
      </c>
      <c r="V137" s="130">
        <f>$J$123-242</f>
        <v>2308</v>
      </c>
      <c r="W137" s="131">
        <f t="shared" ref="W137:W138" si="5">$J$121*T137</f>
        <v>0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2550</v>
      </c>
      <c r="J138" s="131">
        <f t="shared" si="4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8</v>
      </c>
      <c r="U138" s="135" t="s">
        <v>64</v>
      </c>
      <c r="V138" s="136">
        <f>$J$123-242</f>
        <v>2308</v>
      </c>
      <c r="W138" s="293">
        <f t="shared" si="5"/>
        <v>0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2454</v>
      </c>
      <c r="J139" s="131">
        <f t="shared" si="4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2454</v>
      </c>
      <c r="J140" s="131">
        <f t="shared" ref="J140" si="6">$J$120*G140</f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4</v>
      </c>
      <c r="H141" s="143" t="s">
        <v>295</v>
      </c>
      <c r="I141" s="178">
        <f>($J$126-182-(113.25*3))/4</f>
        <v>373.3125</v>
      </c>
      <c r="J141" s="131">
        <f t="shared" ref="J141:J146" si="7">$J$120*G141</f>
        <v>4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4</v>
      </c>
      <c r="H142" s="143" t="s">
        <v>295</v>
      </c>
      <c r="I142" s="178">
        <f>($J$126-182-(113.25*3))/4</f>
        <v>373.3125</v>
      </c>
      <c r="J142" s="131">
        <f t="shared" si="7"/>
        <v>4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6</v>
      </c>
      <c r="H143" s="143" t="s">
        <v>63</v>
      </c>
      <c r="I143" s="130">
        <f>$J$123-92</f>
        <v>2458</v>
      </c>
      <c r="J143" s="131">
        <f t="shared" si="7"/>
        <v>6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2</v>
      </c>
      <c r="H144" s="143" t="s">
        <v>63</v>
      </c>
      <c r="I144" s="130">
        <f>$J$123-92</f>
        <v>2458</v>
      </c>
      <c r="J144" s="131">
        <f t="shared" si="7"/>
        <v>2</v>
      </c>
      <c r="N144" s="98"/>
    </row>
    <row r="145" spans="1:14" s="1" customFormat="1" ht="18" customHeight="1">
      <c r="A145" s="143">
        <f t="shared" si="1"/>
        <v>13</v>
      </c>
      <c r="B145" s="140" t="str">
        <f t="shared" ref="B145:I145" si="8">IF($D$127=5,O133,IF($D$127=6,O133,IF($D$127=8,O134,IF($D$127=10,O134,IF($D$127=12,O134,IF($D$127=14,O135,IF($D$127=18,O135,IF($D$127=20,O135,IF($D$127=22,O135,)))))))))</f>
        <v>5-6mm คิ้วตบกระจกแนวนอน</v>
      </c>
      <c r="C145" s="140" t="str">
        <f t="shared" si="8"/>
        <v>5-6mm GLAZING BEAD HORIZONTAL</v>
      </c>
      <c r="D145" s="140" t="str">
        <f t="shared" si="8"/>
        <v>B24008</v>
      </c>
      <c r="E145" s="140">
        <f t="shared" si="8"/>
        <v>0.23100000000000001</v>
      </c>
      <c r="F145" s="140" t="str">
        <f t="shared" si="8"/>
        <v>B24008-001</v>
      </c>
      <c r="G145" s="143">
        <f t="shared" si="8"/>
        <v>8</v>
      </c>
      <c r="H145" s="129" t="str">
        <f t="shared" si="8"/>
        <v>(W-182-(113.25 × 3))/4</v>
      </c>
      <c r="I145" s="178">
        <f t="shared" si="8"/>
        <v>373.3125</v>
      </c>
      <c r="J145" s="131">
        <f t="shared" si="7"/>
        <v>8</v>
      </c>
      <c r="N145" s="98"/>
    </row>
    <row r="146" spans="1:14" s="1" customFormat="1" ht="18" customHeight="1">
      <c r="A146" s="143">
        <f t="shared" si="1"/>
        <v>14</v>
      </c>
      <c r="B146" s="140" t="str">
        <f t="shared" ref="B146:I146" si="9">IF($D$127=5,O136,IF($D$127=6,O136,IF($D$127=8,O137,IF($D$127=10,O137,IF($D$127=12,O137,IF($D$127=14,O138,IF($D$127=18,O138,IF($D$127=20,O138,IF($D$127=22,O138,)))))))))</f>
        <v>5-6mm คิ้วตบกระจกแนวตั้ง</v>
      </c>
      <c r="C146" s="140" t="str">
        <f t="shared" si="9"/>
        <v>5-6mm GLAZING BEAD VERTICAL</v>
      </c>
      <c r="D146" s="140" t="str">
        <f t="shared" si="9"/>
        <v>B24008</v>
      </c>
      <c r="E146" s="140">
        <f t="shared" si="9"/>
        <v>0.23100000000000001</v>
      </c>
      <c r="F146" s="140" t="str">
        <f t="shared" si="9"/>
        <v>B24008-002</v>
      </c>
      <c r="G146" s="143">
        <f t="shared" si="9"/>
        <v>8</v>
      </c>
      <c r="H146" s="129" t="str">
        <f t="shared" si="9"/>
        <v>H-242</v>
      </c>
      <c r="I146" s="144">
        <f t="shared" si="9"/>
        <v>2308</v>
      </c>
      <c r="J146" s="131">
        <f t="shared" si="7"/>
        <v>8</v>
      </c>
      <c r="N146" s="98"/>
    </row>
    <row r="147" spans="1:14" s="1" customFormat="1" ht="18" customHeight="1">
      <c r="A147" s="143" t="str">
        <f t="shared" si="1"/>
        <v/>
      </c>
      <c r="B147" s="140"/>
      <c r="C147" s="140"/>
      <c r="D147" s="139"/>
      <c r="E147" s="143"/>
      <c r="F147" s="139"/>
      <c r="G147" s="143"/>
      <c r="H147" s="143"/>
      <c r="I147" s="130"/>
      <c r="J147" s="131">
        <f t="shared" si="4"/>
        <v>0</v>
      </c>
      <c r="N147" s="98"/>
    </row>
    <row r="148" spans="1:14" s="1" customFormat="1" ht="18" customHeight="1">
      <c r="A148" s="143" t="str">
        <f t="shared" si="1"/>
        <v/>
      </c>
      <c r="B148" s="140"/>
      <c r="C148" s="140"/>
      <c r="D148" s="139"/>
      <c r="E148" s="143"/>
      <c r="F148" s="139"/>
      <c r="G148" s="143"/>
      <c r="H148" s="143"/>
      <c r="I148" s="130"/>
      <c r="J148" s="131">
        <f t="shared" si="4"/>
        <v>0</v>
      </c>
      <c r="N148" s="98"/>
    </row>
    <row r="149" spans="1:14" s="1" customFormat="1" ht="18" customHeight="1">
      <c r="A149" s="143" t="str">
        <f t="shared" si="1"/>
        <v/>
      </c>
      <c r="B149" s="140"/>
      <c r="C149" s="140"/>
      <c r="D149" s="139"/>
      <c r="E149" s="143"/>
      <c r="F149" s="139"/>
      <c r="G149" s="143"/>
      <c r="H149" s="143"/>
      <c r="I149" s="130"/>
      <c r="J149" s="131">
        <f t="shared" si="4"/>
        <v>0</v>
      </c>
      <c r="N149" s="98"/>
    </row>
    <row r="150" spans="1:14" s="1" customFormat="1" ht="18" customHeight="1">
      <c r="A150" s="143" t="str">
        <f t="shared" si="1"/>
        <v/>
      </c>
      <c r="B150" s="140"/>
      <c r="C150" s="140"/>
      <c r="D150" s="139"/>
      <c r="E150" s="143"/>
      <c r="F150" s="139"/>
      <c r="G150" s="143"/>
      <c r="H150" s="143"/>
      <c r="I150" s="130"/>
      <c r="J150" s="131"/>
      <c r="N150" s="98"/>
    </row>
    <row r="151" spans="1:14" s="1" customFormat="1" ht="18" customHeight="1">
      <c r="A151" s="143" t="str">
        <f t="shared" si="1"/>
        <v/>
      </c>
      <c r="B151" s="140"/>
      <c r="C151" s="140"/>
      <c r="D151" s="139"/>
      <c r="E151" s="143"/>
      <c r="F151" s="139"/>
      <c r="G151" s="143"/>
      <c r="H151" s="143"/>
      <c r="I151" s="130"/>
      <c r="J151" s="131">
        <f t="shared" si="4"/>
        <v>0</v>
      </c>
      <c r="N151" s="98"/>
    </row>
    <row r="152" spans="1:14" s="1" customFormat="1" ht="18" customHeight="1">
      <c r="A152" s="143" t="str">
        <f t="shared" si="1"/>
        <v/>
      </c>
      <c r="B152" s="140"/>
      <c r="C152" s="140"/>
      <c r="D152" s="139"/>
      <c r="E152" s="143"/>
      <c r="F152" s="139"/>
      <c r="G152" s="143"/>
      <c r="H152" s="143"/>
      <c r="I152" s="144"/>
      <c r="J152" s="131">
        <f t="shared" si="4"/>
        <v>0</v>
      </c>
      <c r="N152" s="98"/>
    </row>
    <row r="153" spans="1:14" s="1" customFormat="1" ht="18" customHeight="1" thickBot="1">
      <c r="A153" s="143" t="str">
        <f t="shared" si="1"/>
        <v/>
      </c>
      <c r="B153" s="207"/>
      <c r="C153" s="207"/>
      <c r="D153" s="208"/>
      <c r="E153" s="209"/>
      <c r="F153" s="208"/>
      <c r="G153" s="209"/>
      <c r="H153" s="209"/>
      <c r="I153" s="171"/>
      <c r="J153" s="172">
        <f t="shared" si="0"/>
        <v>0</v>
      </c>
    </row>
    <row r="154" spans="1:14" s="1" customFormat="1" ht="27" outlineLevel="1" thickBot="1">
      <c r="A154" s="169" t="s">
        <v>2</v>
      </c>
      <c r="B154" s="169" t="s">
        <v>29</v>
      </c>
      <c r="C154" s="169" t="s">
        <v>3</v>
      </c>
      <c r="D154" s="169" t="s">
        <v>4</v>
      </c>
      <c r="E154" s="169" t="s">
        <v>5</v>
      </c>
      <c r="F154" s="177" t="s">
        <v>85</v>
      </c>
      <c r="G154" s="169" t="s">
        <v>22</v>
      </c>
      <c r="H154" s="170" t="s">
        <v>23</v>
      </c>
      <c r="I154" s="540"/>
      <c r="J154" s="541"/>
    </row>
    <row r="155" spans="1:14" s="1" customFormat="1" ht="15" customHeight="1" outlineLevel="1">
      <c r="A155" s="21">
        <f>IF(B155="","",1)</f>
        <v>1</v>
      </c>
      <c r="B155" s="173" t="str">
        <f t="shared" ref="B155:C161" si="10">B133</f>
        <v>เฟรมบน</v>
      </c>
      <c r="C155" s="173" t="str">
        <f t="shared" si="10"/>
        <v>HEAD</v>
      </c>
      <c r="D155" s="174" t="str">
        <f>VLOOKUP(C155,$C$133:$H$153,2,0)</f>
        <v>B24001</v>
      </c>
      <c r="E155" s="175">
        <f t="shared" ref="E155:E161" si="11">VLOOKUP(C155,$C$133:$H$153,3,0)</f>
        <v>1.603</v>
      </c>
      <c r="F155" s="353">
        <f>VLOOKUP(C155,$C$133:$J$153,7,0)</f>
        <v>1955</v>
      </c>
      <c r="G155" s="175">
        <f t="shared" ref="G155:G161" si="12">VLOOKUP(C155,$C$133:$J$153,8,0)</f>
        <v>1</v>
      </c>
      <c r="H155" s="191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ref="A156:A161" si="13">IF(B156="","",+A155+1)</f>
        <v>2</v>
      </c>
      <c r="B156" s="173" t="str">
        <f t="shared" si="10"/>
        <v>บังใบบน</v>
      </c>
      <c r="C156" s="173" t="str">
        <f t="shared" si="10"/>
        <v>DOOR STOP HEAD</v>
      </c>
      <c r="D156" s="174" t="str">
        <f>VLOOKUP(C156,$C$133:$H$153,2,0)</f>
        <v>B24002</v>
      </c>
      <c r="E156" s="175">
        <f t="shared" si="11"/>
        <v>0.27800000000000002</v>
      </c>
      <c r="F156" s="353">
        <f t="shared" ref="F156:F161" si="14">VLOOKUP(C156,$C$133:$I$153,7,0)</f>
        <v>1929</v>
      </c>
      <c r="G156" s="175">
        <f t="shared" si="12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si="13"/>
        <v>3</v>
      </c>
      <c r="B157" s="173" t="str">
        <f t="shared" si="10"/>
        <v xml:space="preserve">เฟรมล่าง </v>
      </c>
      <c r="C157" s="173" t="str">
        <f t="shared" si="10"/>
        <v>SILL</v>
      </c>
      <c r="D157" s="174" t="str">
        <f>VLOOKUP(C157,$C$133:$H$153,2,0)</f>
        <v>B24003</v>
      </c>
      <c r="E157" s="175">
        <f t="shared" si="11"/>
        <v>1.603</v>
      </c>
      <c r="F157" s="353">
        <f t="shared" si="14"/>
        <v>1955</v>
      </c>
      <c r="G157" s="175">
        <f t="shared" si="12"/>
        <v>1</v>
      </c>
      <c r="H157" s="192">
        <f t="shared" ref="H157:H158" si="15">ROUNDUP((F157*G157)/6400,0)</f>
        <v>1</v>
      </c>
      <c r="I157" s="501"/>
      <c r="J157" s="501"/>
    </row>
    <row r="158" spans="1:14" s="1" customFormat="1" ht="15" customHeight="1" outlineLevel="1">
      <c r="A158" s="18">
        <f t="shared" si="13"/>
        <v>4</v>
      </c>
      <c r="B158" s="173" t="str">
        <f t="shared" si="10"/>
        <v>ตัวตับธรณี</v>
      </c>
      <c r="C158" s="173" t="str">
        <f t="shared" si="10"/>
        <v>DOOR STOP SILL</v>
      </c>
      <c r="D158" s="174" t="str">
        <f>VLOOKUP(C158,$C$133:$H$153,2,0)</f>
        <v>B24004</v>
      </c>
      <c r="E158" s="175">
        <f t="shared" si="11"/>
        <v>0.51600000000000001</v>
      </c>
      <c r="F158" s="353">
        <f t="shared" si="14"/>
        <v>1955</v>
      </c>
      <c r="G158" s="175">
        <f t="shared" si="12"/>
        <v>1</v>
      </c>
      <c r="H158" s="192">
        <f t="shared" si="15"/>
        <v>1</v>
      </c>
      <c r="I158" s="501"/>
      <c r="J158" s="501"/>
    </row>
    <row r="159" spans="1:14" s="1" customFormat="1" ht="15" customHeight="1" outlineLevel="1">
      <c r="A159" s="18">
        <f t="shared" si="13"/>
        <v>5</v>
      </c>
      <c r="B159" s="173" t="str">
        <f t="shared" si="10"/>
        <v>เฟรมข้าง (ซ้าย)</v>
      </c>
      <c r="C159" s="173" t="str">
        <f t="shared" si="10"/>
        <v>JAMB (L)</v>
      </c>
      <c r="D159" s="508" t="str">
        <f>VLOOKUP(C159,$C$133:$H$153,2,0)</f>
        <v>B24005</v>
      </c>
      <c r="E159" s="175">
        <f t="shared" si="11"/>
        <v>0.89300000000000002</v>
      </c>
      <c r="F159" s="353">
        <f t="shared" si="14"/>
        <v>2550</v>
      </c>
      <c r="G159" s="175">
        <f t="shared" si="12"/>
        <v>1</v>
      </c>
      <c r="H159" s="516">
        <f>ROUNDUP(((F159*G159)+(F160*G160))/6400,0)</f>
        <v>1</v>
      </c>
      <c r="I159" s="506"/>
      <c r="J159" s="506"/>
    </row>
    <row r="160" spans="1:14" s="1" customFormat="1" ht="15" customHeight="1" outlineLevel="1">
      <c r="A160" s="18">
        <f t="shared" si="13"/>
        <v>6</v>
      </c>
      <c r="B160" s="173" t="str">
        <f t="shared" si="10"/>
        <v>เฟรมข้าง (ขวา)</v>
      </c>
      <c r="C160" s="173" t="str">
        <f t="shared" si="10"/>
        <v>JAMB (R)</v>
      </c>
      <c r="D160" s="509"/>
      <c r="E160" s="175">
        <f t="shared" si="11"/>
        <v>0.89300000000000002</v>
      </c>
      <c r="F160" s="353">
        <f t="shared" si="14"/>
        <v>2550</v>
      </c>
      <c r="G160" s="175">
        <f t="shared" si="12"/>
        <v>1</v>
      </c>
      <c r="H160" s="516"/>
      <c r="I160" s="506"/>
      <c r="J160" s="506"/>
    </row>
    <row r="161" spans="1:23" s="1" customFormat="1" ht="15" customHeight="1" outlineLevel="1">
      <c r="A161" s="18">
        <f t="shared" si="13"/>
        <v>7</v>
      </c>
      <c r="B161" s="173" t="str">
        <f t="shared" si="10"/>
        <v>บังใบข้าง (ซ้าย)</v>
      </c>
      <c r="C161" s="173" t="str">
        <f t="shared" si="10"/>
        <v>DOOR STOP JAMB (L)</v>
      </c>
      <c r="D161" s="508" t="str">
        <f>VLOOKUP(C161,$C$133:$H$153,2,0)</f>
        <v>B24006</v>
      </c>
      <c r="E161" s="175">
        <f t="shared" si="11"/>
        <v>0.23499999999999999</v>
      </c>
      <c r="F161" s="353">
        <f t="shared" si="14"/>
        <v>2454</v>
      </c>
      <c r="G161" s="175">
        <f t="shared" si="12"/>
        <v>1</v>
      </c>
      <c r="H161" s="516">
        <f>ROUNDUP(((F161*G161)+(F162*G162))/6400,0)</f>
        <v>1</v>
      </c>
      <c r="I161" s="501"/>
      <c r="J161" s="501"/>
    </row>
    <row r="162" spans="1:23" s="1" customFormat="1" ht="15" customHeight="1" outlineLevel="1">
      <c r="A162" s="18">
        <f t="shared" ref="A162:A168" si="16">IF(B162="","",+A161+1)</f>
        <v>8</v>
      </c>
      <c r="B162" s="173" t="str">
        <f t="shared" ref="B162:C162" si="17">B140</f>
        <v>บังใบข้าง (ขวา)</v>
      </c>
      <c r="C162" s="173" t="str">
        <f t="shared" si="17"/>
        <v>DOOR STOP JAMB (R)</v>
      </c>
      <c r="D162" s="509"/>
      <c r="E162" s="175">
        <f t="shared" ref="E162:E168" si="18">VLOOKUP(C162,$C$133:$H$153,3,0)</f>
        <v>0.23499999999999999</v>
      </c>
      <c r="F162" s="353">
        <f t="shared" ref="F162:F168" si="19">VLOOKUP(C162,$C$133:$I$153,7,0)</f>
        <v>2454</v>
      </c>
      <c r="G162" s="175">
        <f t="shared" ref="G162:G168" si="20">VLOOKUP(C162,$C$133:$J$153,8,0)</f>
        <v>1</v>
      </c>
      <c r="H162" s="516"/>
      <c r="I162" s="506"/>
      <c r="J162" s="506"/>
    </row>
    <row r="163" spans="1:23" s="1" customFormat="1" ht="13.8" outlineLevel="1">
      <c r="A163" s="18">
        <f t="shared" si="16"/>
        <v>9</v>
      </c>
      <c r="B163" s="173" t="str">
        <f t="shared" ref="B163:C163" si="21">B141</f>
        <v>ขวางบน</v>
      </c>
      <c r="C163" s="173" t="str">
        <f t="shared" si="21"/>
        <v>SASH (Hor) (T)</v>
      </c>
      <c r="D163" s="508" t="str">
        <f t="shared" ref="D163:D167" si="22">VLOOKUP(C163,$C$133:$H$153,2,0)</f>
        <v>B24007</v>
      </c>
      <c r="E163" s="175">
        <f t="shared" si="18"/>
        <v>1.1060000000000001</v>
      </c>
      <c r="F163" s="353">
        <f t="shared" si="19"/>
        <v>373.3125</v>
      </c>
      <c r="G163" s="175">
        <f t="shared" si="20"/>
        <v>4</v>
      </c>
      <c r="H163" s="512">
        <f>ROUNDUP(((F163*G163)+(F164*G164)+(F165*G165)+(F166*G166))/6400,0)</f>
        <v>4</v>
      </c>
      <c r="I163" s="506"/>
      <c r="J163" s="506"/>
    </row>
    <row r="164" spans="1:23" s="1" customFormat="1" ht="13.8" outlineLevel="1">
      <c r="A164" s="18">
        <f t="shared" si="16"/>
        <v>10</v>
      </c>
      <c r="B164" s="173" t="str">
        <f t="shared" ref="B164:C164" si="23">B142</f>
        <v>ขวางล่าง</v>
      </c>
      <c r="C164" s="173" t="str">
        <f t="shared" si="23"/>
        <v>SASH (Hor) (B)</v>
      </c>
      <c r="D164" s="510"/>
      <c r="E164" s="175">
        <f t="shared" si="18"/>
        <v>1.1060000000000001</v>
      </c>
      <c r="F164" s="353">
        <f t="shared" si="19"/>
        <v>373.3125</v>
      </c>
      <c r="G164" s="175">
        <f t="shared" si="20"/>
        <v>4</v>
      </c>
      <c r="H164" s="514"/>
      <c r="I164" s="506"/>
      <c r="J164" s="506"/>
    </row>
    <row r="165" spans="1:23" s="1" customFormat="1" ht="13.8" outlineLevel="1">
      <c r="A165" s="18">
        <f t="shared" si="16"/>
        <v>11</v>
      </c>
      <c r="B165" s="173" t="str">
        <f t="shared" ref="B165:C165" si="24">B143</f>
        <v>เสา</v>
      </c>
      <c r="C165" s="173" t="str">
        <f t="shared" si="24"/>
        <v xml:space="preserve">SASH (Ver) </v>
      </c>
      <c r="D165" s="510"/>
      <c r="E165" s="175">
        <f t="shared" si="18"/>
        <v>1.1060000000000001</v>
      </c>
      <c r="F165" s="353">
        <f t="shared" si="19"/>
        <v>2458</v>
      </c>
      <c r="G165" s="175">
        <f t="shared" si="20"/>
        <v>6</v>
      </c>
      <c r="H165" s="514"/>
      <c r="I165" s="506"/>
      <c r="J165" s="506"/>
    </row>
    <row r="166" spans="1:23" s="1" customFormat="1" ht="15" customHeight="1" outlineLevel="1">
      <c r="A166" s="18">
        <f t="shared" si="16"/>
        <v>12</v>
      </c>
      <c r="B166" s="173" t="str">
        <f t="shared" ref="B166:C166" si="25">B144</f>
        <v>เสากุญแจ</v>
      </c>
      <c r="C166" s="173" t="str">
        <f t="shared" si="25"/>
        <v xml:space="preserve">SASH (Ver) LOCK </v>
      </c>
      <c r="D166" s="509"/>
      <c r="E166" s="175">
        <f t="shared" si="18"/>
        <v>1.1060000000000001</v>
      </c>
      <c r="F166" s="353">
        <f t="shared" si="19"/>
        <v>2458</v>
      </c>
      <c r="G166" s="175">
        <f t="shared" si="20"/>
        <v>2</v>
      </c>
      <c r="H166" s="515"/>
      <c r="I166" s="506"/>
      <c r="J166" s="506"/>
    </row>
    <row r="167" spans="1:23" s="1" customFormat="1" ht="15" customHeight="1" outlineLevel="1">
      <c r="A167" s="18">
        <f t="shared" si="16"/>
        <v>13</v>
      </c>
      <c r="B167" s="173" t="str">
        <f t="shared" ref="B167:C167" si="26">B145</f>
        <v>5-6mm คิ้วตบกระจกแนวนอน</v>
      </c>
      <c r="C167" s="173" t="str">
        <f t="shared" si="26"/>
        <v>5-6mm GLAZING BEAD HORIZONTAL</v>
      </c>
      <c r="D167" s="508" t="str">
        <f t="shared" si="22"/>
        <v>B24008</v>
      </c>
      <c r="E167" s="175">
        <f t="shared" si="18"/>
        <v>0.23100000000000001</v>
      </c>
      <c r="F167" s="353">
        <f t="shared" si="19"/>
        <v>373.3125</v>
      </c>
      <c r="G167" s="175">
        <f t="shared" si="20"/>
        <v>8</v>
      </c>
      <c r="H167" s="514">
        <f>ROUNDUP(((F167*G167)+(F168*G168))/6400,0)</f>
        <v>4</v>
      </c>
      <c r="I167" s="506"/>
      <c r="J167" s="506"/>
    </row>
    <row r="168" spans="1:23" s="1" customFormat="1" outlineLevel="1" thickBot="1">
      <c r="A168" s="18">
        <f t="shared" si="16"/>
        <v>14</v>
      </c>
      <c r="B168" s="173" t="str">
        <f t="shared" ref="B168:C168" si="27">B146</f>
        <v>5-6mm คิ้วตบกระจกแนวตั้ง</v>
      </c>
      <c r="C168" s="173" t="str">
        <f t="shared" si="27"/>
        <v>5-6mm GLAZING BEAD VERTICAL</v>
      </c>
      <c r="D168" s="511"/>
      <c r="E168" s="175">
        <f t="shared" si="18"/>
        <v>0.23100000000000001</v>
      </c>
      <c r="F168" s="353">
        <f t="shared" si="19"/>
        <v>2308</v>
      </c>
      <c r="G168" s="175">
        <f t="shared" si="20"/>
        <v>8</v>
      </c>
      <c r="H168" s="513"/>
      <c r="I168" s="501"/>
      <c r="J168" s="501"/>
    </row>
    <row r="169" spans="1:23" s="1" customFormat="1" ht="24.9" customHeight="1" thickBot="1">
      <c r="A169" s="529" t="s">
        <v>9</v>
      </c>
      <c r="B169" s="530"/>
      <c r="C169" s="530"/>
      <c r="D169" s="530"/>
      <c r="E169" s="530"/>
      <c r="F169" s="530"/>
      <c r="G169" s="530"/>
      <c r="H169" s="530"/>
      <c r="I169" s="530"/>
      <c r="J169" s="531"/>
    </row>
    <row r="170" spans="1:23" s="1" customFormat="1" ht="35.1" customHeight="1" thickBot="1">
      <c r="A170" s="102" t="s">
        <v>2</v>
      </c>
      <c r="B170" s="103" t="s">
        <v>29</v>
      </c>
      <c r="C170" s="103" t="s">
        <v>3</v>
      </c>
      <c r="D170" s="103" t="s">
        <v>199</v>
      </c>
      <c r="E170" s="103" t="s">
        <v>5</v>
      </c>
      <c r="F170" s="104" t="s">
        <v>28</v>
      </c>
      <c r="G170" s="103" t="s">
        <v>19</v>
      </c>
      <c r="H170" s="104" t="s">
        <v>200</v>
      </c>
      <c r="I170" s="104" t="s">
        <v>20</v>
      </c>
      <c r="J170" s="115" t="s">
        <v>201</v>
      </c>
      <c r="N170" s="101" t="s">
        <v>191</v>
      </c>
      <c r="O170" s="246" t="s">
        <v>29</v>
      </c>
      <c r="P170" s="246" t="s">
        <v>3</v>
      </c>
      <c r="Q170" s="246" t="s">
        <v>199</v>
      </c>
      <c r="R170" s="246" t="s">
        <v>5</v>
      </c>
      <c r="S170" s="246" t="s">
        <v>28</v>
      </c>
      <c r="T170" s="246" t="s">
        <v>19</v>
      </c>
      <c r="U170" s="246" t="s">
        <v>200</v>
      </c>
      <c r="V170" s="246" t="s">
        <v>20</v>
      </c>
      <c r="W170" s="246" t="s">
        <v>201</v>
      </c>
    </row>
    <row r="171" spans="1:23" s="1" customFormat="1" ht="18" customHeight="1">
      <c r="A171" s="200">
        <f>IF(B171="","",1)</f>
        <v>1</v>
      </c>
      <c r="B171" s="140" t="s">
        <v>110</v>
      </c>
      <c r="C171" s="140" t="s">
        <v>66</v>
      </c>
      <c r="D171" s="139" t="s">
        <v>73</v>
      </c>
      <c r="E171" s="143"/>
      <c r="F171" s="143" t="s">
        <v>73</v>
      </c>
      <c r="G171" s="143" t="s">
        <v>202</v>
      </c>
      <c r="H171" s="143">
        <v>2</v>
      </c>
      <c r="I171" s="130"/>
      <c r="J171" s="131">
        <f t="shared" ref="J171:J189" si="28">$J$120*H171</f>
        <v>2</v>
      </c>
      <c r="N171" s="101" t="s">
        <v>226</v>
      </c>
      <c r="O171" s="280" t="s">
        <v>252</v>
      </c>
      <c r="P171" s="290" t="s">
        <v>248</v>
      </c>
      <c r="Q171" s="280" t="s">
        <v>69</v>
      </c>
      <c r="R171" s="213"/>
      <c r="S171" s="213" t="s">
        <v>69</v>
      </c>
      <c r="T171" s="213" t="s">
        <v>198</v>
      </c>
      <c r="U171" s="291">
        <f>((($I$141*$G$141)+($I$142*$G$142)+($I$143*$G$143)+($I$144*$G$144))/1000)*$J$120</f>
        <v>22.650500000000001</v>
      </c>
      <c r="V171" s="291">
        <v>100</v>
      </c>
      <c r="W171" s="292">
        <f>ROUNDUP((U171)/100,0)</f>
        <v>1</v>
      </c>
    </row>
    <row r="172" spans="1:23" s="1" customFormat="1" ht="18" customHeight="1">
      <c r="A172" s="201">
        <f>IF(B172="","",+A171+1)</f>
        <v>2</v>
      </c>
      <c r="B172" s="140" t="s">
        <v>111</v>
      </c>
      <c r="C172" s="140" t="s">
        <v>67</v>
      </c>
      <c r="D172" s="139" t="s">
        <v>74</v>
      </c>
      <c r="E172" s="143"/>
      <c r="F172" s="143" t="s">
        <v>74</v>
      </c>
      <c r="G172" s="143" t="s">
        <v>202</v>
      </c>
      <c r="H172" s="143">
        <v>8</v>
      </c>
      <c r="I172" s="130"/>
      <c r="J172" s="131">
        <f t="shared" si="28"/>
        <v>8</v>
      </c>
      <c r="N172" s="101" t="s">
        <v>230</v>
      </c>
      <c r="O172" s="280" t="s">
        <v>253</v>
      </c>
      <c r="P172" s="290" t="s">
        <v>249</v>
      </c>
      <c r="Q172" s="280" t="s">
        <v>188</v>
      </c>
      <c r="R172" s="213"/>
      <c r="S172" s="213" t="s">
        <v>188</v>
      </c>
      <c r="T172" s="213" t="s">
        <v>198</v>
      </c>
      <c r="U172" s="291">
        <f>((($I$141*$G$141)+($I$142*$G$142)+($I$143*$G$143)+($I$144*$G$144))/1000)*$J$120</f>
        <v>22.650500000000001</v>
      </c>
      <c r="V172" s="291">
        <v>100</v>
      </c>
      <c r="W172" s="292">
        <f t="shared" ref="W172:W174" si="29">ROUNDUP((U172)/100,0)</f>
        <v>1</v>
      </c>
    </row>
    <row r="173" spans="1:23" s="1" customFormat="1" ht="18" customHeight="1">
      <c r="A173" s="201">
        <f>IF(B173="","",+A172+1)</f>
        <v>3</v>
      </c>
      <c r="B173" s="140" t="s">
        <v>106</v>
      </c>
      <c r="C173" s="140" t="s">
        <v>503</v>
      </c>
      <c r="D173" s="139" t="s">
        <v>75</v>
      </c>
      <c r="E173" s="143"/>
      <c r="F173" s="143" t="s">
        <v>75</v>
      </c>
      <c r="G173" s="143" t="s">
        <v>202</v>
      </c>
      <c r="H173" s="143">
        <v>2</v>
      </c>
      <c r="I173" s="130"/>
      <c r="J173" s="131">
        <f t="shared" si="28"/>
        <v>2</v>
      </c>
      <c r="N173" s="101" t="s">
        <v>229</v>
      </c>
      <c r="O173" s="290" t="s">
        <v>254</v>
      </c>
      <c r="P173" s="290" t="s">
        <v>250</v>
      </c>
      <c r="Q173" s="280" t="s">
        <v>70</v>
      </c>
      <c r="R173" s="213"/>
      <c r="S173" s="213" t="s">
        <v>70</v>
      </c>
      <c r="T173" s="213" t="s">
        <v>198</v>
      </c>
      <c r="U173" s="291">
        <f>((($I$141*$G$141)+($I$142*$G$142)+($I$143*$G$143)+($I$144*$G$144))/1000)*$J$120</f>
        <v>22.650500000000001</v>
      </c>
      <c r="V173" s="291">
        <v>100</v>
      </c>
      <c r="W173" s="292">
        <f t="shared" si="29"/>
        <v>1</v>
      </c>
    </row>
    <row r="174" spans="1:23" s="1" customFormat="1" ht="18" customHeight="1">
      <c r="A174" s="201">
        <f t="shared" ref="A174:A189" si="30">IF(B174="","",+A173+1)</f>
        <v>4</v>
      </c>
      <c r="B174" s="140" t="s">
        <v>107</v>
      </c>
      <c r="C174" s="140" t="s">
        <v>504</v>
      </c>
      <c r="D174" s="139" t="s">
        <v>76</v>
      </c>
      <c r="E174" s="143"/>
      <c r="F174" s="143" t="s">
        <v>76</v>
      </c>
      <c r="G174" s="143" t="s">
        <v>202</v>
      </c>
      <c r="H174" s="143">
        <v>2</v>
      </c>
      <c r="I174" s="130"/>
      <c r="J174" s="131">
        <f t="shared" si="28"/>
        <v>2</v>
      </c>
      <c r="N174" s="101" t="s">
        <v>231</v>
      </c>
      <c r="O174" s="290" t="s">
        <v>255</v>
      </c>
      <c r="P174" s="290" t="s">
        <v>251</v>
      </c>
      <c r="Q174" s="280" t="s">
        <v>189</v>
      </c>
      <c r="R174" s="213"/>
      <c r="S174" s="213" t="s">
        <v>189</v>
      </c>
      <c r="T174" s="213" t="s">
        <v>198</v>
      </c>
      <c r="U174" s="291">
        <f>((($I$141*$G$141)+($I$142*$G$142)+($I$143*$G$143)+($I$144*$G$144))/1000)*$J$120</f>
        <v>22.650500000000001</v>
      </c>
      <c r="V174" s="291">
        <v>100</v>
      </c>
      <c r="W174" s="292">
        <f t="shared" si="29"/>
        <v>1</v>
      </c>
    </row>
    <row r="175" spans="1:23" s="1" customFormat="1" ht="18" customHeight="1">
      <c r="A175" s="201">
        <f>IF(B175="","",+A174+1)</f>
        <v>5</v>
      </c>
      <c r="B175" s="140" t="s">
        <v>108</v>
      </c>
      <c r="C175" s="140" t="s">
        <v>10</v>
      </c>
      <c r="D175" s="139">
        <v>9</v>
      </c>
      <c r="E175" s="143"/>
      <c r="F175" s="143">
        <v>9</v>
      </c>
      <c r="G175" s="143" t="s">
        <v>202</v>
      </c>
      <c r="H175" s="143">
        <v>16</v>
      </c>
      <c r="I175" s="130"/>
      <c r="J175" s="131">
        <f t="shared" si="28"/>
        <v>16</v>
      </c>
      <c r="N175" s="101" t="s">
        <v>232</v>
      </c>
      <c r="O175" s="290" t="s">
        <v>256</v>
      </c>
      <c r="P175" s="290" t="s">
        <v>247</v>
      </c>
      <c r="Q175" s="280" t="s">
        <v>233</v>
      </c>
      <c r="R175" s="213"/>
      <c r="S175" s="213" t="s">
        <v>233</v>
      </c>
      <c r="T175" s="213" t="s">
        <v>198</v>
      </c>
      <c r="U175" s="291">
        <f>((($I$141*$G$141)+($I$142*$G$142)+($I$143*$G$143)+($I$144*$G$144))/1000)*$J$120</f>
        <v>22.650500000000001</v>
      </c>
      <c r="V175" s="291">
        <v>100</v>
      </c>
      <c r="W175" s="292">
        <f>ROUNDUP((U175)/100,0)</f>
        <v>1</v>
      </c>
    </row>
    <row r="176" spans="1:23" s="1" customFormat="1" ht="18" customHeight="1">
      <c r="A176" s="201">
        <f t="shared" si="30"/>
        <v>6</v>
      </c>
      <c r="B176" s="140" t="s">
        <v>109</v>
      </c>
      <c r="C176" s="140" t="s">
        <v>68</v>
      </c>
      <c r="D176" s="139">
        <v>9</v>
      </c>
      <c r="E176" s="143"/>
      <c r="F176" s="143">
        <v>9</v>
      </c>
      <c r="G176" s="143" t="s">
        <v>202</v>
      </c>
      <c r="H176" s="143">
        <v>32</v>
      </c>
      <c r="I176" s="130"/>
      <c r="J176" s="131">
        <f t="shared" si="28"/>
        <v>32</v>
      </c>
    </row>
    <row r="177" spans="1:36" s="1" customFormat="1" ht="18" customHeight="1">
      <c r="A177" s="201">
        <f t="shared" si="30"/>
        <v>7</v>
      </c>
      <c r="B177" s="140" t="s">
        <v>120</v>
      </c>
      <c r="C177" s="140" t="s">
        <v>94</v>
      </c>
      <c r="D177" s="139" t="s">
        <v>96</v>
      </c>
      <c r="E177" s="143"/>
      <c r="F177" s="143" t="s">
        <v>96</v>
      </c>
      <c r="G177" s="143" t="s">
        <v>185</v>
      </c>
      <c r="H177" s="143">
        <v>1</v>
      </c>
      <c r="I177" s="130"/>
      <c r="J177" s="131">
        <f t="shared" si="28"/>
        <v>1</v>
      </c>
    </row>
    <row r="178" spans="1:36" s="1" customFormat="1" ht="18" customHeight="1">
      <c r="A178" s="201">
        <f t="shared" si="30"/>
        <v>8</v>
      </c>
      <c r="B178" s="140" t="s">
        <v>119</v>
      </c>
      <c r="C178" s="140" t="s">
        <v>95</v>
      </c>
      <c r="D178" s="139" t="s">
        <v>97</v>
      </c>
      <c r="E178" s="143"/>
      <c r="F178" s="143" t="s">
        <v>97</v>
      </c>
      <c r="G178" s="143" t="s">
        <v>185</v>
      </c>
      <c r="H178" s="143">
        <v>1</v>
      </c>
      <c r="I178" s="130"/>
      <c r="J178" s="131">
        <f t="shared" si="28"/>
        <v>1</v>
      </c>
    </row>
    <row r="179" spans="1:36" s="1" customFormat="1" ht="18" customHeight="1">
      <c r="A179" s="201">
        <f t="shared" si="30"/>
        <v>9</v>
      </c>
      <c r="B179" s="140" t="s">
        <v>131</v>
      </c>
      <c r="C179" s="140" t="s">
        <v>100</v>
      </c>
      <c r="D179" s="139" t="s">
        <v>102</v>
      </c>
      <c r="E179" s="143"/>
      <c r="F179" s="143" t="s">
        <v>102</v>
      </c>
      <c r="G179" s="143" t="s">
        <v>185</v>
      </c>
      <c r="H179" s="143">
        <v>1</v>
      </c>
      <c r="I179" s="130"/>
      <c r="J179" s="131">
        <f t="shared" si="28"/>
        <v>1</v>
      </c>
    </row>
    <row r="180" spans="1:36" s="1" customFormat="1" ht="18" customHeight="1">
      <c r="A180" s="201">
        <f t="shared" si="30"/>
        <v>10</v>
      </c>
      <c r="B180" s="140" t="s">
        <v>143</v>
      </c>
      <c r="C180" s="140" t="s">
        <v>121</v>
      </c>
      <c r="D180" s="139" t="s">
        <v>103</v>
      </c>
      <c r="E180" s="143"/>
      <c r="F180" s="143" t="s">
        <v>103</v>
      </c>
      <c r="G180" s="143" t="s">
        <v>185</v>
      </c>
      <c r="H180" s="143">
        <v>1</v>
      </c>
      <c r="I180" s="130"/>
      <c r="J180" s="131">
        <f t="shared" si="28"/>
        <v>1</v>
      </c>
      <c r="N180" s="56"/>
      <c r="O180" s="56"/>
      <c r="P180" s="56"/>
      <c r="Q180" s="289"/>
      <c r="R180" s="289"/>
      <c r="S180" s="289"/>
      <c r="T180" s="17"/>
      <c r="U180" s="17"/>
      <c r="V180" s="17"/>
      <c r="W180" s="56"/>
    </row>
    <row r="181" spans="1:36" s="1" customFormat="1" ht="18" customHeight="1">
      <c r="A181" s="201">
        <f t="shared" si="30"/>
        <v>11</v>
      </c>
      <c r="B181" s="140" t="s">
        <v>113</v>
      </c>
      <c r="C181" s="140" t="s">
        <v>502</v>
      </c>
      <c r="D181" s="139" t="s">
        <v>83</v>
      </c>
      <c r="E181" s="143"/>
      <c r="F181" s="143" t="s">
        <v>83</v>
      </c>
      <c r="G181" s="143" t="s">
        <v>185</v>
      </c>
      <c r="H181" s="143">
        <v>2</v>
      </c>
      <c r="I181" s="144"/>
      <c r="J181" s="131">
        <f t="shared" si="28"/>
        <v>2</v>
      </c>
      <c r="N181" s="101" t="s">
        <v>227</v>
      </c>
      <c r="O181" s="246" t="s">
        <v>29</v>
      </c>
      <c r="P181" s="246" t="s">
        <v>3</v>
      </c>
      <c r="Q181" s="246" t="s">
        <v>199</v>
      </c>
      <c r="R181" s="246" t="s">
        <v>5</v>
      </c>
      <c r="S181" s="246" t="s">
        <v>28</v>
      </c>
      <c r="T181" s="246" t="s">
        <v>19</v>
      </c>
      <c r="U181" s="246" t="s">
        <v>200</v>
      </c>
      <c r="V181" s="246" t="s">
        <v>20</v>
      </c>
      <c r="W181" s="246" t="s">
        <v>201</v>
      </c>
    </row>
    <row r="182" spans="1:36" s="1" customFormat="1" ht="18" customHeight="1">
      <c r="A182" s="201">
        <f t="shared" si="30"/>
        <v>12</v>
      </c>
      <c r="B182" s="140" t="s">
        <v>112</v>
      </c>
      <c r="C182" s="140" t="s">
        <v>114</v>
      </c>
      <c r="D182" s="128" t="s">
        <v>520</v>
      </c>
      <c r="E182" s="129"/>
      <c r="F182" s="129" t="s">
        <v>520</v>
      </c>
      <c r="G182" s="143" t="s">
        <v>202</v>
      </c>
      <c r="H182" s="143">
        <v>4</v>
      </c>
      <c r="I182" s="144"/>
      <c r="J182" s="131">
        <f t="shared" si="28"/>
        <v>4</v>
      </c>
      <c r="N182" s="101" t="s">
        <v>240</v>
      </c>
      <c r="O182" s="290" t="s">
        <v>234</v>
      </c>
      <c r="P182" s="290" t="s">
        <v>236</v>
      </c>
      <c r="Q182" s="280" t="s">
        <v>190</v>
      </c>
      <c r="R182" s="213"/>
      <c r="S182" s="213" t="s">
        <v>190</v>
      </c>
      <c r="T182" s="213" t="s">
        <v>198</v>
      </c>
      <c r="U182" s="291">
        <f>((($I$134*$G$134)+($I$136*$G$136)+($I$139*$G$139))/1000)*$J$120</f>
        <v>6.3380000000000001</v>
      </c>
      <c r="V182" s="291">
        <v>300</v>
      </c>
      <c r="W182" s="292">
        <f>ROUNDUP((U182)/V182,0)</f>
        <v>1</v>
      </c>
    </row>
    <row r="183" spans="1:36" s="1" customFormat="1" ht="18" customHeight="1">
      <c r="A183" s="201">
        <f t="shared" si="30"/>
        <v>13</v>
      </c>
      <c r="B183" s="140" t="s">
        <v>115</v>
      </c>
      <c r="C183" s="140" t="s">
        <v>45</v>
      </c>
      <c r="D183" s="139" t="s">
        <v>84</v>
      </c>
      <c r="E183" s="143"/>
      <c r="F183" s="143" t="s">
        <v>84</v>
      </c>
      <c r="G183" s="143" t="s">
        <v>202</v>
      </c>
      <c r="H183" s="143">
        <v>1</v>
      </c>
      <c r="I183" s="144"/>
      <c r="J183" s="131">
        <f t="shared" si="28"/>
        <v>1</v>
      </c>
      <c r="N183" s="101" t="s">
        <v>241</v>
      </c>
      <c r="O183" s="290" t="s">
        <v>235</v>
      </c>
      <c r="P183" s="290" t="s">
        <v>238</v>
      </c>
      <c r="Q183" s="280" t="s">
        <v>71</v>
      </c>
      <c r="R183" s="213"/>
      <c r="S183" s="213" t="s">
        <v>71</v>
      </c>
      <c r="T183" s="213" t="s">
        <v>198</v>
      </c>
      <c r="U183" s="291">
        <f>((($I$134*$G$134)+($I$136*$G$136)+($I$139*$G$139))/1000)*$J$120</f>
        <v>6.3380000000000001</v>
      </c>
      <c r="V183" s="291">
        <v>100</v>
      </c>
      <c r="W183" s="292">
        <f t="shared" ref="W183:W185" si="31">ROUNDUP((U183)/V183,0)</f>
        <v>1</v>
      </c>
    </row>
    <row r="184" spans="1:36" s="1" customFormat="1" ht="18" customHeight="1">
      <c r="A184" s="201">
        <f t="shared" si="30"/>
        <v>14</v>
      </c>
      <c r="B184" s="139" t="str">
        <f>IF($D$129="Standard",$O$182,IF($D$129="Soumdproof",$O$183,))</f>
        <v>ยางเฟรมกันน้ำ (ธรรมดา)</v>
      </c>
      <c r="C184" s="139" t="str">
        <f>IF($D$129="Standard",$P$182,IF($D$129="Soumdproof",$P$183,))</f>
        <v>FRAME SEAL (Standard)</v>
      </c>
      <c r="D184" s="139" t="str">
        <f>IF($D$129="Standard",$Q$182,IF($D$129="Soumdproof",$Q$183,))</f>
        <v>02-026</v>
      </c>
      <c r="E184" s="143">
        <f t="shared" ref="E184" si="32">IF($D$129="Standard",R183,IF($D$129="Soumdproof",R184,))</f>
        <v>0</v>
      </c>
      <c r="F184" s="143" t="str">
        <f>IF($D$129="Standard",$S$182,IF($D$129="Soumdproof",$S$183,))</f>
        <v>02-026</v>
      </c>
      <c r="G184" s="143" t="str">
        <f>IF($D$129="Standard",$T$182,IF($D$129="Soumdproof",$T$183,))</f>
        <v>M</v>
      </c>
      <c r="H184" s="261">
        <f>IF($D$129="Standard",$U$182,IF($D$129="Soumdproof",$U$183,))</f>
        <v>6.3380000000000001</v>
      </c>
      <c r="I184" s="258">
        <f>IF($D$129="Standard",$V$182,IF($D$129="Soumdproof",$V$183,))</f>
        <v>300</v>
      </c>
      <c r="J184" s="267">
        <f>ROUNDUP((H184)/100,0)</f>
        <v>1</v>
      </c>
      <c r="N184" s="101" t="s">
        <v>240</v>
      </c>
      <c r="O184" s="290" t="s">
        <v>245</v>
      </c>
      <c r="P184" s="290" t="s">
        <v>237</v>
      </c>
      <c r="Q184" s="280" t="s">
        <v>72</v>
      </c>
      <c r="R184" s="213"/>
      <c r="S184" s="213" t="s">
        <v>72</v>
      </c>
      <c r="T184" s="213" t="s">
        <v>198</v>
      </c>
      <c r="U184" s="291">
        <f>((($I$141*$G$141*2)+($I$143*$G$143*2)+($I$144*$G$144*2))/1000)*$J$120</f>
        <v>42.314500000000002</v>
      </c>
      <c r="V184" s="291">
        <v>350</v>
      </c>
      <c r="W184" s="292">
        <f t="shared" si="31"/>
        <v>1</v>
      </c>
    </row>
    <row r="185" spans="1:36" s="1" customFormat="1" ht="18" customHeight="1">
      <c r="A185" s="201">
        <f t="shared" si="30"/>
        <v>15</v>
      </c>
      <c r="B185" s="139" t="str">
        <f>IF($D$129="Standard",$O$184,IF($D$129="Soumdproof",$O$185,))</f>
        <v>ยางแซชกันน้ำ (ธรรมดา)</v>
      </c>
      <c r="C185" s="139" t="str">
        <f>IF($D$129="Standard",$P$184,IF($D$129="Soumdproof",$P$185,))</f>
        <v>SASH SEAL FOAM (Standard)</v>
      </c>
      <c r="D185" s="139" t="str">
        <f>IF($D$129="Standard",$Q$184,IF($D$129="Soumdproof",$Q$185,))</f>
        <v>02-031</v>
      </c>
      <c r="E185" s="143">
        <f t="shared" ref="E185" si="33">IF($D$129="Standard",R185,IF($D$129="Soumdproof",R186,))</f>
        <v>0</v>
      </c>
      <c r="F185" s="143" t="str">
        <f>IF($D$129="Standard",$S$184,IF($D$129="Soumdproof",$S$185,))</f>
        <v>02-031</v>
      </c>
      <c r="G185" s="143" t="str">
        <f>IF($D$129="Standard",$T$184,IF($D$129="Soumdproof",$T$185,))</f>
        <v>M</v>
      </c>
      <c r="H185" s="261">
        <f>IF($D$129="Standard",$U$184,IF($D$129="Soumdproof",$U$185,))</f>
        <v>42.314500000000002</v>
      </c>
      <c r="I185" s="258">
        <f>IF($D$129="Standard",$V$184,IF($D$129="Soumdproof",$V$185,))</f>
        <v>350</v>
      </c>
      <c r="J185" s="267">
        <f t="shared" ref="J185:J187" si="34">ROUNDUP((H185)/100,0)</f>
        <v>1</v>
      </c>
      <c r="N185" s="101" t="s">
        <v>241</v>
      </c>
      <c r="O185" s="290" t="s">
        <v>246</v>
      </c>
      <c r="P185" s="290" t="s">
        <v>239</v>
      </c>
      <c r="Q185" s="280" t="s">
        <v>193</v>
      </c>
      <c r="R185" s="213"/>
      <c r="S185" s="213" t="s">
        <v>193</v>
      </c>
      <c r="T185" s="213" t="s">
        <v>198</v>
      </c>
      <c r="U185" s="291">
        <f>((($I$141*$G$141*2)+($I$143*$G$143*2)+($I$144*$G$144*2))/1000)*$J$120</f>
        <v>42.314500000000002</v>
      </c>
      <c r="V185" s="291">
        <v>100</v>
      </c>
      <c r="W185" s="292">
        <f t="shared" si="31"/>
        <v>1</v>
      </c>
    </row>
    <row r="186" spans="1:36" s="1" customFormat="1" ht="18" customHeight="1">
      <c r="A186" s="201">
        <f t="shared" si="30"/>
        <v>16</v>
      </c>
      <c r="B186" s="241" t="str">
        <f>IF($D$127=5,$O$173,IF($D$127=6,$O$174,IF($D$127=8,$O$175,IF($D$127=10,$O$173,IF($D$127=12,$O$173,IF($D$127=14,$O$175,IF($D$127=18,$O$173,IF($D$127=20,$O$174,IF($D$127=22,"")))))))))</f>
        <v>6,20 mm ยางอัดกระจก</v>
      </c>
      <c r="C186" s="241" t="str">
        <f>IF($D$127=5,$P$173,IF($D$127=6,$P$174,IF($D$127=8,$P$175,IF($D$127=10,$P$173,IF($D$127=12,$P$173,IF($D$127=14,$P$175,IF($D$127=18,$P$173,IF($D$127=20,$P$174,IF($D$127=22,"")))))))))</f>
        <v>6,20 mm ROLL IN WEDGE</v>
      </c>
      <c r="D186" s="241" t="str">
        <f>IF($D$127=5,$Q$173,IF($D$127=6,$Q$174,IF($D$127=8,$Q$175,IF($D$127=10,$Q$173,IF($D$127=12,$Q$173,IF($D$127=14,$Q$175,IF($D$127=18,$Q$173,IF($D$127=20,$Q$174,IF($D$127=22,"")))))))))</f>
        <v>02-034</v>
      </c>
      <c r="E186" s="241">
        <f t="shared" ref="E186" si="35">IF($D$127=5,R174,IF($D$127=6,R175,IF($D$127=8,R176,IF($D$127=10,R174,IF($D$127=12,R174,IF($D$127=14,R176,IF($D$127=18,R174,IF($D$127=20,R175,IF($D$127=22,"",)))))))))</f>
        <v>0</v>
      </c>
      <c r="F186" s="242" t="str">
        <f>IF($D$127=5,$S$173,IF($D$127=6,$S$174,IF($D$127=8,$S$175,IF($D$127=10,$S$173,IF($D$127=12,$S$173,IF($D$127=14,$S$175,IF($D$127=18,$S$173,IF($D$127=20,$S$174,IF($D$127=22,"")))))))))</f>
        <v>02-034</v>
      </c>
      <c r="G186" s="242" t="str">
        <f>IF($D$127=5,$T$173,IF($D$127=6,$T$174,IF($D$127=8,$T$175,IF($D$127=10,$T$173,IF($D$127=12,$T$173,IF($D$127=14,$T$175,IF($D$127=18,$T$173,IF($D$127=20,$T$174,IF($D$127=22,"")))))))))</f>
        <v>M</v>
      </c>
      <c r="H186" s="261">
        <f>IF($D$127=5,$U$173,IF($D$127=6,$U$174,IF($D$127=8,$U$175,IF($D$127=10,$U$173*2,IF($D$127=12,$U$173,IF($D$127=14,$U$175*2,IF($D$127=18,$U$173,IF($D$127=20,$U$174,IF($D$127=22,"")))))))))</f>
        <v>22.650500000000001</v>
      </c>
      <c r="I186" s="258">
        <f>IF($D$127=5,$V$173,IF($D$127=6,$V$174,IF($D$127=8,$V$175,IF($D$127=10,$V$173,IF($D$127=12,$V$173,IF($D$127=14,$V$175,IF($D$127=18,$V$173,IF($D$127=20,$V$174,IF($D$127=22,"")))))))))</f>
        <v>100</v>
      </c>
      <c r="J186" s="267">
        <f t="shared" si="34"/>
        <v>1</v>
      </c>
    </row>
    <row r="187" spans="1:36" s="1" customFormat="1" ht="18" customHeight="1">
      <c r="A187" s="201">
        <f t="shared" si="30"/>
        <v>17</v>
      </c>
      <c r="B187" s="241" t="str">
        <f>IF($D$127=5,$O$171,IF($D$127=6,$O$171,IF($D$127=8,$O$173,IF($D$127=10,"",IF($D$127=12,$O$172,IF($D$127=14,"",IF($D$127=18,$O$171,IF($D$127=20,$O$172,IF($D$127=22,"",)))))))))</f>
        <v>5,6,18 mm ยางรองกระจก</v>
      </c>
      <c r="C187" s="241" t="str">
        <f>IF($D$127=5,$P$171,IF($D$127=6,$P$171,IF($D$127=8,$P$173,IF($D$127=10,"",IF($D$127=12,$P$172,IF($D$127=14,"",IF($D$127=18,$P$171,IF($D$127=20,$P$172,IF($D$127=22,"",)))))))))</f>
        <v>5,6,18 mm CAPTIVE WEDGE</v>
      </c>
      <c r="D187" s="241" t="str">
        <f>IF($D$127=5,$Q$171,IF($D$127=6,$Q$171,IF($D$127=8,$Q$173,IF($D$127=10,"",IF($D$127=12,$Q$172,IF($D$127=14,"",IF($D$127=18,$Q$171,IF($D$127=20,$Q$172,IF($D$127=22,"",)))))))))</f>
        <v>02-022</v>
      </c>
      <c r="E187" s="241">
        <f t="shared" ref="E187" si="36">IF($D$127=5,R172,IF($D$127=6,R172,IF($D$127=8,R174,IF($D$127=10,"",IF($D$127=12,R173,IF($D$127=14,"",IF($D$127=18,R172,IF($D$127=20,R173,IF($D$127=22,"",)))))))))</f>
        <v>0</v>
      </c>
      <c r="F187" s="242" t="str">
        <f>IF($D$127=5,$S$171,IF($D$127=6,$S$171,IF($D$127=8,$S$173,IF($D$127=10,"",IF($D$127=12,$S$172,IF($D$127=14,"",IF($D$127=18,$S$171,IF($D$127=20,$S$172,IF($D$127=22,"",)))))))))</f>
        <v>02-022</v>
      </c>
      <c r="G187" s="242" t="str">
        <f>IF($D$127=5,$T$171,IF($D$127=6,$T$171,IF($D$127=8,$T$173,IF($D$127=10,"",IF($D$127=12,$T$172,IF($D$127=14,"",IF($D$127=18,$T$171,IF($D$127=20,$T$172,IF($D$127=22,"",)))))))))</f>
        <v>M</v>
      </c>
      <c r="H187" s="261">
        <f>IF($D$127=5,$U$171,IF($D$127=6,$U$171,IF($D$127=8,$U$173,IF($D$127=10,"",IF($D$127=12,$U$172,IF($D$127=14,"",IF($D$127=18,$U$171,IF($D$127=20,$U$172,IF($D$127=22,"")))))))))</f>
        <v>22.650500000000001</v>
      </c>
      <c r="I187" s="258">
        <f>IF($D$127=5,$V$171,IF($D$127=6,$V$171,IF($D$127=8,$V$173,IF($D$127=10,"",IF($D$127=12,$V$172,IF($D$127=14,"",IF($D$127=18,$V$171,IF($D$127=20,$V$172,IF($D$127=22,"",)))))))))</f>
        <v>100</v>
      </c>
      <c r="J187" s="267">
        <f t="shared" si="34"/>
        <v>1</v>
      </c>
    </row>
    <row r="188" spans="1:36" s="1" customFormat="1" ht="18" customHeight="1">
      <c r="A188" s="201" t="str">
        <f t="shared" si="30"/>
        <v/>
      </c>
      <c r="B188" s="140"/>
      <c r="C188" s="140"/>
      <c r="D188" s="139"/>
      <c r="E188" s="143"/>
      <c r="F188" s="143"/>
      <c r="G188" s="143"/>
      <c r="H188" s="143"/>
      <c r="I188" s="144"/>
      <c r="J188" s="131">
        <f t="shared" si="28"/>
        <v>0</v>
      </c>
    </row>
    <row r="189" spans="1:36" s="1" customFormat="1" ht="18" customHeight="1">
      <c r="A189" s="201" t="str">
        <f t="shared" si="30"/>
        <v/>
      </c>
      <c r="B189" s="140"/>
      <c r="C189" s="140"/>
      <c r="D189" s="139"/>
      <c r="E189" s="143"/>
      <c r="F189" s="143"/>
      <c r="G189" s="143"/>
      <c r="H189" s="143"/>
      <c r="I189" s="130"/>
      <c r="J189" s="131">
        <f t="shared" si="28"/>
        <v>0</v>
      </c>
    </row>
    <row r="190" spans="1:36" s="1" customFormat="1" ht="18" customHeight="1">
      <c r="A190" s="201" t="str">
        <f t="shared" ref="A190:A204" si="37">IF(B190="","",+A189+1)</f>
        <v/>
      </c>
      <c r="B190" s="140"/>
      <c r="C190" s="140"/>
      <c r="D190" s="139"/>
      <c r="E190" s="143"/>
      <c r="F190" s="143"/>
      <c r="G190" s="143"/>
      <c r="H190" s="143"/>
      <c r="I190" s="130"/>
      <c r="J190" s="131">
        <f t="shared" ref="J190:J204" si="38">$J$120*H190</f>
        <v>0</v>
      </c>
    </row>
    <row r="191" spans="1:36" ht="18" customHeight="1">
      <c r="A191" s="201" t="str">
        <f t="shared" si="37"/>
        <v/>
      </c>
      <c r="B191" s="140"/>
      <c r="C191" s="140"/>
      <c r="D191" s="139"/>
      <c r="E191" s="143"/>
      <c r="F191" s="143"/>
      <c r="G191" s="143"/>
      <c r="H191" s="143"/>
      <c r="I191" s="130"/>
      <c r="J191" s="131">
        <f t="shared" si="38"/>
        <v>0</v>
      </c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s="1" customFormat="1" ht="18" customHeight="1">
      <c r="A192" s="201" t="str">
        <f t="shared" si="37"/>
        <v/>
      </c>
      <c r="B192" s="140"/>
      <c r="C192" s="140"/>
      <c r="D192" s="139"/>
      <c r="E192" s="143"/>
      <c r="F192" s="143"/>
      <c r="G192" s="143"/>
      <c r="H192" s="143"/>
      <c r="I192" s="130"/>
      <c r="J192" s="131">
        <f t="shared" si="38"/>
        <v>0</v>
      </c>
    </row>
    <row r="193" spans="1:14" s="1" customFormat="1" ht="18" customHeight="1">
      <c r="A193" s="201" t="str">
        <f t="shared" si="37"/>
        <v/>
      </c>
      <c r="B193" s="140"/>
      <c r="C193" s="140"/>
      <c r="D193" s="139"/>
      <c r="E193" s="143"/>
      <c r="F193" s="143"/>
      <c r="G193" s="143"/>
      <c r="H193" s="143"/>
      <c r="I193" s="130"/>
      <c r="J193" s="131">
        <f t="shared" si="38"/>
        <v>0</v>
      </c>
    </row>
    <row r="194" spans="1:14" s="1" customFormat="1" ht="18" customHeight="1">
      <c r="A194" s="201" t="str">
        <f t="shared" si="37"/>
        <v/>
      </c>
      <c r="B194" s="140"/>
      <c r="C194" s="140"/>
      <c r="D194" s="139"/>
      <c r="E194" s="143"/>
      <c r="F194" s="143"/>
      <c r="G194" s="143"/>
      <c r="H194" s="143"/>
      <c r="I194" s="130"/>
      <c r="J194" s="131">
        <f t="shared" si="38"/>
        <v>0</v>
      </c>
    </row>
    <row r="195" spans="1:14" s="1" customFormat="1" ht="18" customHeight="1">
      <c r="A195" s="201" t="str">
        <f t="shared" si="37"/>
        <v/>
      </c>
      <c r="B195" s="140"/>
      <c r="C195" s="140"/>
      <c r="D195" s="139"/>
      <c r="E195" s="143"/>
      <c r="F195" s="143"/>
      <c r="G195" s="143"/>
      <c r="H195" s="143"/>
      <c r="I195" s="130"/>
      <c r="J195" s="131">
        <f t="shared" si="38"/>
        <v>0</v>
      </c>
    </row>
    <row r="196" spans="1:14" s="1" customFormat="1" ht="18" customHeight="1">
      <c r="A196" s="201" t="str">
        <f t="shared" si="37"/>
        <v/>
      </c>
      <c r="B196" s="140"/>
      <c r="C196" s="140"/>
      <c r="D196" s="139"/>
      <c r="E196" s="143"/>
      <c r="F196" s="143"/>
      <c r="G196" s="143"/>
      <c r="H196" s="143"/>
      <c r="I196" s="130"/>
      <c r="J196" s="131">
        <f t="shared" si="38"/>
        <v>0</v>
      </c>
    </row>
    <row r="197" spans="1:14" s="1" customFormat="1" ht="18" customHeight="1">
      <c r="A197" s="201" t="str">
        <f t="shared" si="37"/>
        <v/>
      </c>
      <c r="B197" s="140"/>
      <c r="C197" s="140"/>
      <c r="D197" s="139"/>
      <c r="E197" s="143"/>
      <c r="F197" s="143"/>
      <c r="G197" s="143"/>
      <c r="H197" s="143"/>
      <c r="I197" s="130"/>
      <c r="J197" s="131">
        <f t="shared" si="38"/>
        <v>0</v>
      </c>
    </row>
    <row r="198" spans="1:14" s="1" customFormat="1" ht="18" customHeight="1">
      <c r="A198" s="201" t="str">
        <f>IF(B198="","",+#REF!+1)</f>
        <v/>
      </c>
      <c r="B198" s="140"/>
      <c r="C198" s="140"/>
      <c r="D198" s="139"/>
      <c r="E198" s="143"/>
      <c r="F198" s="143"/>
      <c r="G198" s="143"/>
      <c r="H198" s="143"/>
      <c r="I198" s="130"/>
      <c r="J198" s="131">
        <f t="shared" si="38"/>
        <v>0</v>
      </c>
    </row>
    <row r="199" spans="1:14" s="1" customFormat="1" ht="18" customHeight="1">
      <c r="A199" s="201" t="str">
        <f t="shared" si="37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 t="shared" si="38"/>
        <v>0</v>
      </c>
    </row>
    <row r="200" spans="1:14" s="1" customFormat="1" ht="18" customHeight="1">
      <c r="A200" s="201" t="str">
        <f t="shared" si="37"/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si="38"/>
        <v>0</v>
      </c>
    </row>
    <row r="201" spans="1:14" s="1" customFormat="1" ht="18" customHeight="1">
      <c r="A201" s="201" t="str">
        <f t="shared" si="37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si="38"/>
        <v>0</v>
      </c>
    </row>
    <row r="202" spans="1:14" s="1" customFormat="1" ht="18" customHeight="1">
      <c r="A202" s="201" t="str">
        <f t="shared" si="37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si="38"/>
        <v>0</v>
      </c>
    </row>
    <row r="203" spans="1:14" s="1" customFormat="1" ht="18" customHeight="1">
      <c r="A203" s="201" t="str">
        <f>IF(B203="","",+#REF!+1)</f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si="38"/>
        <v>0</v>
      </c>
    </row>
    <row r="204" spans="1:14" s="1" customFormat="1" ht="18" customHeight="1">
      <c r="A204" s="317" t="str">
        <f t="shared" si="37"/>
        <v/>
      </c>
      <c r="B204" s="142"/>
      <c r="C204" s="142"/>
      <c r="D204" s="141"/>
      <c r="E204" s="240"/>
      <c r="F204" s="240"/>
      <c r="G204" s="240"/>
      <c r="H204" s="240"/>
      <c r="I204" s="136"/>
      <c r="J204" s="293">
        <f t="shared" si="38"/>
        <v>0</v>
      </c>
    </row>
    <row r="205" spans="1:14" s="1" customFormat="1" ht="18" customHeight="1">
      <c r="A205" s="25"/>
      <c r="B205" s="161"/>
      <c r="C205" s="33"/>
      <c r="D205" s="30"/>
      <c r="E205" s="17"/>
      <c r="F205" s="30"/>
      <c r="G205" s="30"/>
      <c r="H205" s="161"/>
      <c r="I205" s="24"/>
      <c r="J205" s="24"/>
    </row>
    <row r="206" spans="1:14" ht="18" customHeight="1">
      <c r="A206" s="17"/>
      <c r="J206" s="99" t="str">
        <f>LEFT($J$111,11)&amp;"-02"</f>
        <v>FG-240-4P4R-02</v>
      </c>
    </row>
    <row r="207" spans="1:14" ht="12.75" customHeight="1">
      <c r="B207" s="56"/>
      <c r="C207" s="56"/>
      <c r="D207" s="30"/>
      <c r="E207" s="17"/>
      <c r="F207" s="17"/>
      <c r="G207" s="17"/>
      <c r="H207" s="17"/>
      <c r="K207" s="7"/>
      <c r="L207" s="7"/>
      <c r="M207" s="2"/>
      <c r="N207" s="2"/>
    </row>
    <row r="208" spans="1:14" ht="30" customHeight="1">
      <c r="I208" s="95"/>
      <c r="J208" s="90" t="str">
        <f>$J$2</f>
        <v>HOMELIFE</v>
      </c>
      <c r="K208" s="11"/>
      <c r="L208" s="11"/>
      <c r="M208" s="2"/>
      <c r="N208" s="2"/>
    </row>
    <row r="209" spans="1:14" ht="24.9" customHeight="1">
      <c r="B209" s="197"/>
      <c r="C209" s="5"/>
      <c r="D209" s="95"/>
      <c r="E209" s="95"/>
      <c r="F209" s="95"/>
      <c r="G209" s="95"/>
      <c r="H209" s="95"/>
      <c r="I209" s="28"/>
      <c r="J209" s="91" t="str">
        <f>$J$3</f>
        <v>Fabricators Guide</v>
      </c>
      <c r="K209" s="11"/>
      <c r="L209" s="11"/>
      <c r="M209" s="2"/>
      <c r="N209" s="2"/>
    </row>
    <row r="210" spans="1:14" ht="24.9" customHeight="1">
      <c r="B210" s="197"/>
      <c r="C210" s="28"/>
      <c r="D210" s="28"/>
      <c r="E210" s="28"/>
      <c r="F210" s="28"/>
      <c r="G210" s="28"/>
      <c r="H210" s="28"/>
      <c r="I210" s="28"/>
      <c r="J210" s="91" t="str">
        <f>$J$4</f>
        <v xml:space="preserve">240 Series Bi Fold Door </v>
      </c>
      <c r="K210" s="48"/>
      <c r="L210" s="48"/>
      <c r="M210" s="4"/>
      <c r="N210" s="4"/>
    </row>
    <row r="211" spans="1:14" s="1" customFormat="1" ht="15" customHeight="1" thickBot="1">
      <c r="A211" s="78"/>
      <c r="B211" s="8"/>
      <c r="C211" s="28"/>
      <c r="D211" s="28"/>
      <c r="E211" s="28"/>
      <c r="F211" s="28"/>
      <c r="G211" s="28"/>
      <c r="H211" s="28"/>
      <c r="I211" s="78"/>
      <c r="J211" s="113"/>
      <c r="K211" s="4"/>
      <c r="L211" s="4"/>
      <c r="M211" s="4"/>
      <c r="N211" s="4"/>
    </row>
    <row r="212" spans="1:14" s="1" customFormat="1" ht="24.9" customHeight="1" thickBot="1">
      <c r="A212" s="502" t="s">
        <v>30</v>
      </c>
      <c r="B212" s="503"/>
      <c r="C212" s="503"/>
      <c r="D212" s="503"/>
      <c r="E212" s="503"/>
      <c r="F212" s="503"/>
      <c r="G212" s="503"/>
      <c r="H212" s="503"/>
      <c r="I212" s="503"/>
      <c r="J212" s="504"/>
      <c r="K212" s="56"/>
      <c r="L212" s="56"/>
      <c r="M212" s="56"/>
      <c r="N212" s="56"/>
    </row>
    <row r="214" spans="1:14" s="1" customFormat="1" ht="15" customHeight="1">
      <c r="A214" s="93"/>
      <c r="B214" s="93"/>
      <c r="C214" s="56"/>
      <c r="D214" s="30"/>
      <c r="E214" s="29"/>
      <c r="F214" s="160"/>
      <c r="G214"/>
      <c r="H214"/>
      <c r="I214" s="160"/>
      <c r="J214" s="116"/>
    </row>
    <row r="215" spans="1:14" s="1" customFormat="1" ht="15" customHeight="1">
      <c r="A215" s="17"/>
      <c r="B215" s="56"/>
      <c r="C215" s="89"/>
      <c r="D215" s="30"/>
      <c r="E215" s="29"/>
      <c r="F215" s="30"/>
      <c r="G215" s="160"/>
      <c r="H215" s="160"/>
      <c r="J215" s="17"/>
    </row>
    <row r="216" spans="1:14" s="1" customFormat="1" ht="15" customHeight="1">
      <c r="A216" s="17"/>
      <c r="B216" s="56"/>
      <c r="C216" s="328"/>
      <c r="D216" s="30"/>
      <c r="E216" s="29"/>
      <c r="F216" s="30"/>
      <c r="J216" s="17"/>
    </row>
    <row r="217" spans="1:14" s="1" customFormat="1" ht="15.6">
      <c r="A217" s="109"/>
      <c r="B217" s="33"/>
      <c r="C217" s="327"/>
      <c r="D217" s="161"/>
      <c r="E217" s="109"/>
      <c r="F217" s="161"/>
      <c r="H217" s="328"/>
      <c r="J217" s="109"/>
    </row>
    <row r="218" spans="1:14" s="1" customFormat="1" ht="15" customHeight="1">
      <c r="A218" s="93"/>
      <c r="B218" s="93"/>
      <c r="C218" s="56"/>
      <c r="D218" s="30"/>
      <c r="E218" s="29"/>
      <c r="F218" s="160"/>
      <c r="H218" s="328"/>
      <c r="I218" s="109"/>
      <c r="J218" s="109"/>
    </row>
    <row r="219" spans="1:14" s="1" customFormat="1" ht="15" customHeight="1">
      <c r="A219" s="17"/>
      <c r="B219" s="56"/>
      <c r="C219" s="89" t="s">
        <v>378</v>
      </c>
      <c r="D219" s="30"/>
      <c r="E219" s="29"/>
      <c r="F219" s="30"/>
      <c r="I219" s="109"/>
      <c r="J219" s="109"/>
    </row>
    <row r="220" spans="1:14" s="1" customFormat="1" ht="15" customHeight="1">
      <c r="A220" s="17"/>
      <c r="B220" s="56"/>
      <c r="C220" s="328" t="s">
        <v>275</v>
      </c>
      <c r="D220" s="30"/>
      <c r="E220" s="29"/>
      <c r="F220" s="30"/>
      <c r="H220" s="89"/>
      <c r="J220" s="12"/>
    </row>
    <row r="221" spans="1:14" s="1" customFormat="1" ht="15" customHeight="1">
      <c r="A221" s="109"/>
      <c r="B221" s="33"/>
      <c r="C221" s="327" t="s">
        <v>273</v>
      </c>
      <c r="D221" s="161"/>
      <c r="E221" s="109"/>
      <c r="F221" s="161"/>
      <c r="J221" s="12"/>
    </row>
    <row r="222" spans="1:14" s="1" customFormat="1" ht="15" customHeight="1">
      <c r="A222" s="109"/>
      <c r="B222" s="33"/>
      <c r="C222" s="374">
        <f>$I$133</f>
        <v>1955</v>
      </c>
      <c r="D222" s="161"/>
      <c r="E222" s="35"/>
      <c r="F222" s="161"/>
      <c r="G222" s="68"/>
      <c r="J222" s="12"/>
    </row>
    <row r="223" spans="1:14" s="1" customFormat="1" ht="15" customHeight="1">
      <c r="A223" s="109"/>
      <c r="B223" s="33"/>
      <c r="C223" s="363">
        <f>$J$133</f>
        <v>1</v>
      </c>
      <c r="D223" s="161"/>
      <c r="E223" s="35"/>
      <c r="F223" s="161"/>
      <c r="G223" s="326"/>
      <c r="I223" s="109"/>
      <c r="J223" s="109"/>
    </row>
    <row r="224" spans="1:14" s="1" customFormat="1" ht="15" customHeight="1">
      <c r="A224" s="109"/>
      <c r="B224" s="33"/>
      <c r="D224" s="161"/>
      <c r="E224" s="109"/>
      <c r="F224" s="161"/>
      <c r="G224" s="326"/>
      <c r="I224" s="109"/>
      <c r="J224" s="109"/>
    </row>
    <row r="225" spans="1:10" s="1" customFormat="1" ht="15.9" customHeight="1">
      <c r="A225" s="92"/>
      <c r="B225" s="92"/>
      <c r="C225" s="13"/>
      <c r="D225" s="161"/>
      <c r="E225" s="109"/>
      <c r="F225" s="161"/>
      <c r="G225" s="68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H226" s="109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32"/>
      <c r="J227" s="40"/>
    </row>
    <row r="228" spans="1:10" s="1" customFormat="1" ht="15.9" customHeight="1">
      <c r="A228" s="92"/>
      <c r="B228" s="92"/>
      <c r="C228" s="327"/>
      <c r="D228" s="161"/>
      <c r="E228" s="109"/>
      <c r="F228" s="161"/>
      <c r="H228" s="109"/>
      <c r="I228" s="196"/>
      <c r="J228" s="117"/>
    </row>
    <row r="229" spans="1:10" s="1" customFormat="1" ht="15.9" customHeight="1">
      <c r="A229" s="45"/>
      <c r="B229" s="45"/>
      <c r="D229" s="161"/>
      <c r="E229" s="109"/>
      <c r="F229" s="161"/>
      <c r="I229" s="196"/>
      <c r="J229" s="117"/>
    </row>
    <row r="230" spans="1:10" s="1" customFormat="1" ht="15.9" customHeight="1">
      <c r="A230" s="109"/>
      <c r="B230" s="109"/>
      <c r="D230" s="161"/>
      <c r="E230" s="109"/>
      <c r="F230" s="161"/>
      <c r="I230" s="196"/>
      <c r="J230" s="117"/>
    </row>
    <row r="231" spans="1:10" s="1" customFormat="1" ht="15.9" customHeight="1">
      <c r="A231" s="39"/>
      <c r="B231" s="38"/>
      <c r="D231" s="161"/>
      <c r="E231" s="109"/>
      <c r="F231" s="109"/>
      <c r="I231" s="196"/>
      <c r="J231" s="117"/>
    </row>
    <row r="232" spans="1:10" s="1" customFormat="1" ht="15.9" customHeight="1">
      <c r="A232" s="44"/>
      <c r="B232" s="44"/>
      <c r="C232" s="89" t="s">
        <v>381</v>
      </c>
      <c r="D232" s="84"/>
      <c r="E232" s="44"/>
      <c r="F232" s="44"/>
      <c r="G232" s="109"/>
      <c r="H232" s="109"/>
      <c r="I232" s="196"/>
      <c r="J232" s="117"/>
    </row>
    <row r="233" spans="1:10" s="1" customFormat="1" ht="15.9" customHeight="1">
      <c r="A233" s="40"/>
      <c r="B233" s="40"/>
      <c r="C233" s="328" t="s">
        <v>652</v>
      </c>
      <c r="D233" s="85"/>
      <c r="E233" s="40"/>
      <c r="F233" s="32"/>
      <c r="G233" s="109"/>
      <c r="H233" s="109"/>
      <c r="J233" s="12"/>
    </row>
    <row r="234" spans="1:10" s="1" customFormat="1" ht="15.9" customHeight="1">
      <c r="A234" s="109"/>
      <c r="B234" s="33"/>
      <c r="C234" s="433" t="s">
        <v>654</v>
      </c>
      <c r="D234" s="161"/>
      <c r="E234" s="109"/>
      <c r="F234" s="161"/>
      <c r="G234" s="109"/>
      <c r="H234" s="109"/>
      <c r="I234" s="109"/>
      <c r="J234" s="24"/>
    </row>
    <row r="235" spans="1:10" s="1" customFormat="1" ht="15.9" customHeight="1">
      <c r="A235" s="109"/>
      <c r="B235" s="33"/>
      <c r="C235" s="374">
        <f>$I$134</f>
        <v>1929</v>
      </c>
      <c r="D235" s="161"/>
      <c r="E235" s="109"/>
      <c r="F235" s="161"/>
      <c r="G235" s="109"/>
      <c r="H235" s="109"/>
      <c r="I235" s="24"/>
      <c r="J235" s="24"/>
    </row>
    <row r="236" spans="1:10" s="1" customFormat="1" ht="15.9" customHeight="1">
      <c r="A236" s="109"/>
      <c r="B236" s="33"/>
      <c r="C236" s="363">
        <f>$J$134</f>
        <v>1</v>
      </c>
      <c r="D236" s="161"/>
      <c r="E236" s="109"/>
      <c r="F236" s="161"/>
      <c r="G236" s="109"/>
      <c r="H236" s="107"/>
      <c r="I236" s="89"/>
      <c r="J236" s="118"/>
    </row>
    <row r="237" spans="1:10" s="1" customFormat="1" ht="15.9" customHeight="1">
      <c r="A237" s="109"/>
      <c r="B237" s="33"/>
      <c r="C237" s="44"/>
      <c r="D237" s="161"/>
      <c r="E237" s="109"/>
      <c r="F237" s="161"/>
      <c r="G237" s="109"/>
      <c r="H237" s="107"/>
      <c r="I237" s="196"/>
      <c r="J237" s="117"/>
    </row>
    <row r="238" spans="1:10" s="1" customFormat="1" ht="15.9" customHeight="1">
      <c r="A238" s="109"/>
      <c r="B238" s="33"/>
      <c r="D238" s="161"/>
      <c r="E238" s="109"/>
      <c r="F238" s="161"/>
      <c r="G238" s="109"/>
      <c r="H238" s="109"/>
      <c r="I238" s="196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4"/>
      <c r="J239" s="24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36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109"/>
      <c r="I241" s="109"/>
      <c r="J241" s="24"/>
    </row>
    <row r="242" spans="1:10" s="1" customFormat="1" ht="15.9" customHeight="1">
      <c r="A242" s="109"/>
      <c r="B242" s="33"/>
      <c r="C242" s="89" t="s">
        <v>385</v>
      </c>
      <c r="D242" s="161"/>
      <c r="E242" s="109"/>
      <c r="F242" s="161"/>
      <c r="G242" s="109"/>
      <c r="H242" s="109"/>
      <c r="I242" s="24"/>
      <c r="J242" s="24"/>
    </row>
    <row r="243" spans="1:10" s="1" customFormat="1" ht="15.9" customHeight="1">
      <c r="A243" s="109"/>
      <c r="B243" s="33"/>
      <c r="C243" s="328" t="s">
        <v>275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" customHeight="1">
      <c r="A244" s="109"/>
      <c r="B244" s="33"/>
      <c r="C244" s="327" t="s">
        <v>273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.9" customHeight="1">
      <c r="A245" s="109"/>
      <c r="B245" s="33"/>
      <c r="C245" s="374">
        <f>$I$135</f>
        <v>1955</v>
      </c>
      <c r="D245" s="161"/>
      <c r="E245" s="109"/>
      <c r="F245" s="161"/>
      <c r="G245" s="109"/>
      <c r="H245" s="109"/>
      <c r="I245" s="44"/>
      <c r="J245" s="119"/>
    </row>
    <row r="246" spans="1:10" s="1" customFormat="1" ht="15.9" customHeight="1">
      <c r="A246" s="109"/>
      <c r="B246" s="33"/>
      <c r="C246" s="363">
        <f>$J$135</f>
        <v>1</v>
      </c>
      <c r="D246" s="161"/>
      <c r="E246" s="109"/>
      <c r="F246" s="161"/>
      <c r="G246" s="109"/>
      <c r="H246" s="109"/>
      <c r="I246" s="32"/>
      <c r="J246" s="40"/>
    </row>
    <row r="247" spans="1:10" s="1" customFormat="1" ht="15.9" customHeight="1">
      <c r="A247" s="109"/>
      <c r="B247" s="33"/>
      <c r="C247" s="161"/>
      <c r="D247" s="161"/>
      <c r="E247" s="109"/>
      <c r="F247" s="161"/>
      <c r="G247" s="109"/>
      <c r="H247" s="109"/>
      <c r="J247" s="12"/>
    </row>
    <row r="248" spans="1:10" s="1" customFormat="1" ht="15.9" customHeight="1">
      <c r="A248" s="109"/>
      <c r="B248" s="33"/>
      <c r="C248" s="33"/>
      <c r="D248" s="161"/>
      <c r="E248" s="109"/>
      <c r="F248" s="109"/>
      <c r="G248" s="44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0"/>
      <c r="H250" s="109"/>
      <c r="I250" s="24"/>
      <c r="J250" s="24"/>
    </row>
    <row r="251" spans="1:10" s="1" customFormat="1" ht="15.9" customHeight="1">
      <c r="A251" s="109"/>
      <c r="B251" s="33"/>
      <c r="D251" s="161"/>
      <c r="E251" s="109"/>
      <c r="F251" s="109"/>
      <c r="G251" s="109"/>
      <c r="H251" s="109"/>
      <c r="I251" s="24"/>
      <c r="J251" s="24"/>
    </row>
    <row r="252" spans="1:10" s="1" customFormat="1" ht="15.9" customHeight="1">
      <c r="A252" s="44"/>
      <c r="B252" s="44"/>
      <c r="D252" s="84"/>
      <c r="E252" s="44"/>
      <c r="F252" s="44"/>
      <c r="G252" s="109"/>
      <c r="H252" s="109"/>
      <c r="I252" s="24"/>
      <c r="J252" s="24"/>
    </row>
    <row r="253" spans="1:10" s="1" customFormat="1" ht="15.9" customHeight="1">
      <c r="A253" s="40"/>
      <c r="B253" s="40"/>
      <c r="C253" s="89" t="s">
        <v>371</v>
      </c>
      <c r="D253" s="85"/>
      <c r="E253" s="40"/>
      <c r="F253" s="32"/>
      <c r="G253" s="109"/>
      <c r="I253" s="24"/>
      <c r="J253" s="24"/>
    </row>
    <row r="254" spans="1:10" s="1" customFormat="1" ht="15.9" customHeight="1">
      <c r="A254" s="27"/>
      <c r="B254" s="33"/>
      <c r="C254" s="328" t="s">
        <v>275</v>
      </c>
      <c r="D254" s="161"/>
      <c r="E254" s="109"/>
      <c r="F254" s="109"/>
      <c r="G254" s="109"/>
      <c r="I254" s="24"/>
      <c r="J254" s="24"/>
    </row>
    <row r="255" spans="1:10" s="1" customFormat="1" ht="15.9" customHeight="1">
      <c r="A255" s="27"/>
      <c r="B255" s="33"/>
      <c r="C255" s="327" t="s">
        <v>273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74">
        <f>$I$136</f>
        <v>1955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63">
        <f>$J$136</f>
        <v>1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3"/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46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161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33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89" t="s">
        <v>380</v>
      </c>
      <c r="D263" s="161"/>
      <c r="E263" s="109"/>
      <c r="F263" s="109"/>
      <c r="G263" s="109"/>
      <c r="H263" s="109"/>
      <c r="I263" s="24"/>
      <c r="J263" s="24"/>
    </row>
    <row r="264" spans="1:10" s="1" customFormat="1" ht="15.9" customHeight="1">
      <c r="A264" s="27"/>
      <c r="B264" s="33"/>
      <c r="C264" s="328" t="s">
        <v>372</v>
      </c>
      <c r="D264" s="328"/>
      <c r="E264" s="328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7" t="s">
        <v>279</v>
      </c>
      <c r="D265" s="327"/>
      <c r="E265" s="327"/>
      <c r="F265" s="109"/>
      <c r="G265" s="109"/>
      <c r="H265" s="109"/>
      <c r="J265" s="12"/>
    </row>
    <row r="266" spans="1:10" s="1" customFormat="1" ht="15.9" customHeight="1">
      <c r="A266" s="27"/>
      <c r="B266" s="33"/>
      <c r="C266" s="374">
        <f>$I$137</f>
        <v>2550</v>
      </c>
      <c r="D266" s="161"/>
      <c r="E266" s="109"/>
      <c r="F266" s="109"/>
      <c r="G266" s="33"/>
      <c r="H266" s="33"/>
      <c r="J266" s="12"/>
    </row>
    <row r="267" spans="1:10" s="1" customFormat="1" ht="15.9" customHeight="1">
      <c r="A267" s="27"/>
      <c r="B267" s="33"/>
      <c r="C267" s="363">
        <f>$J$137+$J$138</f>
        <v>2</v>
      </c>
      <c r="D267" s="161"/>
      <c r="E267" s="109"/>
      <c r="F267" s="109"/>
      <c r="G267" s="109"/>
      <c r="H267" s="109"/>
      <c r="J267" s="12"/>
    </row>
    <row r="268" spans="1:10" s="1" customFormat="1" ht="15.9" customHeight="1">
      <c r="A268" s="27"/>
      <c r="B268" s="33"/>
      <c r="D268" s="89"/>
      <c r="E268" s="8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D270" s="328"/>
      <c r="E270" s="328"/>
      <c r="F270" s="109"/>
      <c r="G270" s="109"/>
      <c r="H270" s="109"/>
      <c r="J270" s="12"/>
    </row>
    <row r="271" spans="1:10" s="1" customFormat="1" ht="15.9" customHeight="1">
      <c r="A271" s="27"/>
      <c r="D271" s="328"/>
      <c r="E271" s="328"/>
      <c r="F271" s="109"/>
      <c r="G271" s="109"/>
      <c r="H271" s="109"/>
      <c r="J271" s="12"/>
    </row>
    <row r="272" spans="1:10" s="1" customFormat="1" ht="15.9" customHeight="1">
      <c r="A272" s="27"/>
      <c r="B272" s="33"/>
      <c r="D272" s="328"/>
      <c r="E272" s="328"/>
      <c r="F272" s="109"/>
      <c r="G272" s="109"/>
      <c r="I272" s="24"/>
      <c r="J272" s="24"/>
    </row>
    <row r="273" spans="1:10" s="1" customFormat="1" ht="15.9" customHeight="1">
      <c r="A273" s="27"/>
      <c r="B273" s="33"/>
      <c r="C273" s="33"/>
      <c r="D273" s="161"/>
      <c r="E273" s="109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89" t="s">
        <v>383</v>
      </c>
      <c r="D274" s="162"/>
      <c r="E274" s="24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328" t="s">
        <v>649</v>
      </c>
      <c r="D275" s="328"/>
      <c r="E275" s="328"/>
      <c r="F275" s="109"/>
      <c r="G275" s="109"/>
      <c r="I275" s="109"/>
      <c r="J275" s="24"/>
    </row>
    <row r="276" spans="1:10" s="1" customFormat="1" ht="15.9" customHeight="1">
      <c r="A276" s="27"/>
      <c r="B276" s="33"/>
      <c r="C276" s="433" t="s">
        <v>650</v>
      </c>
      <c r="D276" s="327"/>
      <c r="E276" s="327"/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374">
        <f>$I$139</f>
        <v>2454</v>
      </c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363">
        <f>$J$139+$J$140</f>
        <v>2</v>
      </c>
      <c r="F278" s="109"/>
      <c r="G278" s="109"/>
      <c r="I278" s="109"/>
      <c r="J278" s="24"/>
    </row>
    <row r="279" spans="1:10" s="1" customFormat="1" ht="15.9" customHeight="1">
      <c r="A279" s="27"/>
      <c r="B279" s="33"/>
      <c r="F279" s="109"/>
      <c r="G279" s="109"/>
      <c r="H279" s="109"/>
      <c r="J279" s="12"/>
    </row>
    <row r="280" spans="1:10" s="1" customFormat="1" ht="15.9" customHeight="1">
      <c r="A280" s="27"/>
      <c r="B280" s="33"/>
      <c r="F280" s="109"/>
      <c r="G280" s="109"/>
      <c r="H280" s="109"/>
      <c r="J280" s="12"/>
    </row>
    <row r="281" spans="1:10" s="1" customFormat="1" ht="15.9" customHeight="1">
      <c r="A281" s="27"/>
      <c r="B281" s="33"/>
      <c r="C281" s="33"/>
      <c r="D281" s="161"/>
      <c r="E281" s="109"/>
      <c r="F281" s="109"/>
      <c r="G281" s="109"/>
      <c r="H281" s="109"/>
      <c r="J281" s="12"/>
    </row>
    <row r="282" spans="1:10" s="1" customFormat="1" ht="15.9" customHeight="1">
      <c r="A282" s="27"/>
      <c r="B282" s="33"/>
      <c r="F282" s="109"/>
      <c r="G282" s="109"/>
      <c r="H282" s="109"/>
      <c r="J282" s="12"/>
    </row>
    <row r="283" spans="1:10" s="1" customFormat="1" ht="15.9" customHeight="1">
      <c r="A283" s="27"/>
      <c r="B283" s="33"/>
      <c r="F283" s="109"/>
      <c r="G283" s="109"/>
      <c r="H283" s="109"/>
      <c r="I283" s="162"/>
      <c r="J283" s="24"/>
    </row>
    <row r="284" spans="1:10" s="1" customFormat="1" ht="15.9" customHeight="1">
      <c r="A284" s="27"/>
      <c r="B284" s="33"/>
      <c r="C284" s="89" t="s">
        <v>375</v>
      </c>
      <c r="F284" s="109"/>
      <c r="G284" s="109"/>
      <c r="H284" s="109"/>
      <c r="I284" s="109"/>
      <c r="J284" s="24"/>
    </row>
    <row r="285" spans="1:10" s="1" customFormat="1" ht="15.9" customHeight="1">
      <c r="A285" s="27"/>
      <c r="B285" s="33"/>
      <c r="C285" s="94" t="s">
        <v>457</v>
      </c>
      <c r="D285" s="161"/>
      <c r="E285" s="109"/>
      <c r="F285" s="109"/>
      <c r="G285" s="109"/>
      <c r="H285" s="109"/>
      <c r="I285" s="24"/>
      <c r="J285" s="24"/>
    </row>
    <row r="286" spans="1:10" s="1" customFormat="1" ht="15.9" customHeight="1">
      <c r="A286" s="27"/>
      <c r="B286" s="33"/>
      <c r="C286" s="327" t="s">
        <v>458</v>
      </c>
      <c r="D286" s="161"/>
      <c r="E286" s="109"/>
      <c r="F286" s="109"/>
      <c r="G286" s="109"/>
      <c r="H286" s="109"/>
      <c r="I286" s="24"/>
      <c r="J286" s="24"/>
    </row>
    <row r="287" spans="1:10" s="1" customFormat="1" ht="15.9" customHeight="1">
      <c r="A287" s="27"/>
      <c r="B287" s="33"/>
      <c r="C287" s="328" t="s">
        <v>281</v>
      </c>
      <c r="D287" s="328"/>
      <c r="E287" s="328"/>
      <c r="F287" s="109"/>
      <c r="G287" s="109"/>
      <c r="I287" s="24"/>
      <c r="J287" s="24"/>
    </row>
    <row r="288" spans="1:10" s="23" customFormat="1" ht="15.9" customHeight="1">
      <c r="A288" s="27"/>
      <c r="B288" s="33"/>
      <c r="C288" s="327" t="s">
        <v>282</v>
      </c>
      <c r="D288" s="327"/>
      <c r="E288" s="327"/>
      <c r="F288" s="109"/>
      <c r="G288" s="109"/>
      <c r="H288" s="1"/>
      <c r="I288" s="109"/>
      <c r="J288" s="109"/>
    </row>
    <row r="289" spans="1:10" s="1" customFormat="1" ht="15.9" customHeight="1">
      <c r="A289" s="27"/>
      <c r="B289" s="33"/>
      <c r="C289" s="374">
        <f>$I$141</f>
        <v>373.3125</v>
      </c>
      <c r="F289" s="109"/>
      <c r="G289" s="109"/>
      <c r="I289" s="44"/>
      <c r="J289" s="119"/>
    </row>
    <row r="290" spans="1:10" s="1" customFormat="1" ht="15.9" customHeight="1">
      <c r="A290" s="27"/>
      <c r="B290" s="33"/>
      <c r="C290" s="363">
        <f>$J$141+$J$142</f>
        <v>8</v>
      </c>
      <c r="D290" s="161"/>
      <c r="E290" s="109"/>
      <c r="F290" s="109"/>
      <c r="G290" s="109"/>
      <c r="H290" s="161"/>
      <c r="I290" s="32"/>
      <c r="J290" s="40"/>
    </row>
    <row r="291" spans="1:10" s="1" customFormat="1" ht="15.9" customHeight="1">
      <c r="A291" s="27"/>
      <c r="B291" s="33"/>
      <c r="C291" s="374">
        <f>$I$143</f>
        <v>2458</v>
      </c>
      <c r="D291" s="161"/>
      <c r="E291" s="109"/>
      <c r="F291" s="109"/>
      <c r="G291" s="109"/>
      <c r="H291" s="109"/>
      <c r="I291" s="24"/>
      <c r="J291" s="24"/>
    </row>
    <row r="292" spans="1:10" s="1" customFormat="1" ht="15.9" customHeight="1">
      <c r="A292" s="27"/>
      <c r="B292" s="33"/>
      <c r="C292" s="363">
        <f>$J$143+$J$144</f>
        <v>8</v>
      </c>
      <c r="D292" s="161"/>
      <c r="E292" s="109"/>
      <c r="F292" s="109"/>
      <c r="G292" s="109"/>
      <c r="H292" s="109"/>
      <c r="I292" s="24"/>
      <c r="J292" s="24"/>
    </row>
    <row r="293" spans="1:10" s="1" customFormat="1" ht="15.9" customHeight="1">
      <c r="A293" s="27"/>
      <c r="B293" s="33"/>
      <c r="D293" s="161"/>
      <c r="E293" s="109"/>
      <c r="F293" s="109"/>
      <c r="G293" s="109"/>
      <c r="H293" s="109"/>
      <c r="I293" s="24"/>
      <c r="J293" s="24"/>
    </row>
    <row r="294" spans="1:10" s="1" customFormat="1" ht="15.9" customHeight="1">
      <c r="A294" s="27"/>
      <c r="B294" s="33"/>
      <c r="C294" s="33"/>
      <c r="D294" s="161"/>
      <c r="E294" s="109"/>
      <c r="F294" s="109"/>
      <c r="G294" s="109"/>
      <c r="H294" s="109"/>
      <c r="I294" s="109"/>
      <c r="J294" s="24"/>
    </row>
    <row r="295" spans="1:10" s="1" customFormat="1" ht="15.9" customHeight="1">
      <c r="A295" s="27"/>
      <c r="B295" s="33"/>
      <c r="C295" s="23"/>
      <c r="D295" s="161"/>
      <c r="E295" s="109"/>
      <c r="F295" s="109"/>
      <c r="G295" s="109"/>
      <c r="H295" s="109"/>
      <c r="I295" s="109"/>
      <c r="J295" s="24"/>
    </row>
    <row r="296" spans="1:10" s="1" customFormat="1" ht="15.9" customHeight="1">
      <c r="A296" s="27"/>
      <c r="B296" s="33"/>
      <c r="C296" s="89" t="s">
        <v>376</v>
      </c>
      <c r="D296" s="161"/>
      <c r="E296" s="109"/>
      <c r="F296" s="109"/>
      <c r="G296" s="109"/>
      <c r="H296" s="109"/>
      <c r="I296" s="109"/>
      <c r="J296" s="24"/>
    </row>
    <row r="297" spans="1:10" s="1" customFormat="1" ht="15.9" customHeight="1">
      <c r="A297" s="27"/>
      <c r="B297" s="33"/>
      <c r="C297" s="94" t="s">
        <v>457</v>
      </c>
      <c r="D297" s="161"/>
      <c r="E297" s="109"/>
      <c r="F297" s="109"/>
      <c r="G297" s="44"/>
      <c r="H297" s="44"/>
      <c r="I297" s="109"/>
      <c r="J297" s="24"/>
    </row>
    <row r="298" spans="1:10" s="1" customFormat="1" ht="15.9" customHeight="1">
      <c r="A298" s="27"/>
      <c r="B298" s="33"/>
      <c r="C298" s="327" t="s">
        <v>458</v>
      </c>
      <c r="D298" s="328"/>
      <c r="E298" s="328"/>
      <c r="F298" s="109"/>
      <c r="G298" s="40"/>
      <c r="H298" s="32"/>
      <c r="I298" s="109"/>
      <c r="J298" s="24"/>
    </row>
    <row r="299" spans="1:10" s="1" customFormat="1" ht="15.9" customHeight="1">
      <c r="A299" s="41"/>
      <c r="B299" s="33"/>
      <c r="C299" s="328" t="s">
        <v>286</v>
      </c>
      <c r="D299" s="327"/>
      <c r="E299" s="327"/>
      <c r="F299" s="109"/>
      <c r="G299" s="109"/>
      <c r="H299" s="109"/>
      <c r="I299" s="109"/>
      <c r="J299" s="24"/>
    </row>
    <row r="300" spans="1:10" s="1" customFormat="1" ht="15.9" customHeight="1">
      <c r="A300" s="44"/>
      <c r="B300" s="44"/>
      <c r="C300" s="327" t="s">
        <v>285</v>
      </c>
      <c r="D300" s="86"/>
      <c r="E300" s="79"/>
      <c r="F300" s="44"/>
      <c r="G300" s="109"/>
      <c r="H300" s="109"/>
      <c r="I300" s="109"/>
      <c r="J300" s="24"/>
    </row>
    <row r="301" spans="1:10" s="1" customFormat="1" ht="15.9" customHeight="1">
      <c r="A301" s="40"/>
      <c r="B301" s="40"/>
      <c r="C301" s="374">
        <f>$I$145</f>
        <v>373.3125</v>
      </c>
      <c r="D301" s="87"/>
      <c r="E301" s="80"/>
      <c r="F301" s="32"/>
      <c r="G301" s="109"/>
      <c r="H301" s="109"/>
      <c r="I301" s="109"/>
      <c r="J301" s="24"/>
    </row>
    <row r="302" spans="1:10" s="1" customFormat="1" ht="15.9" customHeight="1">
      <c r="A302" s="109"/>
      <c r="B302" s="33"/>
      <c r="C302" s="363">
        <f>$J$145</f>
        <v>8</v>
      </c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C303" s="374">
        <f>$I$146</f>
        <v>2308</v>
      </c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C304" s="363">
        <f>$J$146</f>
        <v>8</v>
      </c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D306" s="15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D307" s="15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89"/>
      <c r="D308" s="161"/>
      <c r="E308" s="109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28"/>
      <c r="D309" s="328"/>
      <c r="E309" s="328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D310" s="15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D311" s="15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25"/>
      <c r="B313" s="33"/>
      <c r="D313" s="162"/>
      <c r="E313" s="24"/>
      <c r="F313" s="109"/>
      <c r="G313" s="109"/>
      <c r="H313" s="109"/>
      <c r="I313" s="27"/>
      <c r="J313" s="99" t="str">
        <f>LEFT($J$111,11)&amp;"-03"</f>
        <v>FG-240-4P4R-03</v>
      </c>
    </row>
    <row r="314" spans="1:14" ht="12.75" customHeight="1">
      <c r="A314" s="17"/>
      <c r="B314" s="26"/>
      <c r="C314" s="26"/>
      <c r="D314" s="83"/>
      <c r="E314" s="25"/>
      <c r="F314" s="25"/>
      <c r="G314" s="25"/>
      <c r="H314" s="25"/>
      <c r="I314" s="179"/>
      <c r="J314" s="179"/>
    </row>
    <row r="315" spans="1:14" ht="30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90" t="str">
        <f>$J$2</f>
        <v>HOMELIFE</v>
      </c>
    </row>
    <row r="316" spans="1:14" ht="24.9" customHeight="1">
      <c r="B316" s="197"/>
      <c r="C316" s="5"/>
      <c r="D316" s="95"/>
      <c r="E316" s="95"/>
      <c r="F316" s="95"/>
      <c r="G316" s="95"/>
      <c r="H316" s="95"/>
      <c r="I316" s="28"/>
      <c r="J316" s="91" t="str">
        <f>$J$3</f>
        <v>Fabricators Guide</v>
      </c>
      <c r="K316" s="11"/>
      <c r="L316" s="11"/>
      <c r="M316" s="2"/>
      <c r="N316" s="2"/>
    </row>
    <row r="317" spans="1:14" ht="24.9" customHeight="1">
      <c r="B317" s="197"/>
      <c r="C317" s="28"/>
      <c r="D317" s="28"/>
      <c r="E317" s="28"/>
      <c r="F317" s="28"/>
      <c r="G317" s="28"/>
      <c r="H317" s="28"/>
      <c r="I317" s="28"/>
      <c r="J317" s="91" t="str">
        <f>$J$4</f>
        <v xml:space="preserve">240 Series Bi Fold Door </v>
      </c>
      <c r="K317" s="48"/>
      <c r="L317" s="48"/>
      <c r="M317" s="4"/>
      <c r="N317" s="4"/>
    </row>
    <row r="318" spans="1:14" s="1" customFormat="1" ht="15" customHeight="1" thickBot="1">
      <c r="A318" s="78"/>
      <c r="B318" s="8"/>
      <c r="C318" s="28"/>
      <c r="D318" s="28"/>
      <c r="E318" s="28"/>
      <c r="F318" s="28"/>
      <c r="G318" s="28"/>
      <c r="H318" s="28"/>
      <c r="I318" s="78"/>
      <c r="J318" s="113"/>
      <c r="K318" s="4"/>
      <c r="L318" s="4"/>
      <c r="M318" s="4"/>
      <c r="N318" s="4"/>
    </row>
    <row r="319" spans="1:14" ht="24.9" customHeight="1" thickBot="1">
      <c r="A319" s="502" t="s">
        <v>33</v>
      </c>
      <c r="B319" s="503"/>
      <c r="C319" s="503"/>
      <c r="D319" s="503"/>
      <c r="E319" s="503"/>
      <c r="F319" s="503"/>
      <c r="G319" s="503"/>
      <c r="H319" s="503"/>
      <c r="I319" s="503"/>
      <c r="J319" s="504"/>
      <c r="K319" s="4"/>
      <c r="L319" s="4"/>
      <c r="M319" s="4"/>
      <c r="N319" s="4"/>
    </row>
    <row r="321" spans="1:10" s="1" customFormat="1" ht="15" customHeight="1">
      <c r="A321" s="63"/>
      <c r="B321"/>
      <c r="C321"/>
      <c r="D321" s="81"/>
      <c r="E321"/>
      <c r="F321"/>
      <c r="G321"/>
      <c r="H321"/>
      <c r="I321" s="160"/>
      <c r="J321" s="116"/>
    </row>
    <row r="322" spans="1:10" s="1" customFormat="1" ht="15" customHeight="1">
      <c r="A322" s="17"/>
      <c r="B322" s="72"/>
      <c r="C322" s="56"/>
      <c r="D322" s="30"/>
      <c r="E322" s="29"/>
      <c r="F322" s="160"/>
      <c r="G322" s="160"/>
      <c r="H322" s="160"/>
      <c r="I322" s="31"/>
      <c r="J322" s="17"/>
    </row>
    <row r="323" spans="1:10" s="1" customFormat="1" ht="15" customHeight="1">
      <c r="A323" s="17"/>
      <c r="B323" s="56"/>
      <c r="C323" s="56"/>
      <c r="D323" s="30"/>
      <c r="E323" s="29"/>
      <c r="F323" s="30"/>
      <c r="G323" s="31"/>
      <c r="H323" s="31"/>
      <c r="I323" s="17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09"/>
      <c r="B325" s="56"/>
      <c r="C325" s="30"/>
      <c r="D325" s="30"/>
      <c r="E325" s="29"/>
      <c r="F325" s="30"/>
      <c r="G325" s="17"/>
      <c r="H325" s="31"/>
      <c r="I325" s="109"/>
      <c r="J325" s="109"/>
    </row>
    <row r="326" spans="1:10" s="1" customFormat="1" ht="15" customHeight="1">
      <c r="A326" s="109"/>
      <c r="B326" s="33"/>
      <c r="C326" s="161"/>
      <c r="D326" s="161"/>
      <c r="E326" s="109"/>
      <c r="F326" s="161"/>
      <c r="G326" s="109"/>
      <c r="H326" s="34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35"/>
      <c r="F327" s="163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1"/>
      <c r="G328" s="109"/>
      <c r="H328" s="34"/>
      <c r="I328" s="42"/>
      <c r="J328" s="109"/>
    </row>
    <row r="329" spans="1:10" s="1" customFormat="1" ht="15" customHeight="1">
      <c r="A329" s="39"/>
      <c r="B329" s="33"/>
      <c r="C329" s="42"/>
      <c r="D329" s="161"/>
      <c r="E329" s="109"/>
      <c r="F329" s="505"/>
      <c r="G329" s="505"/>
      <c r="H329" s="198"/>
      <c r="I329" s="163"/>
      <c r="J329" s="109"/>
    </row>
    <row r="330" spans="1:10" s="1" customFormat="1" ht="15" customHeight="1">
      <c r="A330" s="92"/>
      <c r="B330" s="39"/>
      <c r="C330" s="163"/>
      <c r="D330" s="161"/>
      <c r="E330" s="109"/>
      <c r="F330" s="507"/>
      <c r="G330" s="507"/>
      <c r="H330" s="198"/>
      <c r="I330" s="161"/>
      <c r="J330" s="109"/>
    </row>
    <row r="331" spans="1:10" s="1" customFormat="1" ht="15" customHeight="1">
      <c r="A331" s="64" t="str">
        <f>A18</f>
        <v>240-4 Panel (4R)</v>
      </c>
      <c r="B331" s="92"/>
      <c r="C331" s="161"/>
      <c r="D331" s="161"/>
      <c r="E331" s="109"/>
      <c r="F331" s="198"/>
      <c r="G331" s="198"/>
      <c r="H331" s="198"/>
      <c r="I331" s="109"/>
      <c r="J331" s="109"/>
    </row>
    <row r="332" spans="1:10" s="1" customFormat="1" ht="15" customHeight="1">
      <c r="A332" s="76" t="str">
        <f>A19</f>
        <v xml:space="preserve">Outside Bi Fold Door </v>
      </c>
      <c r="B332" s="92"/>
      <c r="C332" s="161"/>
      <c r="D332" s="161"/>
      <c r="E332" s="109"/>
      <c r="F332" s="198"/>
      <c r="G332" s="198"/>
      <c r="H332" s="198"/>
      <c r="I332" s="109"/>
      <c r="J332" s="109"/>
    </row>
    <row r="333" spans="1:10" s="1" customFormat="1" ht="15.9" customHeight="1">
      <c r="A333" s="109"/>
      <c r="B333" s="45"/>
      <c r="C333" s="42"/>
      <c r="D333" s="161"/>
      <c r="E333" s="109"/>
      <c r="F333" s="507"/>
      <c r="G333" s="507"/>
      <c r="H333" s="198"/>
      <c r="I333" s="109"/>
      <c r="J333" s="109"/>
    </row>
    <row r="334" spans="1:10" s="1" customFormat="1" ht="15.9" customHeight="1">
      <c r="A334" s="39"/>
      <c r="B334" s="109"/>
      <c r="C334" s="161"/>
      <c r="D334" s="161"/>
      <c r="E334" s="109"/>
      <c r="F334" s="37"/>
      <c r="G334" s="38"/>
      <c r="H334" s="109"/>
      <c r="I334" s="109"/>
      <c r="J334" s="109"/>
    </row>
    <row r="335" spans="1:10" s="1" customFormat="1" ht="15.9" customHeight="1">
      <c r="A335" s="44"/>
      <c r="C335" s="43"/>
      <c r="D335" s="161"/>
      <c r="E335" s="109"/>
      <c r="F335" s="109"/>
      <c r="G335" s="109"/>
      <c r="H335" s="109"/>
      <c r="I335" s="44"/>
      <c r="J335" s="119"/>
    </row>
    <row r="336" spans="1:10" s="1" customFormat="1" ht="15.9" customHeight="1">
      <c r="A336" s="40"/>
      <c r="C336" s="44"/>
      <c r="D336" s="84"/>
      <c r="E336" s="44"/>
      <c r="F336" s="44"/>
      <c r="G336" s="44"/>
      <c r="H336" s="44"/>
      <c r="I336" s="32"/>
      <c r="J336" s="40"/>
    </row>
    <row r="337" spans="1:10" s="1" customFormat="1" ht="15.9" customHeight="1">
      <c r="A337" s="109"/>
      <c r="C337" s="161"/>
      <c r="D337" s="85"/>
      <c r="E337" s="40"/>
      <c r="F337" s="32"/>
      <c r="G337" s="40"/>
      <c r="H337" s="32"/>
      <c r="I337" s="24"/>
      <c r="J337" s="24"/>
    </row>
    <row r="338" spans="1:10" s="1" customFormat="1" ht="15.9" customHeight="1">
      <c r="A338" s="109"/>
      <c r="C338" s="163"/>
      <c r="D338" s="161"/>
      <c r="E338" s="109"/>
      <c r="F338" s="161"/>
      <c r="G338" s="109"/>
      <c r="H338" s="109"/>
      <c r="I338" s="24"/>
      <c r="J338" s="24"/>
    </row>
    <row r="339" spans="1:10" s="1" customFormat="1" ht="15.9" customHeight="1">
      <c r="A339" s="109"/>
      <c r="B339" s="33"/>
      <c r="C339" s="161"/>
      <c r="D339" s="161"/>
      <c r="E339" s="109"/>
      <c r="F339" s="161"/>
      <c r="G339" s="109"/>
      <c r="H339" s="109"/>
      <c r="I339" s="162"/>
      <c r="J339" s="162"/>
    </row>
    <row r="340" spans="1:10" s="1" customFormat="1" ht="15.9" customHeight="1">
      <c r="A340" s="109"/>
      <c r="B340" s="33"/>
      <c r="C340" s="44"/>
      <c r="D340" s="161"/>
      <c r="E340" s="109"/>
      <c r="F340" s="161"/>
      <c r="G340" s="109"/>
      <c r="H340" s="162"/>
      <c r="I340" s="161"/>
      <c r="J340" s="161"/>
    </row>
    <row r="341" spans="1:10" s="1" customFormat="1" ht="15.9" customHeight="1">
      <c r="A341" s="109"/>
      <c r="B341" s="33"/>
      <c r="C341" s="42"/>
      <c r="D341" s="161"/>
      <c r="E341" s="109"/>
      <c r="F341" s="161"/>
      <c r="G341" s="109"/>
      <c r="H341" s="161"/>
      <c r="I341" s="161"/>
      <c r="J341" s="161"/>
    </row>
    <row r="342" spans="1:10" s="1" customFormat="1" ht="15.9" customHeight="1">
      <c r="A342" s="109"/>
      <c r="B342" s="33"/>
      <c r="C342" s="163"/>
      <c r="D342" s="161"/>
      <c r="E342" s="109"/>
      <c r="F342" s="161"/>
      <c r="G342" s="109"/>
      <c r="H342" s="161"/>
      <c r="I342" s="109"/>
      <c r="J342" s="24"/>
    </row>
    <row r="343" spans="1:10" s="1" customFormat="1" ht="15.9" customHeight="1">
      <c r="A343" s="109"/>
      <c r="B343" s="33"/>
      <c r="C343" s="161"/>
      <c r="D343" s="161"/>
      <c r="E343" s="109"/>
      <c r="F343" s="161"/>
      <c r="G343" s="109"/>
      <c r="H343" s="109"/>
      <c r="I343" s="24"/>
      <c r="J343" s="24"/>
    </row>
    <row r="344" spans="1:10" s="1" customFormat="1" ht="15.9" customHeight="1">
      <c r="A344" s="109"/>
      <c r="B344" s="33"/>
      <c r="C344" s="33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44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161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3"/>
      <c r="D349" s="161"/>
      <c r="E349" s="109"/>
      <c r="F349" s="161"/>
      <c r="G349" s="109"/>
      <c r="H349" s="109"/>
      <c r="I349" s="109"/>
      <c r="J349" s="24"/>
    </row>
    <row r="350" spans="1:10" s="1" customFormat="1" ht="15.9" customHeight="1">
      <c r="A350" s="109"/>
      <c r="B350" s="33"/>
      <c r="C350" s="161"/>
      <c r="D350" s="161"/>
      <c r="E350" s="109"/>
      <c r="F350" s="161"/>
      <c r="G350" s="109"/>
      <c r="H350" s="109"/>
      <c r="I350" s="24"/>
      <c r="J350" s="24"/>
    </row>
    <row r="351" spans="1:10" s="1" customFormat="1" ht="15.9" customHeight="1">
      <c r="A351" s="109"/>
      <c r="B351" s="33"/>
      <c r="C351" s="33"/>
      <c r="D351" s="161"/>
      <c r="E351" s="109"/>
      <c r="F351" s="109"/>
      <c r="G351" s="109"/>
      <c r="H351" s="109"/>
      <c r="I351" s="24"/>
      <c r="J351" s="24"/>
    </row>
    <row r="352" spans="1:10" s="1" customFormat="1" ht="15" customHeight="1">
      <c r="A352" s="109"/>
      <c r="B352" s="33"/>
      <c r="C352" s="33"/>
      <c r="D352" s="161"/>
      <c r="E352" s="109"/>
      <c r="F352" s="109"/>
      <c r="G352" s="109"/>
      <c r="H352" s="107"/>
      <c r="I352" s="24"/>
      <c r="J352" s="24"/>
    </row>
    <row r="353" spans="1:10" s="23" customFormat="1" ht="15.9" customHeight="1">
      <c r="A353" s="109"/>
      <c r="B353" s="33"/>
      <c r="C353" s="33"/>
      <c r="D353" s="161"/>
      <c r="E353" s="109"/>
      <c r="F353" s="109"/>
      <c r="G353" s="109"/>
      <c r="H353" s="109"/>
      <c r="I353" s="109"/>
      <c r="J353" s="109"/>
    </row>
    <row r="354" spans="1:10" s="1" customFormat="1" ht="15.9" customHeight="1">
      <c r="A354" s="44"/>
      <c r="B354" s="33"/>
      <c r="C354" s="33"/>
      <c r="D354" s="161"/>
      <c r="E354" s="109"/>
      <c r="F354" s="109"/>
      <c r="G354" s="109"/>
      <c r="H354" s="109"/>
      <c r="I354" s="44"/>
      <c r="J354" s="119"/>
    </row>
    <row r="355" spans="1:10" s="1" customFormat="1" ht="15.9" customHeight="1">
      <c r="A355" s="40"/>
      <c r="B355" s="44"/>
      <c r="C355" s="44"/>
      <c r="D355" s="84"/>
      <c r="E355" s="44"/>
      <c r="F355" s="44"/>
      <c r="G355" s="44"/>
      <c r="H355" s="44"/>
      <c r="I355" s="32"/>
      <c r="J355" s="40"/>
    </row>
    <row r="356" spans="1:10" s="1" customFormat="1" ht="15.9" customHeight="1">
      <c r="A356" s="27"/>
      <c r="B356" s="40"/>
      <c r="C356" s="44"/>
      <c r="D356" s="85"/>
      <c r="E356" s="40"/>
      <c r="F356" s="32"/>
      <c r="G356" s="40"/>
      <c r="H356" s="32"/>
      <c r="I356" s="24"/>
      <c r="J356" s="24"/>
    </row>
    <row r="357" spans="1:10" s="1" customFormat="1" ht="15.9" customHeight="1">
      <c r="A357" s="27"/>
      <c r="B357" s="33"/>
      <c r="C357" s="42"/>
      <c r="D357" s="161"/>
      <c r="E357" s="109"/>
      <c r="F357" s="109"/>
      <c r="G357" s="109"/>
      <c r="H357" s="42"/>
      <c r="I357" s="163"/>
      <c r="J357" s="163"/>
    </row>
    <row r="358" spans="1:10" s="1" customFormat="1" ht="15.9" customHeight="1">
      <c r="A358" s="27"/>
      <c r="B358" s="33"/>
      <c r="C358" s="163"/>
      <c r="D358" s="161"/>
      <c r="E358" s="109"/>
      <c r="F358" s="109"/>
      <c r="G358" s="109"/>
      <c r="H358" s="163"/>
      <c r="I358" s="161"/>
      <c r="J358" s="161"/>
    </row>
    <row r="359" spans="1:10" s="1" customFormat="1" ht="15.9" customHeight="1">
      <c r="A359" s="27"/>
      <c r="B359" s="33"/>
      <c r="C359" s="161"/>
      <c r="D359" s="161"/>
      <c r="E359" s="109"/>
      <c r="F359" s="109"/>
      <c r="G359" s="109"/>
      <c r="H359" s="161"/>
      <c r="I359" s="24"/>
      <c r="J359" s="24"/>
    </row>
    <row r="360" spans="1:10" s="1" customFormat="1" ht="15.9" customHeight="1">
      <c r="A360" s="27"/>
      <c r="B360" s="33"/>
      <c r="C360" s="33"/>
      <c r="D360" s="161"/>
      <c r="E360" s="109"/>
      <c r="F360" s="109"/>
      <c r="G360" s="109"/>
      <c r="H360" s="109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46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161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33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B369" s="33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D371" s="161"/>
      <c r="E371" s="109"/>
      <c r="F371" s="109"/>
      <c r="G371" s="33"/>
      <c r="H371" s="33"/>
      <c r="I371" s="24"/>
      <c r="J371" s="24"/>
    </row>
    <row r="372" spans="1:10" s="1" customFormat="1" ht="15.9" customHeight="1">
      <c r="A372" s="27"/>
      <c r="B372" s="33"/>
      <c r="C372" s="33"/>
      <c r="D372" s="161"/>
      <c r="E372" s="109"/>
      <c r="F372" s="109"/>
      <c r="G372" s="109"/>
      <c r="H372" s="109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42"/>
      <c r="I375" s="163"/>
      <c r="J375" s="163"/>
    </row>
    <row r="376" spans="1:10" s="1" customFormat="1" ht="15.9" customHeight="1">
      <c r="A376" s="27"/>
      <c r="B376" s="33"/>
      <c r="C376" s="47"/>
      <c r="D376" s="161"/>
      <c r="E376" s="109"/>
      <c r="F376" s="109"/>
      <c r="G376" s="109"/>
      <c r="H376" s="163"/>
      <c r="I376" s="161"/>
      <c r="J376" s="161"/>
    </row>
    <row r="377" spans="1:10" s="1" customFormat="1" ht="15.9" customHeight="1">
      <c r="A377" s="27"/>
      <c r="B377" s="33"/>
      <c r="C377" s="46"/>
      <c r="D377" s="161"/>
      <c r="E377" s="109"/>
      <c r="F377" s="109"/>
      <c r="G377" s="109"/>
      <c r="H377" s="161"/>
      <c r="I377" s="24"/>
      <c r="J377" s="24"/>
    </row>
    <row r="378" spans="1:10" s="1" customFormat="1" ht="15.9" customHeight="1">
      <c r="A378" s="27"/>
      <c r="B378" s="33"/>
      <c r="C378" s="161"/>
      <c r="D378" s="161"/>
      <c r="E378" s="109"/>
      <c r="F378" s="109"/>
      <c r="G378" s="109"/>
      <c r="H378" s="42"/>
      <c r="I378" s="163"/>
      <c r="J378" s="163"/>
    </row>
    <row r="379" spans="1:10" s="1" customFormat="1" ht="15.9" customHeight="1">
      <c r="A379" s="27"/>
      <c r="B379" s="33"/>
      <c r="C379" s="33"/>
      <c r="D379" s="161"/>
      <c r="E379" s="109"/>
      <c r="F379" s="109"/>
      <c r="G379" s="109"/>
      <c r="H379" s="163"/>
      <c r="I379" s="161"/>
      <c r="J379" s="161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1"/>
      <c r="I380" s="24"/>
      <c r="J380" s="24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09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109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64"/>
      <c r="J387" s="16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64"/>
      <c r="I388" s="165"/>
      <c r="J388" s="165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5"/>
      <c r="I389" s="161"/>
      <c r="J389" s="161"/>
    </row>
    <row r="390" spans="1:10" s="1" customFormat="1" ht="15.9" customHeight="1">
      <c r="A390" s="27"/>
      <c r="B390" s="33"/>
      <c r="C390" s="47"/>
      <c r="D390" s="161"/>
      <c r="E390" s="109"/>
      <c r="F390" s="109"/>
      <c r="G390" s="109"/>
      <c r="H390" s="161"/>
      <c r="I390" s="24"/>
      <c r="J390" s="24"/>
    </row>
    <row r="391" spans="1:10" s="1" customFormat="1" ht="15.9" customHeight="1">
      <c r="A391" s="27"/>
      <c r="B391" s="33"/>
      <c r="C391" s="46"/>
      <c r="D391" s="161"/>
      <c r="E391" s="109"/>
      <c r="F391" s="109"/>
      <c r="G391" s="109"/>
      <c r="H391" s="109"/>
      <c r="I391" s="109"/>
      <c r="J391" s="24"/>
    </row>
    <row r="392" spans="1:10" s="1" customFormat="1" ht="15.9" customHeight="1">
      <c r="A392" s="27"/>
      <c r="B392" s="33"/>
      <c r="C392" s="161"/>
      <c r="D392" s="161"/>
      <c r="E392" s="109"/>
      <c r="F392" s="109"/>
      <c r="G392" s="109"/>
      <c r="H392" s="109"/>
      <c r="I392" s="24"/>
      <c r="J392" s="24"/>
    </row>
    <row r="393" spans="1:10" s="1" customFormat="1" ht="15.9" customHeight="1">
      <c r="A393" s="27"/>
      <c r="B393" s="33"/>
      <c r="C393" s="33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41"/>
      <c r="B395" s="33"/>
      <c r="C395" s="33"/>
      <c r="D395" s="161"/>
      <c r="E395" s="109"/>
      <c r="F395" s="109"/>
      <c r="G395" s="109"/>
      <c r="H395" s="109"/>
      <c r="I395" s="109"/>
      <c r="J395" s="109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23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1" customFormat="1" ht="15.9" customHeight="1">
      <c r="A404" s="44"/>
      <c r="B404" s="33"/>
      <c r="C404" s="33"/>
      <c r="D404" s="161"/>
      <c r="E404" s="109"/>
      <c r="F404" s="109"/>
      <c r="G404" s="109"/>
      <c r="H404" s="109"/>
      <c r="I404" s="44"/>
      <c r="J404" s="119"/>
    </row>
    <row r="405" spans="1:10" s="1" customFormat="1" ht="15.9" customHeight="1">
      <c r="A405" s="44"/>
      <c r="B405" s="44"/>
      <c r="C405" s="44"/>
      <c r="D405" s="84"/>
      <c r="E405" s="44"/>
      <c r="F405" s="44"/>
      <c r="G405" s="44"/>
      <c r="H405" s="44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109"/>
      <c r="B418" s="44"/>
      <c r="C418" s="44"/>
      <c r="D418" s="84"/>
      <c r="E418" s="44"/>
      <c r="F418" s="44"/>
      <c r="G418" s="44"/>
      <c r="H418" s="44"/>
      <c r="I418" s="24"/>
      <c r="J418" s="24"/>
      <c r="K418" s="71"/>
    </row>
    <row r="419" spans="1:14" s="1" customFormat="1" ht="15.9" customHeight="1">
      <c r="A419" s="109"/>
      <c r="B419" s="33"/>
      <c r="C419" s="33"/>
      <c r="D419" s="161"/>
      <c r="E419" s="109"/>
      <c r="F419" s="109"/>
      <c r="G419" s="109"/>
      <c r="H419" s="109"/>
      <c r="I419" s="24"/>
    </row>
    <row r="420" spans="1:14" ht="18">
      <c r="A420" s="109"/>
      <c r="B420" s="33"/>
      <c r="C420" s="33"/>
      <c r="D420" s="161"/>
      <c r="E420" s="109"/>
      <c r="F420" s="109"/>
      <c r="G420" s="109"/>
      <c r="H420" s="109"/>
      <c r="I420" s="109"/>
      <c r="J420" s="99" t="str">
        <f>LEFT($J$111,11)&amp;"-04"</f>
        <v>FG-240-4P4R-04</v>
      </c>
      <c r="K420" s="7"/>
      <c r="L420" s="7"/>
      <c r="M420" s="2"/>
      <c r="N420" s="2"/>
    </row>
    <row r="421" spans="1:14" ht="12.75" customHeight="1">
      <c r="A421" s="109"/>
      <c r="B421" s="33"/>
      <c r="C421" s="33"/>
      <c r="D421" s="161"/>
      <c r="E421" s="109"/>
      <c r="F421" s="109"/>
      <c r="G421" s="109"/>
      <c r="H421" s="109"/>
      <c r="I421" s="109"/>
      <c r="J421" s="114"/>
      <c r="K421" s="7"/>
      <c r="L421" s="7"/>
      <c r="M421" s="2"/>
      <c r="N421" s="2"/>
    </row>
    <row r="422" spans="1:14" ht="30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90" t="str">
        <f>$J$2</f>
        <v>HOMELIFE</v>
      </c>
      <c r="K422" s="7"/>
      <c r="L422" s="7"/>
      <c r="M422" s="2"/>
      <c r="N422" s="2"/>
    </row>
    <row r="423" spans="1:14" ht="24.9" customHeight="1">
      <c r="A423" s="109"/>
      <c r="B423" s="33"/>
      <c r="C423" s="33"/>
      <c r="D423" s="161"/>
      <c r="E423" s="109"/>
      <c r="F423" s="109"/>
      <c r="G423" s="109"/>
      <c r="H423" s="109"/>
      <c r="I423" s="109"/>
      <c r="J423" s="91" t="str">
        <f>$J$3</f>
        <v>Fabricators Guide</v>
      </c>
      <c r="K423" s="7"/>
      <c r="L423" s="7"/>
      <c r="M423" s="2"/>
      <c r="N423" s="2"/>
    </row>
    <row r="424" spans="1:14" ht="24.9" customHeight="1">
      <c r="B424" s="197"/>
      <c r="C424" s="28"/>
      <c r="D424" s="28"/>
      <c r="E424" s="28"/>
      <c r="F424" s="28"/>
      <c r="G424" s="28"/>
      <c r="H424" s="28"/>
      <c r="I424" s="28"/>
      <c r="J424" s="91" t="str">
        <f>$J$4</f>
        <v xml:space="preserve">240 Series Bi Fold Door </v>
      </c>
      <c r="K424" s="48"/>
      <c r="L424" s="48"/>
      <c r="M424" s="4"/>
      <c r="N424" s="4"/>
    </row>
    <row r="425" spans="1:14" s="1" customFormat="1" ht="15" customHeight="1" thickBot="1">
      <c r="A425" s="78"/>
      <c r="B425" s="8"/>
      <c r="C425" s="28"/>
      <c r="D425" s="28"/>
      <c r="E425" s="28"/>
      <c r="F425" s="28"/>
      <c r="G425" s="28"/>
      <c r="H425" s="28"/>
      <c r="I425" s="78"/>
      <c r="J425" s="100"/>
      <c r="K425" s="4"/>
      <c r="L425" s="4"/>
      <c r="M425" s="4"/>
      <c r="N425" s="4"/>
    </row>
    <row r="426" spans="1:14" s="1" customFormat="1" ht="24.9" customHeight="1" thickBot="1">
      <c r="A426" s="502" t="s">
        <v>34</v>
      </c>
      <c r="B426" s="503"/>
      <c r="C426" s="503"/>
      <c r="D426" s="503"/>
      <c r="E426" s="503"/>
      <c r="F426" s="503"/>
      <c r="G426" s="503"/>
      <c r="H426" s="503"/>
      <c r="I426" s="503"/>
      <c r="J426" s="504"/>
      <c r="K426" s="4"/>
      <c r="L426" s="4"/>
      <c r="M426" s="4"/>
      <c r="N426" s="4"/>
    </row>
    <row r="427" spans="1:14" s="1" customFormat="1" ht="15" customHeight="1">
      <c r="A427" s="193"/>
      <c r="B427" s="194"/>
      <c r="C427" s="194"/>
      <c r="D427" s="194"/>
      <c r="E427" s="194"/>
      <c r="F427" s="194"/>
      <c r="G427" s="194"/>
      <c r="H427" s="194"/>
      <c r="I427" s="193"/>
      <c r="K427" s="56"/>
      <c r="L427" s="56"/>
      <c r="M427" s="56"/>
      <c r="N427" s="56"/>
    </row>
    <row r="428" spans="1:14" s="1" customFormat="1" ht="15" customHeight="1">
      <c r="A428" s="45"/>
      <c r="B428" s="193"/>
      <c r="C428" s="193"/>
      <c r="D428" s="193"/>
      <c r="E428" s="193"/>
      <c r="F428" s="193"/>
      <c r="G428" s="193"/>
      <c r="H428" s="193"/>
      <c r="I428" s="44"/>
      <c r="J428" s="119"/>
    </row>
    <row r="429" spans="1:14" s="1" customFormat="1" ht="15" customHeight="1">
      <c r="A429" s="109"/>
      <c r="B429" s="39"/>
      <c r="C429" s="33"/>
      <c r="D429" s="161"/>
      <c r="E429" s="35"/>
      <c r="F429" s="39"/>
      <c r="G429" s="193"/>
      <c r="H429" s="44"/>
      <c r="I429" s="44"/>
      <c r="J429" s="119"/>
    </row>
    <row r="430" spans="1:14" s="1" customFormat="1" ht="15" customHeight="1">
      <c r="A430" s="109"/>
      <c r="B430" s="33"/>
      <c r="C430" s="33"/>
      <c r="D430" s="161"/>
      <c r="E430" s="35"/>
      <c r="F430" s="161"/>
      <c r="G430" s="193"/>
      <c r="H430" s="44"/>
      <c r="I430" s="44"/>
      <c r="J430" s="119"/>
    </row>
    <row r="431" spans="1:14" s="1" customFormat="1" ht="15" customHeight="1">
      <c r="A431" s="109"/>
      <c r="B431" s="56"/>
      <c r="C431" s="56"/>
      <c r="D431" s="30"/>
      <c r="E431" s="29"/>
      <c r="F431" s="30"/>
      <c r="H431" s="44"/>
      <c r="I431" s="44"/>
      <c r="J431" s="119"/>
    </row>
    <row r="432" spans="1:14" s="1" customFormat="1" ht="15" customHeight="1">
      <c r="A432" s="109"/>
      <c r="B432" s="33"/>
      <c r="C432" s="161"/>
      <c r="D432" s="161"/>
      <c r="E432" s="109"/>
      <c r="F432" s="161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35"/>
      <c r="F433" s="163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1"/>
      <c r="H434" s="44"/>
      <c r="I434" s="44"/>
      <c r="J434" s="119"/>
    </row>
    <row r="435" spans="1:10" s="1" customFormat="1" ht="15" customHeight="1">
      <c r="A435" s="39"/>
      <c r="B435" s="33"/>
      <c r="C435" s="42"/>
      <c r="D435" s="161"/>
      <c r="E435" s="109"/>
      <c r="F435" s="69"/>
      <c r="H435" s="44"/>
      <c r="I435" s="44"/>
      <c r="J435" s="119"/>
    </row>
    <row r="436" spans="1:10" s="1" customFormat="1" ht="15" customHeight="1">
      <c r="A436" s="92"/>
      <c r="B436" s="39"/>
      <c r="C436" s="163"/>
      <c r="D436" s="161"/>
      <c r="E436" s="109"/>
      <c r="F436" s="68"/>
      <c r="H436" s="44"/>
      <c r="I436" s="44"/>
      <c r="J436" s="119"/>
    </row>
    <row r="437" spans="1:10" s="1" customFormat="1" ht="15" customHeight="1">
      <c r="B437" s="92"/>
      <c r="C437" s="161"/>
      <c r="D437" s="161"/>
      <c r="E437" s="109"/>
      <c r="F437" s="198"/>
      <c r="H437" s="44"/>
      <c r="I437" s="44"/>
      <c r="J437" s="119"/>
    </row>
    <row r="438" spans="1:10" s="1" customFormat="1" ht="15" customHeight="1">
      <c r="A438" s="64" t="str">
        <f>A18</f>
        <v>240-4 Panel (4R)</v>
      </c>
      <c r="B438" s="92"/>
      <c r="C438" s="161"/>
      <c r="D438" s="161"/>
      <c r="E438" s="109"/>
      <c r="F438" s="198"/>
      <c r="H438" s="44"/>
      <c r="I438" s="44"/>
      <c r="J438" s="119"/>
    </row>
    <row r="439" spans="1:10" s="1" customFormat="1" ht="15.9" customHeight="1">
      <c r="A439" s="76" t="str">
        <f>A19</f>
        <v xml:space="preserve">Outside Bi Fold Door </v>
      </c>
      <c r="C439" s="42"/>
      <c r="D439" s="161"/>
      <c r="E439" s="109"/>
      <c r="F439" s="68"/>
      <c r="H439" s="44"/>
      <c r="I439" s="44"/>
      <c r="J439" s="119"/>
    </row>
    <row r="440" spans="1:10" s="1" customFormat="1" ht="15.9" customHeight="1">
      <c r="A440" s="39"/>
      <c r="C440" s="161"/>
      <c r="D440" s="161"/>
      <c r="E440" s="109"/>
      <c r="F440" s="37"/>
      <c r="H440" s="44"/>
      <c r="I440" s="44"/>
      <c r="J440" s="119"/>
    </row>
    <row r="441" spans="1:10" s="1" customFormat="1" ht="15.9" customHeight="1">
      <c r="A441" s="44"/>
      <c r="B441" s="38"/>
      <c r="C441" s="43"/>
      <c r="D441" s="161"/>
      <c r="E441" s="109"/>
      <c r="F441" s="109"/>
      <c r="H441" s="44"/>
      <c r="I441" s="44"/>
      <c r="J441" s="119"/>
    </row>
    <row r="442" spans="1:10" s="1" customFormat="1" ht="15.9" customHeight="1">
      <c r="A442" s="40"/>
      <c r="C442" s="44"/>
      <c r="D442" s="84"/>
      <c r="E442" s="44"/>
      <c r="F442" s="44"/>
      <c r="H442" s="44"/>
      <c r="I442" s="44"/>
      <c r="J442" s="119"/>
    </row>
    <row r="443" spans="1:10" s="1" customFormat="1" ht="35.1" customHeight="1">
      <c r="A443" s="109"/>
      <c r="C443" s="161"/>
      <c r="D443" s="85"/>
      <c r="E443" s="40"/>
      <c r="F443" s="32"/>
      <c r="H443" s="44"/>
      <c r="I443" s="24"/>
      <c r="J443" s="24"/>
    </row>
    <row r="444" spans="1:10" ht="15.6">
      <c r="B444" s="64"/>
      <c r="C444" s="163"/>
      <c r="D444" s="161"/>
      <c r="E444" s="109"/>
      <c r="F444" s="161"/>
      <c r="G444" s="109"/>
      <c r="H444" s="109"/>
    </row>
    <row r="449" spans="1:10" s="1" customFormat="1" ht="15.9" customHeight="1">
      <c r="A449" s="109"/>
      <c r="B449"/>
      <c r="C449"/>
      <c r="D449" s="81"/>
      <c r="E449"/>
      <c r="F449"/>
      <c r="G449"/>
      <c r="H449"/>
      <c r="I449" s="24"/>
      <c r="J449" s="24"/>
    </row>
    <row r="450" spans="1:10" s="1" customFormat="1" ht="15.9" customHeight="1">
      <c r="A450" s="109"/>
      <c r="B450" s="33"/>
      <c r="C450" s="33"/>
      <c r="D450" s="161"/>
      <c r="E450" s="109"/>
      <c r="F450" s="161"/>
      <c r="G450" s="109"/>
      <c r="H450" s="109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44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161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3"/>
      <c r="D455" s="161"/>
      <c r="E455" s="109"/>
      <c r="F455" s="161"/>
      <c r="G455" s="109"/>
      <c r="H455" s="109"/>
      <c r="I455" s="109"/>
      <c r="J455" s="24"/>
    </row>
    <row r="456" spans="1:10" s="1" customFormat="1" ht="15.9" customHeight="1">
      <c r="A456" s="109"/>
      <c r="B456" s="33"/>
      <c r="C456" s="161"/>
      <c r="D456" s="161"/>
      <c r="E456" s="109"/>
      <c r="F456" s="161"/>
      <c r="G456" s="109"/>
      <c r="H456" s="109"/>
      <c r="I456" s="24"/>
      <c r="J456" s="24"/>
    </row>
    <row r="457" spans="1:10" s="1" customFormat="1" ht="15.9" customHeight="1">
      <c r="A457" s="109"/>
      <c r="B457" s="33"/>
      <c r="C457" s="33"/>
      <c r="D457" s="161"/>
      <c r="E457" s="109"/>
      <c r="F457" s="109"/>
      <c r="G457" s="109"/>
      <c r="H457" s="109"/>
      <c r="I457" s="24"/>
      <c r="J457" s="24"/>
    </row>
    <row r="458" spans="1:10" s="1" customFormat="1" ht="15" customHeight="1">
      <c r="A458" s="109"/>
      <c r="B458" s="33"/>
      <c r="C458" s="33"/>
      <c r="D458" s="161"/>
      <c r="E458" s="109"/>
      <c r="F458" s="109"/>
      <c r="G458" s="109"/>
      <c r="H458" s="107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9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23" customFormat="1" ht="15.9" customHeight="1">
      <c r="A476" s="109"/>
      <c r="B476" s="33"/>
      <c r="C476" s="33"/>
      <c r="D476" s="161"/>
      <c r="E476" s="109"/>
      <c r="F476" s="109"/>
      <c r="G476" s="109"/>
      <c r="H476" s="109"/>
      <c r="I476" s="109"/>
      <c r="J476" s="109"/>
    </row>
    <row r="477" spans="1:10" s="1" customFormat="1" ht="15.9" customHeight="1">
      <c r="A477" s="44"/>
      <c r="B477" s="33"/>
      <c r="C477" s="33"/>
      <c r="D477" s="161"/>
      <c r="E477" s="109"/>
      <c r="F477" s="109"/>
      <c r="G477" s="109"/>
      <c r="H477" s="109"/>
      <c r="I477" s="44"/>
      <c r="J477" s="119"/>
    </row>
    <row r="478" spans="1:10" s="1" customFormat="1" ht="15.9" customHeight="1">
      <c r="A478" s="40"/>
      <c r="B478" s="44"/>
      <c r="C478" s="44"/>
      <c r="D478" s="84"/>
      <c r="E478" s="44"/>
      <c r="F478" s="44"/>
      <c r="G478" s="44"/>
      <c r="H478" s="44"/>
      <c r="I478" s="32"/>
      <c r="J478" s="40"/>
    </row>
    <row r="479" spans="1:10" s="1" customFormat="1" ht="15.9" customHeight="1">
      <c r="A479" s="27"/>
      <c r="B479" s="40"/>
      <c r="C479" s="44"/>
      <c r="D479" s="85"/>
      <c r="E479" s="40"/>
      <c r="F479" s="32"/>
      <c r="G479" s="40"/>
      <c r="H479" s="32"/>
      <c r="I479" s="24"/>
      <c r="J479" s="24"/>
    </row>
    <row r="480" spans="1:10" s="1" customFormat="1" ht="15.9" customHeight="1">
      <c r="A480" s="27"/>
      <c r="B480" s="33"/>
      <c r="C480" s="42"/>
      <c r="D480" s="161"/>
      <c r="E480" s="109"/>
      <c r="F480" s="109"/>
      <c r="G480" s="109"/>
      <c r="H480" s="42"/>
      <c r="I480" s="67"/>
      <c r="J480" s="165"/>
    </row>
    <row r="481" spans="1:10" s="1" customFormat="1" ht="15.9" customHeight="1">
      <c r="A481" s="27"/>
      <c r="B481" s="33"/>
      <c r="C481" s="163"/>
      <c r="D481" s="161"/>
      <c r="E481" s="109"/>
      <c r="F481" s="109"/>
      <c r="G481" s="109"/>
      <c r="H481" s="67"/>
      <c r="I481" s="38"/>
      <c r="J481" s="109"/>
    </row>
    <row r="482" spans="1:10" s="1" customFormat="1" ht="15.9" customHeight="1">
      <c r="A482" s="27"/>
      <c r="B482" s="33"/>
      <c r="C482" s="161"/>
      <c r="D482" s="161"/>
      <c r="E482" s="109"/>
      <c r="F482" s="109"/>
      <c r="G482" s="109"/>
      <c r="H482" s="38"/>
      <c r="I482" s="24"/>
      <c r="J482" s="24"/>
    </row>
    <row r="483" spans="1:10" s="1" customFormat="1" ht="15.9" customHeight="1">
      <c r="A483" s="27"/>
      <c r="B483" s="33"/>
      <c r="C483" s="33"/>
      <c r="D483" s="161"/>
      <c r="E483" s="109"/>
      <c r="F483" s="109"/>
      <c r="G483" s="109"/>
      <c r="H483" s="109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46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161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33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B492" s="33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D494" s="161"/>
      <c r="E494" s="109"/>
      <c r="F494" s="109"/>
      <c r="G494" s="33"/>
      <c r="H494" s="33"/>
      <c r="I494" s="24"/>
      <c r="J494" s="24"/>
    </row>
    <row r="495" spans="1:10" s="1" customFormat="1" ht="15.9" customHeight="1">
      <c r="A495" s="27"/>
      <c r="B495" s="33"/>
      <c r="C495" s="33"/>
      <c r="D495" s="161"/>
      <c r="E495" s="109"/>
      <c r="F495" s="109"/>
      <c r="G495" s="109"/>
      <c r="H495" s="109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42"/>
      <c r="I498" s="67"/>
      <c r="J498" s="165"/>
    </row>
    <row r="499" spans="1:10" s="1" customFormat="1" ht="15.9" customHeight="1">
      <c r="A499" s="27"/>
      <c r="B499" s="33"/>
      <c r="C499" s="47"/>
      <c r="D499" s="161"/>
      <c r="E499" s="109"/>
      <c r="F499" s="109"/>
      <c r="G499" s="109"/>
      <c r="H499" s="67"/>
      <c r="I499" s="38"/>
      <c r="J499" s="109"/>
    </row>
    <row r="500" spans="1:10" s="1" customFormat="1" ht="15.9" customHeight="1">
      <c r="A500" s="27"/>
      <c r="B500" s="33"/>
      <c r="C500" s="46"/>
      <c r="D500" s="161"/>
      <c r="E500" s="109"/>
      <c r="F500" s="109"/>
      <c r="G500" s="109"/>
      <c r="H500" s="38"/>
      <c r="I500" s="24"/>
      <c r="J500" s="24"/>
    </row>
    <row r="501" spans="1:10" s="1" customFormat="1" ht="15.9" customHeight="1">
      <c r="A501" s="27"/>
      <c r="B501" s="33"/>
      <c r="C501" s="161"/>
      <c r="D501" s="161"/>
      <c r="E501" s="109"/>
      <c r="F501" s="109"/>
      <c r="G501" s="109"/>
      <c r="H501" s="42"/>
      <c r="I501" s="67"/>
      <c r="J501" s="165"/>
    </row>
    <row r="502" spans="1:10" s="1" customFormat="1" ht="15.9" customHeight="1">
      <c r="A502" s="27"/>
      <c r="B502" s="33"/>
      <c r="C502" s="33"/>
      <c r="D502" s="161"/>
      <c r="E502" s="109"/>
      <c r="F502" s="109"/>
      <c r="G502" s="109"/>
      <c r="H502" s="67"/>
      <c r="I502" s="38"/>
      <c r="J502" s="109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38"/>
      <c r="I503" s="24"/>
      <c r="J503" s="24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109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24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24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24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24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43"/>
      <c r="J512" s="107"/>
    </row>
    <row r="513" spans="1:15" s="1" customFormat="1" ht="15.9" customHeight="1">
      <c r="A513" s="44"/>
      <c r="B513" s="44"/>
      <c r="C513" s="44"/>
      <c r="D513" s="84"/>
      <c r="E513" s="44"/>
      <c r="F513" s="44"/>
      <c r="G513" s="44"/>
      <c r="H513" s="44"/>
      <c r="I513" s="44"/>
      <c r="J513" s="119"/>
    </row>
    <row r="514" spans="1:15" s="1" customFormat="1" ht="15.9" customHeight="1">
      <c r="A514" s="44"/>
      <c r="B514" s="44"/>
      <c r="C514" s="44"/>
      <c r="D514" s="84"/>
      <c r="E514" s="44"/>
      <c r="F514" s="44"/>
      <c r="G514" s="44"/>
      <c r="H514" s="44"/>
      <c r="I514" s="44"/>
      <c r="J514" s="119"/>
    </row>
    <row r="515" spans="1:15" s="1" customFormat="1" ht="15.9" customHeight="1">
      <c r="B515" s="44"/>
      <c r="C515" s="44"/>
      <c r="D515" s="84"/>
      <c r="E515" s="44"/>
      <c r="F515" s="44"/>
      <c r="G515" s="44"/>
      <c r="H515" s="44"/>
    </row>
    <row r="516" spans="1:15" s="1" customFormat="1" ht="15.9" customHeight="1" thickBot="1"/>
    <row r="517" spans="1:15" s="1" customFormat="1" ht="24.9" customHeight="1" thickBot="1">
      <c r="A517" s="502" t="s">
        <v>401</v>
      </c>
      <c r="B517" s="503"/>
      <c r="C517" s="503"/>
      <c r="D517" s="503"/>
      <c r="E517" s="503"/>
      <c r="F517" s="503"/>
      <c r="G517" s="503"/>
      <c r="H517" s="503"/>
      <c r="I517" s="503"/>
      <c r="J517" s="504"/>
    </row>
    <row r="518" spans="1:15" s="1" customFormat="1" ht="35.1" customHeight="1" thickBot="1">
      <c r="A518" s="102" t="s">
        <v>2</v>
      </c>
      <c r="B518" s="103" t="s">
        <v>3</v>
      </c>
      <c r="C518" s="103" t="s">
        <v>3</v>
      </c>
      <c r="D518" s="104" t="s">
        <v>35</v>
      </c>
      <c r="E518" s="103" t="s">
        <v>5</v>
      </c>
      <c r="F518" s="339" t="s">
        <v>27</v>
      </c>
      <c r="G518" s="305"/>
      <c r="H518" s="104" t="s">
        <v>27</v>
      </c>
      <c r="I518" s="104" t="s">
        <v>26</v>
      </c>
      <c r="J518" s="115" t="s">
        <v>6</v>
      </c>
      <c r="N518" s="249" t="s">
        <v>3</v>
      </c>
      <c r="O518" s="249" t="s">
        <v>3</v>
      </c>
    </row>
    <row r="519" spans="1:15" s="1" customFormat="1" ht="15.9" customHeight="1">
      <c r="A519" s="123">
        <f>IF(C519="","",1)</f>
        <v>1</v>
      </c>
      <c r="B519" s="121" t="str">
        <f>IF($D$127=5,N519,IF($D$127=6,N520,IF($D$127=8,N521,IF($D$127=10,N522,IF($D$127=12,N523,IF($D$127=14,N524,IF($D$127=18,N525,IF($D$127=20,N526,IF($D$127=22,N527,)))))))))</f>
        <v>กระจก 6 mm (สูง) (กว้าง)</v>
      </c>
      <c r="C519" s="121" t="str">
        <f>IF($D$127=5,O519,IF($D$127=6,O520,IF($D$127=8,O521,IF($D$127=10,O522,IF($D$127=12,O523,IF($D$127=14,O524,IF($D$127=18,O525,IF($D$127=20,O526,IF($D$127=22,O527,)))))))))</f>
        <v>GLASS thk.6 mm (H) (W)</v>
      </c>
      <c r="D519" s="124">
        <f>$J$123-215</f>
        <v>2335</v>
      </c>
      <c r="E519" s="123" t="s">
        <v>11</v>
      </c>
      <c r="F519" s="527" t="s">
        <v>271</v>
      </c>
      <c r="G519" s="528"/>
      <c r="H519" s="123" t="s">
        <v>404</v>
      </c>
      <c r="I519" s="124">
        <f>(($J$126-182-(113.25*3))/4)-13</f>
        <v>360.3125</v>
      </c>
      <c r="J519" s="151">
        <f>$J$120*4</f>
        <v>4</v>
      </c>
      <c r="M519" s="1">
        <f>ROW()</f>
        <v>519</v>
      </c>
      <c r="N519" s="19" t="s">
        <v>194</v>
      </c>
      <c r="O519" s="19" t="s">
        <v>195</v>
      </c>
    </row>
    <row r="520" spans="1:15" s="1" customFormat="1" ht="15.9" customHeight="1">
      <c r="A520" s="346"/>
      <c r="B520" s="295"/>
      <c r="C520" s="295"/>
      <c r="D520" s="296"/>
      <c r="E520" s="238"/>
      <c r="F520" s="251"/>
      <c r="G520" s="297"/>
      <c r="H520" s="238"/>
      <c r="I520" s="298"/>
      <c r="J520" s="299"/>
      <c r="M520" s="1">
        <f>ROW()</f>
        <v>520</v>
      </c>
      <c r="N520" s="19" t="s">
        <v>53</v>
      </c>
      <c r="O520" s="19" t="s">
        <v>54</v>
      </c>
    </row>
    <row r="521" spans="1:15" s="1" customFormat="1" ht="15.9" customHeight="1">
      <c r="A521" s="346"/>
      <c r="B521" s="295"/>
      <c r="C521" s="295"/>
      <c r="D521" s="296"/>
      <c r="E521" s="238"/>
      <c r="F521" s="251"/>
      <c r="G521" s="297"/>
      <c r="H521" s="238"/>
      <c r="I521" s="298"/>
      <c r="J521" s="299"/>
      <c r="M521" s="1">
        <f>ROW()</f>
        <v>521</v>
      </c>
      <c r="N521" s="19" t="s">
        <v>257</v>
      </c>
      <c r="O521" s="19" t="s">
        <v>258</v>
      </c>
    </row>
    <row r="522" spans="1:15" s="1" customFormat="1" ht="15.9" customHeight="1">
      <c r="A522" s="129" t="str">
        <f>IF(B522="","",+#REF!+1)</f>
        <v/>
      </c>
      <c r="B522" s="127"/>
      <c r="C522" s="127"/>
      <c r="D522" s="128"/>
      <c r="E522" s="129"/>
      <c r="F522" s="155"/>
      <c r="G522" s="157"/>
      <c r="H522" s="129"/>
      <c r="I522" s="144"/>
      <c r="J522" s="130"/>
      <c r="M522" s="1">
        <f>ROW()</f>
        <v>522</v>
      </c>
      <c r="N522" s="19" t="s">
        <v>259</v>
      </c>
      <c r="O522" s="19" t="s">
        <v>265</v>
      </c>
    </row>
    <row r="523" spans="1:15" s="1" customFormat="1" ht="15.9" customHeight="1">
      <c r="A523" s="135" t="str">
        <f>IF(B523="","",+A522+1)</f>
        <v/>
      </c>
      <c r="B523" s="133"/>
      <c r="C523" s="133"/>
      <c r="D523" s="134"/>
      <c r="E523" s="135"/>
      <c r="F523" s="158"/>
      <c r="G523" s="159"/>
      <c r="H523" s="135"/>
      <c r="I523" s="145"/>
      <c r="J523" s="136"/>
      <c r="M523" s="1">
        <f>ROW()</f>
        <v>523</v>
      </c>
      <c r="N523" s="19" t="s">
        <v>260</v>
      </c>
      <c r="O523" s="19" t="s">
        <v>266</v>
      </c>
    </row>
    <row r="524" spans="1:15" s="1" customFormat="1" ht="15.9" customHeight="1">
      <c r="A524" s="17"/>
      <c r="B524" s="56"/>
      <c r="C524" s="56"/>
      <c r="D524" s="30"/>
      <c r="E524" s="17"/>
      <c r="F524" s="17"/>
      <c r="G524" s="17"/>
      <c r="H524" s="109"/>
      <c r="I524" s="109"/>
      <c r="J524" s="24"/>
      <c r="M524" s="1">
        <f>ROW()</f>
        <v>524</v>
      </c>
      <c r="N524" s="19" t="s">
        <v>261</v>
      </c>
      <c r="O524" s="19" t="s">
        <v>267</v>
      </c>
    </row>
    <row r="525" spans="1:15">
      <c r="J525" s="99" t="str">
        <f>LEFT($J$111,11)&amp;"-05"</f>
        <v>FG-240-4P4R-05</v>
      </c>
      <c r="M525" s="1">
        <f>ROW()</f>
        <v>525</v>
      </c>
      <c r="N525" s="19" t="s">
        <v>262</v>
      </c>
      <c r="O525" s="19" t="s">
        <v>268</v>
      </c>
    </row>
    <row r="526" spans="1:15">
      <c r="M526" s="1">
        <f>ROW()</f>
        <v>526</v>
      </c>
      <c r="N526" s="19" t="s">
        <v>263</v>
      </c>
      <c r="O526" s="19" t="s">
        <v>269</v>
      </c>
    </row>
    <row r="527" spans="1:15">
      <c r="M527" s="1">
        <f>ROW()</f>
        <v>527</v>
      </c>
      <c r="N527" s="19" t="s">
        <v>264</v>
      </c>
      <c r="O527" s="19" t="s">
        <v>270</v>
      </c>
    </row>
  </sheetData>
  <dataConsolidate function="product">
    <dataRefs count="1">
      <dataRef ref="O154:O162" sheet="240_2Panel(L)" r:id="rId1"/>
    </dataRefs>
  </dataConsolidate>
  <mergeCells count="43">
    <mergeCell ref="I168:J168"/>
    <mergeCell ref="A169:J169"/>
    <mergeCell ref="I162:J165"/>
    <mergeCell ref="D129:G129"/>
    <mergeCell ref="I166:J167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I161:J161"/>
    <mergeCell ref="D161:D162"/>
    <mergeCell ref="H123:I124"/>
    <mergeCell ref="J123:J124"/>
    <mergeCell ref="A125:B125"/>
    <mergeCell ref="H126:I127"/>
    <mergeCell ref="J126:J127"/>
    <mergeCell ref="D127:G127"/>
    <mergeCell ref="D123:G123"/>
    <mergeCell ref="D125:G125"/>
    <mergeCell ref="A6:J6"/>
    <mergeCell ref="H120:I121"/>
    <mergeCell ref="J120:J121"/>
    <mergeCell ref="A117:J117"/>
    <mergeCell ref="D119:G119"/>
    <mergeCell ref="D121:G121"/>
    <mergeCell ref="F519:G519"/>
    <mergeCell ref="A517:J517"/>
    <mergeCell ref="A426:J426"/>
    <mergeCell ref="A319:J319"/>
    <mergeCell ref="A212:J212"/>
    <mergeCell ref="F329:G329"/>
    <mergeCell ref="F330:G330"/>
    <mergeCell ref="F333:G333"/>
    <mergeCell ref="D163:D166"/>
    <mergeCell ref="D167:D168"/>
    <mergeCell ref="H167:H168"/>
    <mergeCell ref="H163:H166"/>
    <mergeCell ref="H161:H162"/>
  </mergeCells>
  <dataValidations count="4">
    <dataValidation type="list" allowBlank="1" showInputMessage="1" showErrorMessage="1" sqref="D127:G127">
      <formula1>$N$120:$N$128</formula1>
    </dataValidation>
    <dataValidation type="list" allowBlank="1" showInputMessage="1" showErrorMessage="1" sqref="C205">
      <formula1>$AA$171:$AA$189</formula1>
    </dataValidation>
    <dataValidation type="list" allowBlank="1" showInputMessage="1" showErrorMessage="1" sqref="D129:G129">
      <formula1>$O$120</formula1>
    </dataValidation>
    <dataValidation type="list" allowBlank="1" showInputMessage="1" showErrorMessage="1" sqref="D123:G123">
      <formula1>$P$119:$P$129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6" max="9" man="1"/>
    <brk id="313" max="16383" man="1"/>
    <brk id="420" max="9" man="1"/>
  </rowBreaks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tabColor theme="5" tint="-0.249977111117893"/>
  </sheetPr>
  <dimension ref="A1:X529"/>
  <sheetViews>
    <sheetView showGridLines="0" view="pageBreakPreview" topLeftCell="A28" zoomScale="75" zoomScaleNormal="75" zoomScaleSheetLayoutView="75" workbookViewId="0">
      <selection activeCell="I135" sqref="I135"/>
    </sheetView>
  </sheetViews>
  <sheetFormatPr defaultRowHeight="14.4" outlineLevelRow="1" outlineLevelCol="1"/>
  <cols>
    <col min="1" max="1" width="7" customWidth="1"/>
    <col min="2" max="2" width="40.6640625" customWidth="1"/>
    <col min="3" max="3" width="61.3320312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7.88671875" customWidth="1"/>
    <col min="9" max="9" width="11.109375" bestFit="1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3.4414062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197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197"/>
      <c r="E3" s="197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149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>
      <c r="G45" s="10"/>
    </row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/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334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197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197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5.6">
      <c r="A118" s="12"/>
      <c r="C118" s="8"/>
      <c r="D118" s="15"/>
      <c r="E118" s="13"/>
      <c r="J118" s="199"/>
      <c r="K118" s="11"/>
      <c r="L118" s="56"/>
      <c r="M118" s="56"/>
      <c r="N118" s="56"/>
    </row>
    <row r="119" spans="1:16" s="1" customFormat="1" ht="15" customHeight="1">
      <c r="A119" s="12"/>
      <c r="C119" s="110" t="s">
        <v>635</v>
      </c>
      <c r="D119" s="524"/>
      <c r="E119" s="525"/>
      <c r="F119" s="525"/>
      <c r="G119" s="526"/>
      <c r="I119" s="16"/>
      <c r="J119" s="12"/>
      <c r="N119" s="243" t="s">
        <v>191</v>
      </c>
      <c r="O119" s="12" t="s">
        <v>227</v>
      </c>
      <c r="P119" s="247" t="s">
        <v>16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4">
        <v>5</v>
      </c>
      <c r="O120" s="12" t="s">
        <v>243</v>
      </c>
      <c r="P120" s="335" t="s">
        <v>389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6</v>
      </c>
      <c r="O121" s="12" t="s">
        <v>244</v>
      </c>
      <c r="P121" s="336" t="s">
        <v>390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8</v>
      </c>
      <c r="P122" s="336" t="s">
        <v>391</v>
      </c>
    </row>
    <row r="123" spans="1:16" s="1" customFormat="1" ht="15" customHeight="1">
      <c r="A123" s="12"/>
      <c r="C123" s="110" t="s">
        <v>629</v>
      </c>
      <c r="D123" s="524" t="s">
        <v>15</v>
      </c>
      <c r="E123" s="525"/>
      <c r="F123" s="525"/>
      <c r="G123" s="526"/>
      <c r="H123" s="519" t="s">
        <v>638</v>
      </c>
      <c r="I123" s="520"/>
      <c r="J123" s="517">
        <v>2400</v>
      </c>
      <c r="N123" s="245">
        <v>10</v>
      </c>
      <c r="P123" s="336" t="s">
        <v>392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12</v>
      </c>
      <c r="P124" s="335" t="s">
        <v>393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198"/>
      <c r="L125" s="77"/>
      <c r="N125" s="245">
        <v>14</v>
      </c>
      <c r="P125" s="335" t="s">
        <v>394</v>
      </c>
    </row>
    <row r="126" spans="1:16" s="1" customFormat="1" ht="15" customHeight="1">
      <c r="A126" s="199"/>
      <c r="B126" s="199"/>
      <c r="C126" s="423" t="s">
        <v>631</v>
      </c>
      <c r="D126" s="15"/>
      <c r="H126" s="519" t="s">
        <v>639</v>
      </c>
      <c r="I126" s="520"/>
      <c r="J126" s="517">
        <v>3250</v>
      </c>
      <c r="K126" s="198"/>
      <c r="L126" s="77"/>
      <c r="N126" s="245">
        <v>18</v>
      </c>
      <c r="P126" s="335" t="s">
        <v>395</v>
      </c>
    </row>
    <row r="127" spans="1:16" s="1" customFormat="1" ht="15" customHeight="1">
      <c r="A127" s="199"/>
      <c r="B127" s="199"/>
      <c r="C127" s="110" t="s">
        <v>633</v>
      </c>
      <c r="D127" s="534">
        <v>5</v>
      </c>
      <c r="E127" s="535"/>
      <c r="F127" s="535"/>
      <c r="G127" s="536"/>
      <c r="H127" s="520"/>
      <c r="I127" s="520"/>
      <c r="J127" s="518"/>
      <c r="N127" s="245">
        <v>20</v>
      </c>
      <c r="P127" s="335" t="s">
        <v>396</v>
      </c>
    </row>
    <row r="128" spans="1:16" s="1" customFormat="1" ht="18.75" customHeight="1">
      <c r="C128" s="423" t="s">
        <v>632</v>
      </c>
      <c r="I128" s="12"/>
      <c r="J128" s="12"/>
      <c r="N128" s="245">
        <v>22</v>
      </c>
      <c r="P128" s="335" t="s">
        <v>397</v>
      </c>
    </row>
    <row r="129" spans="1:23" s="1" customFormat="1" ht="15" customHeight="1">
      <c r="A129" s="88" t="str">
        <f>A18</f>
        <v>240-5 Panel (1L4R)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3190</v>
      </c>
      <c r="J133" s="125">
        <f t="shared" ref="J133:J153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10</v>
      </c>
      <c r="U133" s="283" t="s">
        <v>296</v>
      </c>
      <c r="V133" s="285">
        <f>($J$126-185-(113.25*4))/5</f>
        <v>522.4</v>
      </c>
      <c r="W133" s="286">
        <f>$J$121*T133</f>
        <v>0</v>
      </c>
    </row>
    <row r="134" spans="1:23" s="1" customFormat="1" ht="18" customHeight="1">
      <c r="A134" s="143">
        <f t="shared" ref="A134:A153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3164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10</v>
      </c>
      <c r="U134" s="283" t="s">
        <v>296</v>
      </c>
      <c r="V134" s="285">
        <f t="shared" ref="V134:V135" si="2">($J$126-185-(113.25*4))/5</f>
        <v>522.4</v>
      </c>
      <c r="W134" s="131">
        <f t="shared" ref="W134:W135" si="3">$J$121*T134</f>
        <v>0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3190</v>
      </c>
      <c r="J135" s="131">
        <f t="shared" si="0"/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10</v>
      </c>
      <c r="U135" s="283" t="s">
        <v>296</v>
      </c>
      <c r="V135" s="285">
        <f t="shared" si="2"/>
        <v>522.4</v>
      </c>
      <c r="W135" s="293">
        <f t="shared" si="3"/>
        <v>0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3190</v>
      </c>
      <c r="J136" s="131">
        <f t="shared" si="0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10</v>
      </c>
      <c r="U136" s="283" t="s">
        <v>64</v>
      </c>
      <c r="V136" s="288">
        <f>$J$123-242</f>
        <v>2158</v>
      </c>
      <c r="W136" s="286">
        <f>$J$121*T136</f>
        <v>0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2400</v>
      </c>
      <c r="J137" s="131">
        <f t="shared" ref="J137:J149" si="4">$J$120*G137</f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10</v>
      </c>
      <c r="U137" s="129" t="s">
        <v>64</v>
      </c>
      <c r="V137" s="130">
        <f>$J$123-242</f>
        <v>2158</v>
      </c>
      <c r="W137" s="131">
        <f t="shared" ref="W137:W138" si="5">$J$121*T137</f>
        <v>0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2400</v>
      </c>
      <c r="J138" s="131">
        <f t="shared" si="4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10</v>
      </c>
      <c r="U138" s="135" t="s">
        <v>64</v>
      </c>
      <c r="V138" s="136">
        <f>$J$123-242</f>
        <v>2158</v>
      </c>
      <c r="W138" s="293">
        <f t="shared" si="5"/>
        <v>0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2304</v>
      </c>
      <c r="J139" s="131">
        <f t="shared" si="4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2304</v>
      </c>
      <c r="J140" s="131">
        <f t="shared" si="4"/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5</v>
      </c>
      <c r="H141" s="143" t="s">
        <v>296</v>
      </c>
      <c r="I141" s="178">
        <f>($J$126-185-(113.25*4))/5</f>
        <v>522.4</v>
      </c>
      <c r="J141" s="131">
        <f t="shared" si="4"/>
        <v>5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5</v>
      </c>
      <c r="H142" s="143" t="s">
        <v>296</v>
      </c>
      <c r="I142" s="178">
        <f>($J$126-185-(113.25*4))/5</f>
        <v>522.4</v>
      </c>
      <c r="J142" s="131">
        <f t="shared" si="4"/>
        <v>5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7</v>
      </c>
      <c r="H143" s="143" t="s">
        <v>63</v>
      </c>
      <c r="I143" s="130">
        <f>$J$123-92</f>
        <v>2308</v>
      </c>
      <c r="J143" s="131">
        <f t="shared" si="4"/>
        <v>7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496</v>
      </c>
      <c r="G144" s="143">
        <v>2</v>
      </c>
      <c r="H144" s="143" t="s">
        <v>63</v>
      </c>
      <c r="I144" s="130">
        <f t="shared" ref="I144:I145" si="6">$J$123-92</f>
        <v>2308</v>
      </c>
      <c r="J144" s="131">
        <f t="shared" si="4"/>
        <v>2</v>
      </c>
      <c r="N144" s="98"/>
    </row>
    <row r="145" spans="1:14" s="1" customFormat="1" ht="18" customHeight="1">
      <c r="A145" s="143">
        <f t="shared" si="1"/>
        <v>13</v>
      </c>
      <c r="B145" s="140" t="s">
        <v>116</v>
      </c>
      <c r="C145" s="140" t="s">
        <v>99</v>
      </c>
      <c r="D145" s="139" t="s">
        <v>50</v>
      </c>
      <c r="E145" s="143">
        <v>1.1060000000000001</v>
      </c>
      <c r="F145" s="139" t="s">
        <v>506</v>
      </c>
      <c r="G145" s="143">
        <v>1</v>
      </c>
      <c r="H145" s="143" t="s">
        <v>63</v>
      </c>
      <c r="I145" s="130">
        <f t="shared" si="6"/>
        <v>2308</v>
      </c>
      <c r="J145" s="131">
        <f t="shared" si="4"/>
        <v>1</v>
      </c>
      <c r="N145" s="98"/>
    </row>
    <row r="146" spans="1:14" s="1" customFormat="1" ht="18" customHeight="1">
      <c r="A146" s="143">
        <f t="shared" si="1"/>
        <v>14</v>
      </c>
      <c r="B146" s="127" t="str">
        <f t="shared" ref="B146:I146" si="7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27" t="str">
        <f t="shared" si="7"/>
        <v>5-6mm GLAZING BEAD HORIZONTAL</v>
      </c>
      <c r="D146" s="127" t="str">
        <f t="shared" si="7"/>
        <v>B24008</v>
      </c>
      <c r="E146" s="127">
        <f t="shared" si="7"/>
        <v>0.23100000000000001</v>
      </c>
      <c r="F146" s="127" t="str">
        <f t="shared" si="7"/>
        <v>B24008-001</v>
      </c>
      <c r="G146" s="129">
        <f t="shared" si="7"/>
        <v>10</v>
      </c>
      <c r="H146" s="129" t="str">
        <f t="shared" si="7"/>
        <v>(W-185-(113.25 × 4))/5</v>
      </c>
      <c r="I146" s="178">
        <f t="shared" si="7"/>
        <v>522.4</v>
      </c>
      <c r="J146" s="131">
        <f t="shared" si="4"/>
        <v>10</v>
      </c>
      <c r="N146" s="98"/>
    </row>
    <row r="147" spans="1:14" s="1" customFormat="1" ht="18" customHeight="1">
      <c r="A147" s="143">
        <f t="shared" si="1"/>
        <v>15</v>
      </c>
      <c r="B147" s="127" t="str">
        <f t="shared" ref="B147:I147" si="8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27" t="str">
        <f t="shared" si="8"/>
        <v>5-6mm GLAZING BEAD VERTICAL</v>
      </c>
      <c r="D147" s="127" t="str">
        <f t="shared" si="8"/>
        <v>B24008</v>
      </c>
      <c r="E147" s="127">
        <f t="shared" si="8"/>
        <v>0.23100000000000001</v>
      </c>
      <c r="F147" s="127" t="str">
        <f t="shared" si="8"/>
        <v>B24008-002</v>
      </c>
      <c r="G147" s="129">
        <f t="shared" si="8"/>
        <v>10</v>
      </c>
      <c r="H147" s="129" t="str">
        <f t="shared" si="8"/>
        <v>H-242</v>
      </c>
      <c r="I147" s="144">
        <f t="shared" si="8"/>
        <v>2158</v>
      </c>
      <c r="J147" s="131">
        <f t="shared" si="4"/>
        <v>10</v>
      </c>
      <c r="N147" s="98"/>
    </row>
    <row r="148" spans="1:14" s="1" customFormat="1" ht="18" customHeight="1">
      <c r="A148" s="143">
        <f t="shared" si="1"/>
        <v>16</v>
      </c>
      <c r="B148" s="140" t="s">
        <v>125</v>
      </c>
      <c r="C148" s="140" t="s">
        <v>124</v>
      </c>
      <c r="D148" s="139" t="s">
        <v>123</v>
      </c>
      <c r="E148" s="143"/>
      <c r="F148" s="139" t="s">
        <v>362</v>
      </c>
      <c r="G148" s="143">
        <v>1</v>
      </c>
      <c r="H148" s="143" t="s">
        <v>63</v>
      </c>
      <c r="I148" s="130">
        <f>$J$123-92</f>
        <v>2308</v>
      </c>
      <c r="J148" s="131">
        <f t="shared" si="4"/>
        <v>1</v>
      </c>
      <c r="N148" s="98"/>
    </row>
    <row r="149" spans="1:14" s="1" customFormat="1" ht="18" customHeight="1">
      <c r="A149" s="143">
        <f t="shared" si="1"/>
        <v>17</v>
      </c>
      <c r="B149" s="140" t="s">
        <v>125</v>
      </c>
      <c r="C149" s="140" t="s">
        <v>124</v>
      </c>
      <c r="D149" s="139" t="s">
        <v>123</v>
      </c>
      <c r="E149" s="143"/>
      <c r="F149" s="139" t="s">
        <v>363</v>
      </c>
      <c r="G149" s="143">
        <v>1</v>
      </c>
      <c r="H149" s="143" t="s">
        <v>63</v>
      </c>
      <c r="I149" s="130">
        <f>$J$123-92</f>
        <v>2308</v>
      </c>
      <c r="J149" s="131">
        <f t="shared" si="4"/>
        <v>1</v>
      </c>
      <c r="N149" s="98"/>
    </row>
    <row r="150" spans="1:14" s="1" customFormat="1" ht="18" customHeight="1">
      <c r="A150" s="143" t="str">
        <f t="shared" si="1"/>
        <v/>
      </c>
      <c r="B150" s="140"/>
      <c r="C150" s="140"/>
      <c r="D150" s="139"/>
      <c r="E150" s="143"/>
      <c r="F150" s="139"/>
      <c r="G150" s="143"/>
      <c r="H150" s="143"/>
      <c r="I150" s="130"/>
      <c r="J150" s="131"/>
      <c r="N150" s="98"/>
    </row>
    <row r="151" spans="1:14" s="1" customFormat="1" ht="18" customHeight="1">
      <c r="A151" s="143" t="str">
        <f t="shared" si="1"/>
        <v/>
      </c>
      <c r="B151" s="140"/>
      <c r="C151" s="140"/>
      <c r="D151" s="139"/>
      <c r="E151" s="143"/>
      <c r="F151" s="139"/>
      <c r="G151" s="143"/>
      <c r="H151" s="143"/>
      <c r="I151" s="130"/>
      <c r="J151" s="131"/>
      <c r="N151" s="98"/>
    </row>
    <row r="152" spans="1:14" s="1" customFormat="1" ht="18" customHeight="1">
      <c r="A152" s="143" t="str">
        <f t="shared" si="1"/>
        <v/>
      </c>
      <c r="B152" s="127"/>
      <c r="C152" s="127"/>
      <c r="D152" s="128"/>
      <c r="E152" s="129"/>
      <c r="F152" s="128"/>
      <c r="G152" s="129"/>
      <c r="H152" s="129"/>
      <c r="I152" s="144"/>
      <c r="J152" s="131">
        <f t="shared" si="0"/>
        <v>0</v>
      </c>
      <c r="N152" s="98"/>
    </row>
    <row r="153" spans="1:14" s="1" customFormat="1" ht="18" customHeight="1" thickBot="1">
      <c r="A153" s="143" t="str">
        <f t="shared" si="1"/>
        <v/>
      </c>
      <c r="B153" s="167"/>
      <c r="C153" s="167"/>
      <c r="D153" s="168"/>
      <c r="E153" s="166"/>
      <c r="F153" s="168"/>
      <c r="G153" s="166"/>
      <c r="H153" s="166"/>
      <c r="I153" s="171"/>
      <c r="J153" s="172">
        <f t="shared" si="0"/>
        <v>0</v>
      </c>
    </row>
    <row r="154" spans="1:14" s="1" customFormat="1" ht="27" outlineLevel="1" thickBot="1">
      <c r="A154" s="169" t="s">
        <v>2</v>
      </c>
      <c r="B154" s="169" t="s">
        <v>29</v>
      </c>
      <c r="C154" s="169" t="s">
        <v>3</v>
      </c>
      <c r="D154" s="169" t="s">
        <v>4</v>
      </c>
      <c r="E154" s="169" t="s">
        <v>5</v>
      </c>
      <c r="F154" s="177" t="s">
        <v>85</v>
      </c>
      <c r="G154" s="169" t="s">
        <v>22</v>
      </c>
      <c r="H154" s="170" t="s">
        <v>23</v>
      </c>
      <c r="I154" s="540"/>
      <c r="J154" s="541"/>
    </row>
    <row r="155" spans="1:14" s="1" customFormat="1" ht="15" customHeight="1" outlineLevel="1">
      <c r="A155" s="21">
        <f>IF(B155="","",1)</f>
        <v>1</v>
      </c>
      <c r="B155" s="173" t="str">
        <f t="shared" ref="B155:C161" si="9">B133</f>
        <v>เฟรมบน</v>
      </c>
      <c r="C155" s="173" t="str">
        <f t="shared" si="9"/>
        <v>HEAD</v>
      </c>
      <c r="D155" s="174" t="str">
        <f>VLOOKUP(C155,$C$133:$H$153,2,0)</f>
        <v>B24001</v>
      </c>
      <c r="E155" s="175">
        <f t="shared" ref="E155:E161" si="10">VLOOKUP(C155,$C$133:$H$153,3,0)</f>
        <v>1.603</v>
      </c>
      <c r="F155" s="353">
        <f>VLOOKUP(C155,$C$133:$J$153,7,0)</f>
        <v>3190</v>
      </c>
      <c r="G155" s="175">
        <f t="shared" ref="G155:G161" si="11">VLOOKUP(C155,$C$133:$J$153,8,0)</f>
        <v>1</v>
      </c>
      <c r="H155" s="191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ref="A156:A161" si="12">IF(B156="","",+A155+1)</f>
        <v>2</v>
      </c>
      <c r="B156" s="173" t="str">
        <f t="shared" si="9"/>
        <v>บังใบบน</v>
      </c>
      <c r="C156" s="173" t="str">
        <f t="shared" si="9"/>
        <v>DOOR STOP HEAD</v>
      </c>
      <c r="D156" s="174" t="str">
        <f>VLOOKUP(C156,$C$133:$H$153,2,0)</f>
        <v>B24002</v>
      </c>
      <c r="E156" s="175">
        <f t="shared" si="10"/>
        <v>0.27800000000000002</v>
      </c>
      <c r="F156" s="353">
        <f t="shared" ref="F156:F161" si="13">VLOOKUP(C156,$C$133:$I$153,7,0)</f>
        <v>3164</v>
      </c>
      <c r="G156" s="175">
        <f t="shared" si="11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si="12"/>
        <v>3</v>
      </c>
      <c r="B157" s="173" t="str">
        <f t="shared" si="9"/>
        <v xml:space="preserve">เฟรมล่าง </v>
      </c>
      <c r="C157" s="173" t="str">
        <f t="shared" si="9"/>
        <v>SILL</v>
      </c>
      <c r="D157" s="174" t="str">
        <f>VLOOKUP(C157,$C$133:$H$153,2,0)</f>
        <v>B24003</v>
      </c>
      <c r="E157" s="175">
        <f t="shared" si="10"/>
        <v>1.603</v>
      </c>
      <c r="F157" s="353">
        <f t="shared" si="13"/>
        <v>3190</v>
      </c>
      <c r="G157" s="175">
        <f t="shared" si="11"/>
        <v>1</v>
      </c>
      <c r="H157" s="192">
        <f t="shared" ref="H157:H158" si="14">ROUNDUP((F157*G157)/6400,0)</f>
        <v>1</v>
      </c>
      <c r="I157" s="501"/>
      <c r="J157" s="501"/>
    </row>
    <row r="158" spans="1:14" s="1" customFormat="1" ht="15" customHeight="1" outlineLevel="1">
      <c r="A158" s="18">
        <f t="shared" si="12"/>
        <v>4</v>
      </c>
      <c r="B158" s="173" t="str">
        <f t="shared" si="9"/>
        <v>ตัวตับธรณี</v>
      </c>
      <c r="C158" s="173" t="str">
        <f t="shared" si="9"/>
        <v>DOOR STOP SILL</v>
      </c>
      <c r="D158" s="174" t="str">
        <f>VLOOKUP(C158,$C$133:$H$153,2,0)</f>
        <v>B24004</v>
      </c>
      <c r="E158" s="175">
        <f t="shared" si="10"/>
        <v>0.51600000000000001</v>
      </c>
      <c r="F158" s="353">
        <f t="shared" si="13"/>
        <v>3190</v>
      </c>
      <c r="G158" s="175">
        <f t="shared" si="11"/>
        <v>1</v>
      </c>
      <c r="H158" s="192">
        <f t="shared" si="14"/>
        <v>1</v>
      </c>
      <c r="I158" s="501"/>
      <c r="J158" s="501"/>
    </row>
    <row r="159" spans="1:14" s="1" customFormat="1" ht="15" customHeight="1" outlineLevel="1">
      <c r="A159" s="18">
        <f t="shared" si="12"/>
        <v>5</v>
      </c>
      <c r="B159" s="173" t="str">
        <f t="shared" si="9"/>
        <v>เฟรมข้าง (ซ้าย)</v>
      </c>
      <c r="C159" s="173" t="str">
        <f t="shared" si="9"/>
        <v>JAMB (L)</v>
      </c>
      <c r="D159" s="508" t="str">
        <f>VLOOKUP(C159,$C$133:$H$153,2,0)</f>
        <v>B24005</v>
      </c>
      <c r="E159" s="175">
        <f t="shared" si="10"/>
        <v>0.89300000000000002</v>
      </c>
      <c r="F159" s="353">
        <f t="shared" si="13"/>
        <v>2400</v>
      </c>
      <c r="G159" s="175">
        <f t="shared" si="11"/>
        <v>1</v>
      </c>
      <c r="H159" s="512">
        <f>ROUNDUP(((F159*G159)+(F160*G160))/6400,0)</f>
        <v>1</v>
      </c>
      <c r="I159" s="506"/>
      <c r="J159" s="506"/>
    </row>
    <row r="160" spans="1:14" s="1" customFormat="1" ht="15" customHeight="1" outlineLevel="1">
      <c r="A160" s="18">
        <f t="shared" si="12"/>
        <v>6</v>
      </c>
      <c r="B160" s="173" t="str">
        <f t="shared" si="9"/>
        <v>เฟรมข้าง (ขวา)</v>
      </c>
      <c r="C160" s="173" t="str">
        <f t="shared" si="9"/>
        <v>JAMB (R)</v>
      </c>
      <c r="D160" s="509"/>
      <c r="E160" s="175">
        <f t="shared" si="10"/>
        <v>0.89300000000000002</v>
      </c>
      <c r="F160" s="353">
        <f t="shared" si="13"/>
        <v>2400</v>
      </c>
      <c r="G160" s="175">
        <f t="shared" si="11"/>
        <v>1</v>
      </c>
      <c r="H160" s="515"/>
      <c r="I160" s="506"/>
      <c r="J160" s="506"/>
    </row>
    <row r="161" spans="1:23" s="1" customFormat="1" ht="15" customHeight="1" outlineLevel="1">
      <c r="A161" s="18">
        <f t="shared" si="12"/>
        <v>7</v>
      </c>
      <c r="B161" s="173" t="str">
        <f>B139</f>
        <v>บังใบข้าง (ซ้าย)</v>
      </c>
      <c r="C161" s="173" t="str">
        <f t="shared" si="9"/>
        <v>DOOR STOP JAMB (L)</v>
      </c>
      <c r="D161" s="508" t="str">
        <f>VLOOKUP(C161,$C$133:$H$153,2,0)</f>
        <v>B24006</v>
      </c>
      <c r="E161" s="175">
        <f t="shared" si="10"/>
        <v>0.23499999999999999</v>
      </c>
      <c r="F161" s="353">
        <f t="shared" si="13"/>
        <v>2304</v>
      </c>
      <c r="G161" s="175">
        <f t="shared" si="11"/>
        <v>1</v>
      </c>
      <c r="H161" s="512">
        <f>ROUNDUP(((F161*G161)+(F162*G162))/6400,0)</f>
        <v>1</v>
      </c>
      <c r="I161" s="501"/>
      <c r="J161" s="501"/>
    </row>
    <row r="162" spans="1:23" s="1" customFormat="1" ht="15" customHeight="1" outlineLevel="1">
      <c r="A162" s="18">
        <f t="shared" ref="A162:A171" si="15">IF(B162="","",+A161+1)</f>
        <v>8</v>
      </c>
      <c r="B162" s="173" t="str">
        <f>B140</f>
        <v>บังใบข้าง (ขวา)</v>
      </c>
      <c r="C162" s="173" t="str">
        <f t="shared" ref="C162" si="16">C140</f>
        <v>DOOR STOP JAMB (R)</v>
      </c>
      <c r="D162" s="509"/>
      <c r="E162" s="175">
        <f t="shared" ref="E162:E171" si="17">VLOOKUP(C162,$C$133:$H$153,3,0)</f>
        <v>0.23499999999999999</v>
      </c>
      <c r="F162" s="353">
        <f t="shared" ref="F162:F171" si="18">VLOOKUP(C162,$C$133:$I$153,7,0)</f>
        <v>2304</v>
      </c>
      <c r="G162" s="175">
        <f t="shared" ref="G162:G171" si="19">VLOOKUP(C162,$C$133:$J$153,8,0)</f>
        <v>1</v>
      </c>
      <c r="H162" s="515"/>
      <c r="I162" s="506"/>
      <c r="J162" s="506"/>
    </row>
    <row r="163" spans="1:23" s="1" customFormat="1" ht="13.8" outlineLevel="1">
      <c r="A163" s="18">
        <f t="shared" si="15"/>
        <v>9</v>
      </c>
      <c r="B163" s="173" t="str">
        <f>B141</f>
        <v>ขวางบน</v>
      </c>
      <c r="C163" s="173" t="str">
        <f t="shared" ref="C163" si="20">C141</f>
        <v>SASH (Hor) (T)</v>
      </c>
      <c r="D163" s="508" t="str">
        <f t="shared" ref="D163:D170" si="21">VLOOKUP(C163,$C$133:$H$153,2,0)</f>
        <v>B24007</v>
      </c>
      <c r="E163" s="175">
        <f t="shared" si="17"/>
        <v>1.1060000000000001</v>
      </c>
      <c r="F163" s="353">
        <f t="shared" si="18"/>
        <v>522.4</v>
      </c>
      <c r="G163" s="175">
        <f t="shared" si="19"/>
        <v>5</v>
      </c>
      <c r="H163" s="512">
        <f>ROUNDUP(((F163*G163)+(F164*G164)+(F165*G165)+(F166*G166)+(F167*G167))/6400,0)</f>
        <v>5</v>
      </c>
      <c r="I163" s="506"/>
      <c r="J163" s="506"/>
    </row>
    <row r="164" spans="1:23" s="1" customFormat="1" ht="13.8" outlineLevel="1">
      <c r="A164" s="18">
        <f t="shared" si="15"/>
        <v>10</v>
      </c>
      <c r="B164" s="173" t="str">
        <f>B142</f>
        <v>ขวางล่าง</v>
      </c>
      <c r="C164" s="173" t="str">
        <f t="shared" ref="C164" si="22">C142</f>
        <v>SASH (Hor) (B)</v>
      </c>
      <c r="D164" s="510"/>
      <c r="E164" s="175">
        <f t="shared" si="17"/>
        <v>1.1060000000000001</v>
      </c>
      <c r="F164" s="353">
        <f t="shared" si="18"/>
        <v>522.4</v>
      </c>
      <c r="G164" s="175">
        <f t="shared" si="19"/>
        <v>5</v>
      </c>
      <c r="H164" s="514"/>
      <c r="I164" s="506"/>
      <c r="J164" s="506"/>
    </row>
    <row r="165" spans="1:23" s="1" customFormat="1" ht="13.8" outlineLevel="1">
      <c r="A165" s="18">
        <f t="shared" si="15"/>
        <v>11</v>
      </c>
      <c r="B165" s="173" t="str">
        <f>B143</f>
        <v>เสา</v>
      </c>
      <c r="C165" s="173" t="str">
        <f t="shared" ref="C165" si="23">C143</f>
        <v xml:space="preserve">SASH (Ver) </v>
      </c>
      <c r="D165" s="510"/>
      <c r="E165" s="175">
        <f t="shared" si="17"/>
        <v>1.1060000000000001</v>
      </c>
      <c r="F165" s="353">
        <f t="shared" si="18"/>
        <v>2308</v>
      </c>
      <c r="G165" s="175">
        <f t="shared" si="19"/>
        <v>7</v>
      </c>
      <c r="H165" s="514"/>
      <c r="I165" s="506"/>
      <c r="J165" s="506"/>
    </row>
    <row r="166" spans="1:23" s="1" customFormat="1" ht="13.8" outlineLevel="1">
      <c r="A166" s="18">
        <f t="shared" si="15"/>
        <v>12</v>
      </c>
      <c r="B166" s="173" t="str">
        <f t="shared" ref="B166:C166" si="24">B144</f>
        <v>เสากุญแจ</v>
      </c>
      <c r="C166" s="173" t="str">
        <f t="shared" si="24"/>
        <v xml:space="preserve">SASH (Ver) LOCK </v>
      </c>
      <c r="D166" s="510"/>
      <c r="E166" s="175">
        <f t="shared" si="17"/>
        <v>1.1060000000000001</v>
      </c>
      <c r="F166" s="353">
        <f t="shared" si="18"/>
        <v>2308</v>
      </c>
      <c r="G166" s="175">
        <f t="shared" si="19"/>
        <v>2</v>
      </c>
      <c r="H166" s="514"/>
      <c r="I166" s="506"/>
      <c r="J166" s="506"/>
    </row>
    <row r="167" spans="1:23" s="1" customFormat="1" ht="15" customHeight="1" outlineLevel="1">
      <c r="A167" s="18">
        <f t="shared" si="15"/>
        <v>13</v>
      </c>
      <c r="B167" s="173" t="str">
        <f t="shared" ref="B167:C167" si="25">B145</f>
        <v>เสากุญแจมือจับ</v>
      </c>
      <c r="C167" s="173" t="str">
        <f t="shared" si="25"/>
        <v>SASH (Ver) LOCK HANDLE</v>
      </c>
      <c r="D167" s="509"/>
      <c r="E167" s="175">
        <f t="shared" si="17"/>
        <v>1.1060000000000001</v>
      </c>
      <c r="F167" s="353">
        <f t="shared" si="18"/>
        <v>2308</v>
      </c>
      <c r="G167" s="175">
        <f t="shared" si="19"/>
        <v>1</v>
      </c>
      <c r="H167" s="515"/>
      <c r="I167" s="506"/>
      <c r="J167" s="506"/>
    </row>
    <row r="168" spans="1:23" s="1" customFormat="1" ht="13.8" outlineLevel="1">
      <c r="A168" s="18">
        <f t="shared" si="15"/>
        <v>14</v>
      </c>
      <c r="B168" s="173" t="str">
        <f t="shared" ref="B168:C168" si="26">B146</f>
        <v>5-6mm คิ้วตบกระจกแนวนอน</v>
      </c>
      <c r="C168" s="173" t="str">
        <f t="shared" si="26"/>
        <v>5-6mm GLAZING BEAD HORIZONTAL</v>
      </c>
      <c r="D168" s="508" t="str">
        <f t="shared" si="21"/>
        <v>B24008</v>
      </c>
      <c r="E168" s="175">
        <f t="shared" si="17"/>
        <v>0.23100000000000001</v>
      </c>
      <c r="F168" s="353">
        <f t="shared" si="18"/>
        <v>522.4</v>
      </c>
      <c r="G168" s="175">
        <f t="shared" si="19"/>
        <v>10</v>
      </c>
      <c r="H168" s="512">
        <f>ROUNDUP(((F168*G168)+(F169*G169))/6400,0)</f>
        <v>5</v>
      </c>
      <c r="I168" s="501"/>
      <c r="J168" s="501"/>
    </row>
    <row r="169" spans="1:23" s="1" customFormat="1" ht="15" customHeight="1" outlineLevel="1">
      <c r="A169" s="18">
        <f t="shared" si="15"/>
        <v>15</v>
      </c>
      <c r="B169" s="173" t="str">
        <f t="shared" ref="B169:C169" si="27">B147</f>
        <v>5-6mm คิ้วตบกระจกแนวตั้ง</v>
      </c>
      <c r="C169" s="173" t="str">
        <f t="shared" si="27"/>
        <v>5-6mm GLAZING BEAD VERTICAL</v>
      </c>
      <c r="D169" s="509"/>
      <c r="E169" s="175">
        <f t="shared" si="17"/>
        <v>0.23100000000000001</v>
      </c>
      <c r="F169" s="353">
        <f t="shared" si="18"/>
        <v>2158</v>
      </c>
      <c r="G169" s="175">
        <f t="shared" si="19"/>
        <v>10</v>
      </c>
      <c r="H169" s="515"/>
      <c r="I169" s="195"/>
      <c r="J169" s="195"/>
    </row>
    <row r="170" spans="1:23" s="1" customFormat="1" ht="13.8" outlineLevel="1">
      <c r="A170" s="18">
        <f t="shared" si="15"/>
        <v>16</v>
      </c>
      <c r="B170" s="173" t="str">
        <f t="shared" ref="B170:C170" si="28">B148</f>
        <v>บังใบ</v>
      </c>
      <c r="C170" s="173" t="str">
        <f t="shared" si="28"/>
        <v>SASH STOP</v>
      </c>
      <c r="D170" s="508" t="str">
        <f t="shared" si="21"/>
        <v>B24009</v>
      </c>
      <c r="E170" s="175">
        <f t="shared" si="17"/>
        <v>0</v>
      </c>
      <c r="F170" s="353">
        <f t="shared" si="18"/>
        <v>2308</v>
      </c>
      <c r="G170" s="175">
        <f t="shared" si="19"/>
        <v>1</v>
      </c>
      <c r="H170" s="512">
        <f>ROUNDUP(((F170*G170)+(F171*G171))/6400,0)</f>
        <v>1</v>
      </c>
      <c r="I170" s="195"/>
      <c r="J170" s="195"/>
    </row>
    <row r="171" spans="1:23" s="1" customFormat="1" outlineLevel="1" thickBot="1">
      <c r="A171" s="18">
        <f t="shared" si="15"/>
        <v>17</v>
      </c>
      <c r="B171" s="173" t="str">
        <f t="shared" ref="B171:C171" si="29">B149</f>
        <v>บังใบ</v>
      </c>
      <c r="C171" s="173" t="str">
        <f t="shared" si="29"/>
        <v>SASH STOP</v>
      </c>
      <c r="D171" s="511"/>
      <c r="E171" s="175">
        <f t="shared" si="17"/>
        <v>0</v>
      </c>
      <c r="F171" s="353">
        <f t="shared" si="18"/>
        <v>2308</v>
      </c>
      <c r="G171" s="175">
        <f t="shared" si="19"/>
        <v>1</v>
      </c>
      <c r="H171" s="515"/>
      <c r="I171" s="195"/>
      <c r="J171" s="195"/>
    </row>
    <row r="172" spans="1:23" s="1" customFormat="1" ht="24.9" customHeight="1" thickBot="1">
      <c r="A172" s="529" t="s">
        <v>9</v>
      </c>
      <c r="B172" s="530"/>
      <c r="C172" s="530"/>
      <c r="D172" s="530"/>
      <c r="E172" s="530"/>
      <c r="F172" s="530"/>
      <c r="G172" s="530"/>
      <c r="H172" s="530"/>
      <c r="I172" s="530"/>
      <c r="J172" s="531"/>
    </row>
    <row r="173" spans="1:23" s="1" customFormat="1" ht="35.1" customHeight="1" thickBot="1">
      <c r="A173" s="102" t="s">
        <v>2</v>
      </c>
      <c r="B173" s="103" t="s">
        <v>29</v>
      </c>
      <c r="C173" s="103" t="s">
        <v>3</v>
      </c>
      <c r="D173" s="103" t="s">
        <v>199</v>
      </c>
      <c r="E173" s="103" t="s">
        <v>5</v>
      </c>
      <c r="F173" s="104" t="s">
        <v>28</v>
      </c>
      <c r="G173" s="103" t="s">
        <v>19</v>
      </c>
      <c r="H173" s="104" t="s">
        <v>200</v>
      </c>
      <c r="I173" s="104" t="s">
        <v>20</v>
      </c>
      <c r="J173" s="115" t="s">
        <v>201</v>
      </c>
      <c r="N173" s="101" t="s">
        <v>191</v>
      </c>
      <c r="O173" s="246" t="s">
        <v>29</v>
      </c>
      <c r="P173" s="246" t="s">
        <v>3</v>
      </c>
      <c r="Q173" s="246" t="s">
        <v>199</v>
      </c>
      <c r="R173" s="246" t="s">
        <v>5</v>
      </c>
      <c r="S173" s="246" t="s">
        <v>28</v>
      </c>
      <c r="T173" s="246" t="s">
        <v>19</v>
      </c>
      <c r="U173" s="246" t="s">
        <v>200</v>
      </c>
      <c r="V173" s="246" t="s">
        <v>20</v>
      </c>
      <c r="W173" s="246" t="s">
        <v>201</v>
      </c>
    </row>
    <row r="174" spans="1:23" s="1" customFormat="1" ht="18" customHeight="1">
      <c r="A174" s="200">
        <f>IF(B174="","",1)</f>
        <v>1</v>
      </c>
      <c r="B174" s="140" t="s">
        <v>111</v>
      </c>
      <c r="C174" s="140" t="s">
        <v>67</v>
      </c>
      <c r="D174" s="139" t="s">
        <v>74</v>
      </c>
      <c r="E174" s="143"/>
      <c r="F174" s="143" t="s">
        <v>74</v>
      </c>
      <c r="G174" s="143"/>
      <c r="H174" s="143">
        <v>10</v>
      </c>
      <c r="I174" s="130"/>
      <c r="J174" s="131">
        <f t="shared" ref="J174:J195" si="30">$J$120*H174</f>
        <v>10</v>
      </c>
      <c r="N174" s="101" t="s">
        <v>226</v>
      </c>
      <c r="O174" s="280" t="s">
        <v>252</v>
      </c>
      <c r="P174" s="290" t="s">
        <v>248</v>
      </c>
      <c r="Q174" s="280" t="s">
        <v>69</v>
      </c>
      <c r="R174" s="213"/>
      <c r="S174" s="213" t="s">
        <v>69</v>
      </c>
      <c r="T174" s="213" t="s">
        <v>198</v>
      </c>
      <c r="U174" s="291">
        <f>((($I$141*$G$141)+($I$142*$G$142)+($I$143*$G$143)+($I$144*$G$144)+($I$145*$G$145))/1000)*$J$120</f>
        <v>28.303999999999998</v>
      </c>
      <c r="V174" s="291">
        <v>100</v>
      </c>
      <c r="W174" s="292">
        <f>ROUNDUP((U174)/100,0)</f>
        <v>1</v>
      </c>
    </row>
    <row r="175" spans="1:23" s="1" customFormat="1" ht="18" customHeight="1">
      <c r="A175" s="201">
        <f>IF(B175="","",+A174+1)</f>
        <v>2</v>
      </c>
      <c r="B175" s="140" t="s">
        <v>106</v>
      </c>
      <c r="C175" s="140" t="s">
        <v>503</v>
      </c>
      <c r="D175" s="139" t="s">
        <v>75</v>
      </c>
      <c r="E175" s="143"/>
      <c r="F175" s="143" t="s">
        <v>75</v>
      </c>
      <c r="G175" s="143"/>
      <c r="H175" s="143">
        <v>2</v>
      </c>
      <c r="I175" s="130"/>
      <c r="J175" s="131">
        <f t="shared" si="30"/>
        <v>2</v>
      </c>
      <c r="N175" s="101" t="s">
        <v>230</v>
      </c>
      <c r="O175" s="280" t="s">
        <v>253</v>
      </c>
      <c r="P175" s="290" t="s">
        <v>249</v>
      </c>
      <c r="Q175" s="280" t="s">
        <v>188</v>
      </c>
      <c r="R175" s="213"/>
      <c r="S175" s="213" t="s">
        <v>188</v>
      </c>
      <c r="T175" s="213" t="s">
        <v>198</v>
      </c>
      <c r="U175" s="291">
        <f>((($I$141*$G$141)+($I$142*$G$142)+($I$143*$G$143)+($I$144*$G$144)+($I$145*$G$145))/1000)*$J$120</f>
        <v>28.303999999999998</v>
      </c>
      <c r="V175" s="291">
        <v>100</v>
      </c>
      <c r="W175" s="292">
        <f t="shared" ref="W175:W177" si="31">ROUNDUP((U175)/100,0)</f>
        <v>1</v>
      </c>
    </row>
    <row r="176" spans="1:23" s="1" customFormat="1" ht="18" customHeight="1">
      <c r="A176" s="201">
        <f t="shared" ref="A176:A204" si="32">IF(B176="","",+A175+1)</f>
        <v>3</v>
      </c>
      <c r="B176" s="140" t="s">
        <v>107</v>
      </c>
      <c r="C176" s="140" t="s">
        <v>504</v>
      </c>
      <c r="D176" s="139" t="s">
        <v>76</v>
      </c>
      <c r="E176" s="143"/>
      <c r="F176" s="143" t="s">
        <v>76</v>
      </c>
      <c r="G176" s="143"/>
      <c r="H176" s="143">
        <v>2</v>
      </c>
      <c r="I176" s="130"/>
      <c r="J176" s="131">
        <f t="shared" si="30"/>
        <v>2</v>
      </c>
      <c r="N176" s="101" t="s">
        <v>229</v>
      </c>
      <c r="O176" s="290" t="s">
        <v>254</v>
      </c>
      <c r="P176" s="290" t="s">
        <v>250</v>
      </c>
      <c r="Q176" s="280" t="s">
        <v>70</v>
      </c>
      <c r="R176" s="213"/>
      <c r="S176" s="213" t="s">
        <v>70</v>
      </c>
      <c r="T176" s="213" t="s">
        <v>198</v>
      </c>
      <c r="U176" s="291">
        <f>((($I$141*$G$141)+($I$142*$G$142)+($I$143*$G$143)+($I$144*$G$144)+($I$145*$G$145))/1000)*$J$120</f>
        <v>28.303999999999998</v>
      </c>
      <c r="V176" s="291">
        <v>100</v>
      </c>
      <c r="W176" s="292">
        <f t="shared" si="31"/>
        <v>1</v>
      </c>
    </row>
    <row r="177" spans="1:23" s="1" customFormat="1" ht="18" customHeight="1">
      <c r="A177" s="201">
        <f t="shared" si="32"/>
        <v>4</v>
      </c>
      <c r="B177" s="140" t="s">
        <v>108</v>
      </c>
      <c r="C177" s="140" t="s">
        <v>10</v>
      </c>
      <c r="D177" s="139">
        <v>9</v>
      </c>
      <c r="E177" s="143"/>
      <c r="F177" s="143">
        <v>9</v>
      </c>
      <c r="G177" s="143"/>
      <c r="H177" s="143">
        <v>8</v>
      </c>
      <c r="I177" s="130"/>
      <c r="J177" s="131">
        <f t="shared" si="30"/>
        <v>8</v>
      </c>
      <c r="N177" s="101" t="s">
        <v>231</v>
      </c>
      <c r="O177" s="290" t="s">
        <v>255</v>
      </c>
      <c r="P177" s="290" t="s">
        <v>251</v>
      </c>
      <c r="Q177" s="280" t="s">
        <v>189</v>
      </c>
      <c r="R177" s="213"/>
      <c r="S177" s="213" t="s">
        <v>189</v>
      </c>
      <c r="T177" s="213" t="s">
        <v>198</v>
      </c>
      <c r="U177" s="291">
        <f>((($I$141*$G$141)+($I$142*$G$142)+($I$143*$G$143)+($I$144*$G$144)+($I$145*$G$145))/1000)*$J$120</f>
        <v>28.303999999999998</v>
      </c>
      <c r="V177" s="291">
        <v>100</v>
      </c>
      <c r="W177" s="292">
        <f t="shared" si="31"/>
        <v>1</v>
      </c>
    </row>
    <row r="178" spans="1:23" s="1" customFormat="1" ht="18" customHeight="1">
      <c r="A178" s="201">
        <f t="shared" si="32"/>
        <v>5</v>
      </c>
      <c r="B178" s="140" t="s">
        <v>109</v>
      </c>
      <c r="C178" s="140" t="s">
        <v>68</v>
      </c>
      <c r="D178" s="139">
        <v>9</v>
      </c>
      <c r="E178" s="143"/>
      <c r="F178" s="143">
        <v>9</v>
      </c>
      <c r="G178" s="143"/>
      <c r="H178" s="143">
        <v>110</v>
      </c>
      <c r="I178" s="130"/>
      <c r="J178" s="131">
        <f t="shared" si="30"/>
        <v>110</v>
      </c>
      <c r="N178" s="101" t="s">
        <v>232</v>
      </c>
      <c r="O178" s="290" t="s">
        <v>256</v>
      </c>
      <c r="P178" s="290" t="s">
        <v>247</v>
      </c>
      <c r="Q178" s="280" t="s">
        <v>233</v>
      </c>
      <c r="R178" s="213"/>
      <c r="S178" s="213" t="s">
        <v>233</v>
      </c>
      <c r="T178" s="213" t="s">
        <v>198</v>
      </c>
      <c r="U178" s="291">
        <f>((($I$141*$G$141)+($I$142*$G$142)+($I$143*$G$143)+($I$144*$G$144)+($I$145*$G$145))/1000)*$J$120</f>
        <v>28.303999999999998</v>
      </c>
      <c r="V178" s="291">
        <v>100</v>
      </c>
      <c r="W178" s="292">
        <f>ROUNDUP((U178)/100,0)</f>
        <v>1</v>
      </c>
    </row>
    <row r="179" spans="1:23" s="1" customFormat="1" ht="18" customHeight="1">
      <c r="A179" s="201">
        <f t="shared" si="32"/>
        <v>6</v>
      </c>
      <c r="B179" s="140" t="s">
        <v>118</v>
      </c>
      <c r="C179" s="140" t="s">
        <v>77</v>
      </c>
      <c r="D179" s="139" t="s">
        <v>80</v>
      </c>
      <c r="E179" s="143"/>
      <c r="F179" s="143" t="s">
        <v>80</v>
      </c>
      <c r="G179" s="143" t="s">
        <v>185</v>
      </c>
      <c r="H179" s="143">
        <v>1</v>
      </c>
      <c r="I179" s="130"/>
      <c r="J179" s="131">
        <f t="shared" si="30"/>
        <v>1</v>
      </c>
    </row>
    <row r="180" spans="1:23" s="1" customFormat="1" ht="18" customHeight="1">
      <c r="A180" s="201">
        <f t="shared" si="32"/>
        <v>7</v>
      </c>
      <c r="B180" s="140" t="s">
        <v>120</v>
      </c>
      <c r="C180" s="140" t="s">
        <v>94</v>
      </c>
      <c r="D180" s="139" t="s">
        <v>96</v>
      </c>
      <c r="E180" s="143"/>
      <c r="F180" s="143" t="s">
        <v>96</v>
      </c>
      <c r="G180" s="143" t="s">
        <v>185</v>
      </c>
      <c r="H180" s="143">
        <v>1</v>
      </c>
      <c r="I180" s="130"/>
      <c r="J180" s="131">
        <f t="shared" si="30"/>
        <v>1</v>
      </c>
    </row>
    <row r="181" spans="1:23" s="1" customFormat="1" ht="18" customHeight="1">
      <c r="A181" s="201">
        <f t="shared" si="32"/>
        <v>8</v>
      </c>
      <c r="B181" s="140" t="s">
        <v>131</v>
      </c>
      <c r="C181" s="140" t="s">
        <v>100</v>
      </c>
      <c r="D181" s="139" t="s">
        <v>102</v>
      </c>
      <c r="E181" s="143"/>
      <c r="F181" s="143" t="s">
        <v>102</v>
      </c>
      <c r="G181" s="143" t="s">
        <v>185</v>
      </c>
      <c r="H181" s="143">
        <v>1</v>
      </c>
      <c r="I181" s="130"/>
      <c r="J181" s="131">
        <f t="shared" si="30"/>
        <v>1</v>
      </c>
    </row>
    <row r="182" spans="1:23" s="1" customFormat="1" ht="18" customHeight="1">
      <c r="A182" s="201">
        <f t="shared" si="32"/>
        <v>9</v>
      </c>
      <c r="B182" s="140" t="s">
        <v>143</v>
      </c>
      <c r="C182" s="140" t="s">
        <v>121</v>
      </c>
      <c r="D182" s="139" t="s">
        <v>103</v>
      </c>
      <c r="E182" s="143"/>
      <c r="F182" s="143" t="s">
        <v>103</v>
      </c>
      <c r="G182" s="143" t="s">
        <v>185</v>
      </c>
      <c r="H182" s="143">
        <v>2</v>
      </c>
      <c r="I182" s="144"/>
      <c r="J182" s="131">
        <f t="shared" si="30"/>
        <v>2</v>
      </c>
    </row>
    <row r="183" spans="1:23" s="1" customFormat="1" ht="18" customHeight="1">
      <c r="A183" s="201">
        <f t="shared" si="32"/>
        <v>10</v>
      </c>
      <c r="B183" s="140" t="s">
        <v>119</v>
      </c>
      <c r="C183" s="140" t="s">
        <v>95</v>
      </c>
      <c r="D183" s="139" t="s">
        <v>97</v>
      </c>
      <c r="E183" s="143"/>
      <c r="F183" s="143" t="s">
        <v>97</v>
      </c>
      <c r="G183" s="143" t="s">
        <v>185</v>
      </c>
      <c r="H183" s="143">
        <v>1</v>
      </c>
      <c r="I183" s="130"/>
      <c r="J183" s="131">
        <f t="shared" si="30"/>
        <v>1</v>
      </c>
      <c r="N183" s="56"/>
      <c r="O183" s="56"/>
      <c r="P183" s="56"/>
      <c r="Q183" s="289"/>
      <c r="R183" s="289"/>
      <c r="S183" s="289"/>
      <c r="T183" s="17"/>
      <c r="U183" s="17"/>
      <c r="V183" s="17"/>
      <c r="W183" s="56"/>
    </row>
    <row r="184" spans="1:23" s="1" customFormat="1" ht="18" customHeight="1">
      <c r="A184" s="201">
        <f t="shared" si="32"/>
        <v>11</v>
      </c>
      <c r="B184" s="140" t="s">
        <v>113</v>
      </c>
      <c r="C184" s="140" t="s">
        <v>502</v>
      </c>
      <c r="D184" s="139" t="s">
        <v>83</v>
      </c>
      <c r="E184" s="143"/>
      <c r="F184" s="143" t="s">
        <v>83</v>
      </c>
      <c r="G184" s="143" t="s">
        <v>185</v>
      </c>
      <c r="H184" s="143">
        <v>2</v>
      </c>
      <c r="I184" s="144"/>
      <c r="J184" s="131">
        <f t="shared" si="30"/>
        <v>2</v>
      </c>
      <c r="N184" s="101" t="s">
        <v>227</v>
      </c>
      <c r="O184" s="246" t="s">
        <v>29</v>
      </c>
      <c r="P184" s="246" t="s">
        <v>3</v>
      </c>
      <c r="Q184" s="246" t="s">
        <v>199</v>
      </c>
      <c r="R184" s="246" t="s">
        <v>5</v>
      </c>
      <c r="S184" s="246" t="s">
        <v>28</v>
      </c>
      <c r="T184" s="246" t="s">
        <v>19</v>
      </c>
      <c r="U184" s="246" t="s">
        <v>200</v>
      </c>
      <c r="V184" s="246" t="s">
        <v>20</v>
      </c>
      <c r="W184" s="246" t="s">
        <v>201</v>
      </c>
    </row>
    <row r="185" spans="1:23" s="1" customFormat="1" ht="18" customHeight="1">
      <c r="A185" s="201">
        <f t="shared" si="32"/>
        <v>12</v>
      </c>
      <c r="B185" s="140" t="s">
        <v>122</v>
      </c>
      <c r="C185" s="140" t="s">
        <v>101</v>
      </c>
      <c r="D185" s="139" t="s">
        <v>104</v>
      </c>
      <c r="E185" s="143"/>
      <c r="F185" s="143" t="s">
        <v>104</v>
      </c>
      <c r="G185" s="143" t="s">
        <v>185</v>
      </c>
      <c r="H185" s="143">
        <v>1</v>
      </c>
      <c r="I185" s="144"/>
      <c r="J185" s="131">
        <f t="shared" si="30"/>
        <v>1</v>
      </c>
      <c r="N185" s="101" t="s">
        <v>240</v>
      </c>
      <c r="O185" s="290" t="s">
        <v>234</v>
      </c>
      <c r="P185" s="290" t="s">
        <v>236</v>
      </c>
      <c r="Q185" s="280" t="s">
        <v>190</v>
      </c>
      <c r="R185" s="213"/>
      <c r="S185" s="213" t="s">
        <v>190</v>
      </c>
      <c r="T185" s="213" t="s">
        <v>198</v>
      </c>
      <c r="U185" s="291">
        <f>((($I$134*$G$134)+($I$136*$G$136)+($I$139*$G$139))/1000)*$J$120</f>
        <v>8.6579999999999995</v>
      </c>
      <c r="V185" s="291">
        <v>300</v>
      </c>
      <c r="W185" s="292">
        <f>ROUNDUP((U185)/V185,0)</f>
        <v>1</v>
      </c>
    </row>
    <row r="186" spans="1:23" s="1" customFormat="1" ht="18" customHeight="1">
      <c r="A186" s="201">
        <f t="shared" si="32"/>
        <v>13</v>
      </c>
      <c r="B186" s="140" t="s">
        <v>112</v>
      </c>
      <c r="C186" s="140" t="s">
        <v>114</v>
      </c>
      <c r="D186" s="128" t="s">
        <v>520</v>
      </c>
      <c r="E186" s="129"/>
      <c r="F186" s="129" t="s">
        <v>520</v>
      </c>
      <c r="G186" s="143" t="s">
        <v>202</v>
      </c>
      <c r="H186" s="143">
        <v>4</v>
      </c>
      <c r="I186" s="144"/>
      <c r="J186" s="131">
        <f t="shared" si="30"/>
        <v>4</v>
      </c>
      <c r="N186" s="101" t="s">
        <v>241</v>
      </c>
      <c r="O186" s="290" t="s">
        <v>235</v>
      </c>
      <c r="P186" s="290" t="s">
        <v>238</v>
      </c>
      <c r="Q186" s="280" t="s">
        <v>71</v>
      </c>
      <c r="R186" s="213"/>
      <c r="S186" s="213" t="s">
        <v>71</v>
      </c>
      <c r="T186" s="213" t="s">
        <v>198</v>
      </c>
      <c r="U186" s="291">
        <f>((($I$134*$G$134)+($I$136*$G$136)+($I$139*$G$139))/1000)*$J$120</f>
        <v>8.6579999999999995</v>
      </c>
      <c r="V186" s="291">
        <v>100</v>
      </c>
      <c r="W186" s="292">
        <f t="shared" ref="W186:W188" si="33">ROUNDUP((U186)/V186,0)</f>
        <v>1</v>
      </c>
    </row>
    <row r="187" spans="1:23" s="1" customFormat="1" ht="18" customHeight="1">
      <c r="A187" s="201">
        <f t="shared" si="32"/>
        <v>14</v>
      </c>
      <c r="B187" s="140" t="s">
        <v>115</v>
      </c>
      <c r="C187" s="140" t="s">
        <v>45</v>
      </c>
      <c r="D187" s="139" t="s">
        <v>84</v>
      </c>
      <c r="E187" s="143"/>
      <c r="F187" s="143" t="s">
        <v>84</v>
      </c>
      <c r="G187" s="143" t="s">
        <v>202</v>
      </c>
      <c r="H187" s="143">
        <v>1</v>
      </c>
      <c r="I187" s="130"/>
      <c r="J187" s="131">
        <f t="shared" si="30"/>
        <v>1</v>
      </c>
      <c r="N187" s="101" t="s">
        <v>240</v>
      </c>
      <c r="O187" s="290" t="s">
        <v>245</v>
      </c>
      <c r="P187" s="290" t="s">
        <v>237</v>
      </c>
      <c r="Q187" s="280" t="s">
        <v>72</v>
      </c>
      <c r="R187" s="213"/>
      <c r="S187" s="213" t="s">
        <v>72</v>
      </c>
      <c r="T187" s="213" t="s">
        <v>198</v>
      </c>
      <c r="U187" s="291">
        <f>((($I$141*$G$141*2)+($I$143*$G$143*2)+($I$145*$G$145*2))/1000)*$J$120</f>
        <v>42.152000000000001</v>
      </c>
      <c r="V187" s="291">
        <v>350</v>
      </c>
      <c r="W187" s="292">
        <f t="shared" si="33"/>
        <v>1</v>
      </c>
    </row>
    <row r="188" spans="1:23" s="1" customFormat="1" ht="18" customHeight="1">
      <c r="A188" s="201">
        <f t="shared" si="32"/>
        <v>15</v>
      </c>
      <c r="B188" s="140" t="s">
        <v>110</v>
      </c>
      <c r="C188" s="140" t="s">
        <v>66</v>
      </c>
      <c r="D188" s="139" t="s">
        <v>73</v>
      </c>
      <c r="E188" s="143"/>
      <c r="F188" s="143" t="s">
        <v>73</v>
      </c>
      <c r="G188" s="143" t="s">
        <v>202</v>
      </c>
      <c r="H188" s="143">
        <v>2</v>
      </c>
      <c r="I188" s="130"/>
      <c r="J188" s="131">
        <f t="shared" si="30"/>
        <v>2</v>
      </c>
      <c r="N188" s="101" t="s">
        <v>241</v>
      </c>
      <c r="O188" s="290" t="s">
        <v>246</v>
      </c>
      <c r="P188" s="290" t="s">
        <v>239</v>
      </c>
      <c r="Q188" s="280" t="s">
        <v>193</v>
      </c>
      <c r="R188" s="213"/>
      <c r="S188" s="213" t="s">
        <v>193</v>
      </c>
      <c r="T188" s="213" t="s">
        <v>198</v>
      </c>
      <c r="U188" s="291">
        <f>((($I$141*$G$141*2)+($I$143*$G$143*2)+($I$145*$G$145*2))/1000)*$J$120</f>
        <v>42.152000000000001</v>
      </c>
      <c r="V188" s="291">
        <v>100</v>
      </c>
      <c r="W188" s="292">
        <f t="shared" si="33"/>
        <v>1</v>
      </c>
    </row>
    <row r="189" spans="1:23" s="1" customFormat="1" ht="18" customHeight="1">
      <c r="A189" s="201">
        <f t="shared" si="32"/>
        <v>16</v>
      </c>
      <c r="B189" s="140" t="s">
        <v>512</v>
      </c>
      <c r="C189" s="140" t="s">
        <v>135</v>
      </c>
      <c r="D189" s="139" t="s">
        <v>137</v>
      </c>
      <c r="E189" s="143"/>
      <c r="F189" s="143" t="s">
        <v>137</v>
      </c>
      <c r="G189" s="143" t="s">
        <v>198</v>
      </c>
      <c r="H189" s="261">
        <f>((($I$148*$G$148)+($I$149*$G$149))/1000)*$J$120</f>
        <v>4.6159999999999997</v>
      </c>
      <c r="I189" s="258">
        <v>100</v>
      </c>
      <c r="J189" s="267">
        <f>ROUNDUP((H189)/100,0)</f>
        <v>1</v>
      </c>
    </row>
    <row r="190" spans="1:23" s="1" customFormat="1" ht="18" customHeight="1">
      <c r="A190" s="201">
        <f t="shared" si="32"/>
        <v>17</v>
      </c>
      <c r="B190" s="140" t="s">
        <v>513</v>
      </c>
      <c r="C190" s="140" t="s">
        <v>136</v>
      </c>
      <c r="D190" s="139" t="s">
        <v>138</v>
      </c>
      <c r="E190" s="143"/>
      <c r="F190" s="143" t="s">
        <v>138</v>
      </c>
      <c r="G190" s="143" t="s">
        <v>198</v>
      </c>
      <c r="H190" s="261">
        <f>((($I$144*$G$144)+($I$145*$G$145))/1000)*$J$120</f>
        <v>6.9240000000000004</v>
      </c>
      <c r="I190" s="258">
        <v>100</v>
      </c>
      <c r="J190" s="267">
        <f>ROUNDUP((H190)/100,0)</f>
        <v>1</v>
      </c>
    </row>
    <row r="191" spans="1:23" s="1" customFormat="1" ht="18" customHeight="1">
      <c r="A191" s="201">
        <f t="shared" si="32"/>
        <v>18</v>
      </c>
      <c r="B191" s="139" t="str">
        <f>IF($D$129="Standard",$O$185,IF($D$129="Soumdproof",$O$186,))</f>
        <v>ยางเฟรมกันน้ำ (ธรรมดา)</v>
      </c>
      <c r="C191" s="139" t="str">
        <f>IF($D$129="Standard",$P$185,IF($D$129="Soumdproof",$P$186,))</f>
        <v>FRAME SEAL (Standard)</v>
      </c>
      <c r="D191" s="139" t="str">
        <f>IF($D$129="Standard",$Q$185,IF($D$129="Soumdproof",$Q$186,))</f>
        <v>02-026</v>
      </c>
      <c r="E191" s="143">
        <f>IF($D$129="Standard",R188,IF($D$129="Soumdproof",R189,))</f>
        <v>0</v>
      </c>
      <c r="F191" s="143" t="str">
        <f>IF($D$129="Standard",$S$185,IF($D$129="Soumdproof",$S$186,))</f>
        <v>02-026</v>
      </c>
      <c r="G191" s="143" t="str">
        <f>IF($D$129="Standard",$T$185,IF($D$129="Soumdproof",$T$186,))</f>
        <v>M</v>
      </c>
      <c r="H191" s="261">
        <f>IF($D$129="Standard",$U$185,IF($D$129="Soumdproof",$U$186,))</f>
        <v>8.6579999999999995</v>
      </c>
      <c r="I191" s="258">
        <f>IF($D$129="Standard",$V$185,IF($D$129="Soumdproof",$V$186,))</f>
        <v>300</v>
      </c>
      <c r="J191" s="267">
        <f>ROUNDUP((H191)/100,0)</f>
        <v>1</v>
      </c>
    </row>
    <row r="192" spans="1:23" s="1" customFormat="1" ht="18" customHeight="1">
      <c r="A192" s="201">
        <f t="shared" si="32"/>
        <v>19</v>
      </c>
      <c r="B192" s="139" t="str">
        <f>IF($D$129="Standard",$O$187,IF($D$129="Soumdproof",$O$188,))</f>
        <v>ยางแซชกันน้ำ (ธรรมดา)</v>
      </c>
      <c r="C192" s="139" t="str">
        <f>IF($D$129="Standard",$P$187,IF($D$129="Soumdproof",$P$188,))</f>
        <v>SASH SEAL FOAM (Standard)</v>
      </c>
      <c r="D192" s="139" t="str">
        <f>IF($D$129="Standard",$Q$187,IF($D$129="Soumdproof",$Q$188,))</f>
        <v>02-031</v>
      </c>
      <c r="E192" s="143">
        <f>IF($D$129="Standard",R190,IF($D$129="Soumdproof",R191,))</f>
        <v>0</v>
      </c>
      <c r="F192" s="143" t="str">
        <f>IF($D$129="Standard",$S$187,IF($D$129="Soumdproof",$S$188,))</f>
        <v>02-031</v>
      </c>
      <c r="G192" s="143" t="str">
        <f>IF($D$129="Standard",$T$187,IF($D$129="Soumdproof",$T$188,))</f>
        <v>M</v>
      </c>
      <c r="H192" s="261">
        <f>IF($D$129="Standard",$U$187,IF($D$129="Soumdproof",$U$188,))</f>
        <v>42.152000000000001</v>
      </c>
      <c r="I192" s="258">
        <f>IF($D$129="Standard",$V$187,IF($D$129="Soumdproof",$V$188,))</f>
        <v>350</v>
      </c>
      <c r="J192" s="267">
        <f t="shared" ref="J192:J194" si="34">ROUNDUP((H192)/100,0)</f>
        <v>1</v>
      </c>
    </row>
    <row r="193" spans="1:24" s="1" customFormat="1" ht="18" customHeight="1">
      <c r="A193" s="201">
        <f t="shared" si="32"/>
        <v>20</v>
      </c>
      <c r="B193" s="241" t="str">
        <f>IF($D$127=5,$O$176,IF($D$127=6,$O$177,IF($D$127=8,$O$178,IF($D$127=10,$O$176,IF($D$127=12,$O$176,IF($D$127=14,$O$178,IF($D$127=18,$O$176,IF($D$127=20,$O$177,IF($D$127=22,"")))))))))</f>
        <v>5,8,10,12,18 mmยางอัดกระจก</v>
      </c>
      <c r="C193" s="241" t="str">
        <f>IF($D$127=5,$P$176,IF($D$127=6,$P$177,IF($D$127=8,$P$178,IF($D$127=10,$P$176,IF($D$127=12,$P$176,IF($D$127=14,$P$178,IF($D$127=18,$P$176,IF($D$127=20,$P$177,IF($D$127=22,"")))))))))</f>
        <v>5,8,10,12,18 mm ROLL IN WEDGE</v>
      </c>
      <c r="D193" s="241" t="str">
        <f>IF($D$127=5,$Q$176,IF($D$127=6,$Q$177,IF($D$127=8,$Q$178,IF($D$127=10,$Q$176,IF($D$127=12,$Q$176,IF($D$127=14,$Q$178,IF($D$127=18,$Q$176,IF($D$127=20,$Q$177,IF($D$127=22,"")))))))))</f>
        <v>02-033</v>
      </c>
      <c r="E193" s="241">
        <f>IF($D$127=5,R179,IF($D$127=6,R180,IF($D$127=8,R181,IF($D$127=10,R179,IF($D$127=12,R179,IF($D$127=14,R181,IF($D$127=18,R179,IF($D$127=20,R180,IF($D$127=22,"",)))))))))</f>
        <v>0</v>
      </c>
      <c r="F193" s="242" t="str">
        <f>IF($D$127=5,$S$176,IF($D$127=6,$S$177,IF($D$127=8,$S$178,IF($D$127=10,$S$176,IF($D$127=12,$S$176,IF($D$127=14,$S$178,IF($D$127=18,$S$176,IF($D$127=20,$S$177,IF($D$127=22,"")))))))))</f>
        <v>02-033</v>
      </c>
      <c r="G193" s="242" t="str">
        <f>IF($D$127=5,$T$176,IF($D$127=6,$T$177,IF($D$127=8,$T$178,IF($D$127=10,$T$176,IF($D$127=12,$T$176,IF($D$127=14,$T$178,IF($D$127=18,$T$176,IF($D$127=20,$T$177,IF($D$127=22,"")))))))))</f>
        <v>M</v>
      </c>
      <c r="H193" s="261">
        <f>IF($D$127=5,$U$176,IF($D$127=6,$U$177,IF($D$127=8,$U$178,IF($D$127=10,$U$176*2,IF($D$127=12,$U$176,IF($D$127=14,$U$178*2,IF($D$127=18,$U$176,IF($D$127=20,$U$177,IF($D$127=22,"")))))))))</f>
        <v>28.303999999999998</v>
      </c>
      <c r="I193" s="258">
        <f>IF($D$127=5,$V$176,IF($D$127=6,$V$177,IF($D$127=8,$V$178,IF($D$127=10,$V$176,IF($D$127=12,$V$176,IF($D$127=14,$V$178,IF($D$127=18,$V$176,IF($D$127=20,$V$177,IF($D$127=22,"")))))))))</f>
        <v>100</v>
      </c>
      <c r="J193" s="267">
        <f t="shared" si="34"/>
        <v>1</v>
      </c>
    </row>
    <row r="194" spans="1:24" ht="18" customHeight="1">
      <c r="A194" s="201">
        <f t="shared" si="32"/>
        <v>21</v>
      </c>
      <c r="B194" s="241" t="str">
        <f>IF($D$127=5,$O$174,IF($D$127=6,$O$174,IF($D$127=8,$O$176,IF($D$127=10,"",IF($D$127=12,$O$175,IF($D$127=14,"",IF($D$127=18,$O$174,IF($D$127=20,$O$175,IF($D$127=22,"",)))))))))</f>
        <v>5,6,18 mm ยางรองกระจก</v>
      </c>
      <c r="C194" s="241" t="str">
        <f>IF($D$127=5,$P$174,IF($D$127=6,$P$174,IF($D$127=8,$P$176,IF($D$127=10,"",IF($D$127=12,$P$175,IF($D$127=14,"",IF($D$127=18,$P$174,IF($D$127=20,$P$175,IF($D$127=22,"",)))))))))</f>
        <v>5,6,18 mm CAPTIVE WEDGE</v>
      </c>
      <c r="D194" s="241" t="str">
        <f>IF($D$127=5,$Q$174,IF($D$127=6,$Q$174,IF($D$127=8,$Q$176,IF($D$127=10,"",IF($D$127=12,$Q$175,IF($D$127=14,"",IF($D$127=18,$Q$174,IF($D$127=20,$Q$175,IF($D$127=22,"",)))))))))</f>
        <v>02-022</v>
      </c>
      <c r="E194" s="241">
        <f>IF($D$127=5,R177,IF($D$127=6,R177,IF($D$127=8,R179,IF($D$127=10,"",IF($D$127=12,R178,IF($D$127=14,"",IF($D$127=18,R177,IF($D$127=20,R178,IF($D$127=22,"",)))))))))</f>
        <v>0</v>
      </c>
      <c r="F194" s="242" t="str">
        <f>IF($D$127=5,$S$174,IF($D$127=6,$S$174,IF($D$127=8,$S$176,IF($D$127=10,"",IF($D$127=12,$S$175,IF($D$127=14,"",IF($D$127=18,$S$174,IF($D$127=20,$S$175,IF($D$127=22,"",)))))))))</f>
        <v>02-022</v>
      </c>
      <c r="G194" s="242" t="str">
        <f>IF($D$127=5,$T$174,IF($D$127=6,$T$174,IF($D$127=8,$T$176,IF($D$127=10,"",IF($D$127=12,$T$175,IF($D$127=14,"",IF($D$127=18,$T$174,IF($D$127=20,$T$175,IF($D$127=22,"",)))))))))</f>
        <v>M</v>
      </c>
      <c r="H194" s="261">
        <f>IF($D$127=5,$U$174,IF($D$127=6,$U$174,IF($D$127=8,$U$176,IF($D$127=10,"",IF($D$127=12,$U$175,IF($D$127=14,"",IF($D$127=18,$U$174,IF($D$127=20,$U$175,IF($D$127=22,"")))))))))</f>
        <v>28.303999999999998</v>
      </c>
      <c r="I194" s="258">
        <f>IF($D$127=5,$V$174,IF($D$127=6,$V$174,IF($D$127=8,$V$176,IF($D$127=10,"",IF($D$127=12,$V$175,IF($D$127=14,"",IF($D$127=18,$V$174,IF($D$127=20,$V$175,IF($D$127=22,"",)))))))))</f>
        <v>100</v>
      </c>
      <c r="J194" s="267">
        <f t="shared" si="34"/>
        <v>1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s="1" customFormat="1" ht="18" customHeight="1">
      <c r="A195" s="201" t="str">
        <f t="shared" si="32"/>
        <v/>
      </c>
      <c r="B195" s="140"/>
      <c r="C195" s="140"/>
      <c r="D195" s="139"/>
      <c r="E195" s="143"/>
      <c r="F195" s="143"/>
      <c r="G195" s="143"/>
      <c r="H195" s="143"/>
      <c r="I195" s="130"/>
      <c r="J195" s="131">
        <f t="shared" si="30"/>
        <v>0</v>
      </c>
    </row>
    <row r="196" spans="1:24" s="1" customFormat="1" ht="18" customHeight="1">
      <c r="A196" s="201" t="str">
        <f t="shared" si="32"/>
        <v/>
      </c>
      <c r="B196" s="140"/>
      <c r="C196" s="140"/>
      <c r="D196" s="139"/>
      <c r="E196" s="143"/>
      <c r="F196" s="143"/>
      <c r="G196" s="143"/>
      <c r="H196" s="143"/>
      <c r="I196" s="130"/>
      <c r="J196" s="131">
        <f t="shared" ref="J196" si="35">$J$120*G196</f>
        <v>0</v>
      </c>
    </row>
    <row r="197" spans="1:24" s="1" customFormat="1" ht="18" customHeight="1">
      <c r="A197" s="201" t="str">
        <f t="shared" si="32"/>
        <v/>
      </c>
      <c r="B197" s="140"/>
      <c r="C197" s="140"/>
      <c r="D197" s="139"/>
      <c r="E197" s="143"/>
      <c r="F197" s="143"/>
      <c r="G197" s="143"/>
      <c r="H197" s="143"/>
      <c r="I197" s="130"/>
      <c r="J197" s="131">
        <f t="shared" ref="J197:J205" si="36">$J$120*G197</f>
        <v>0</v>
      </c>
    </row>
    <row r="198" spans="1:24" s="1" customFormat="1" ht="18" customHeight="1">
      <c r="A198" s="201" t="str">
        <f t="shared" si="32"/>
        <v/>
      </c>
      <c r="B198" s="140"/>
      <c r="C198" s="140"/>
      <c r="D198" s="139"/>
      <c r="E198" s="143"/>
      <c r="F198" s="143"/>
      <c r="G198" s="143"/>
      <c r="H198" s="143"/>
      <c r="I198" s="130"/>
      <c r="J198" s="131">
        <f t="shared" si="36"/>
        <v>0</v>
      </c>
    </row>
    <row r="199" spans="1:24" s="1" customFormat="1" ht="18" customHeight="1">
      <c r="A199" s="201" t="str">
        <f t="shared" si="32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 t="shared" si="36"/>
        <v>0</v>
      </c>
    </row>
    <row r="200" spans="1:24" s="1" customFormat="1" ht="18" customHeight="1">
      <c r="A200" s="201" t="str">
        <f t="shared" si="32"/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si="36"/>
        <v>0</v>
      </c>
    </row>
    <row r="201" spans="1:24" s="1" customFormat="1" ht="18" customHeight="1">
      <c r="A201" s="201" t="str">
        <f t="shared" si="32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si="36"/>
        <v>0</v>
      </c>
    </row>
    <row r="202" spans="1:24" s="1" customFormat="1" ht="18" customHeight="1">
      <c r="A202" s="201" t="str">
        <f t="shared" si="32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si="36"/>
        <v>0</v>
      </c>
    </row>
    <row r="203" spans="1:24" s="1" customFormat="1" ht="18" customHeight="1">
      <c r="A203" s="201" t="str">
        <f t="shared" si="32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si="36"/>
        <v>0</v>
      </c>
    </row>
    <row r="204" spans="1:24" s="1" customFormat="1" ht="18" customHeight="1">
      <c r="A204" s="201" t="str">
        <f t="shared" si="32"/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 t="shared" si="36"/>
        <v>0</v>
      </c>
    </row>
    <row r="205" spans="1:24" s="1" customFormat="1" ht="18" customHeight="1">
      <c r="A205" s="317" t="str">
        <f>IF(B205="","",+#REF!+1)</f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 t="shared" si="36"/>
        <v>0</v>
      </c>
    </row>
    <row r="206" spans="1:24" s="1" customFormat="1" ht="18" customHeight="1">
      <c r="A206" s="27"/>
      <c r="B206" s="33"/>
      <c r="C206" s="33"/>
      <c r="D206" s="161"/>
      <c r="E206" s="109"/>
      <c r="F206" s="109"/>
      <c r="G206" s="109"/>
      <c r="H206" s="109"/>
      <c r="I206" s="24"/>
      <c r="J206" s="318"/>
    </row>
    <row r="207" spans="1:24" ht="18" customHeight="1">
      <c r="A207" s="17"/>
      <c r="J207" s="99" t="str">
        <f>LEFT($J$111,13)&amp;"-02"</f>
        <v>FG-240-5P1L4R-02</v>
      </c>
    </row>
    <row r="208" spans="1:24" ht="12.75" customHeight="1">
      <c r="B208" s="56"/>
      <c r="C208" s="56"/>
      <c r="D208" s="30"/>
      <c r="E208" s="17"/>
      <c r="F208" s="17"/>
      <c r="G208" s="17"/>
      <c r="H208" s="17"/>
      <c r="K208" s="7"/>
      <c r="L208" s="7"/>
      <c r="M208" s="2"/>
      <c r="N208" s="2"/>
    </row>
    <row r="209" spans="1:14" ht="30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197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197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/>
      <c r="C215"/>
      <c r="D215" s="81"/>
      <c r="E215"/>
      <c r="F215"/>
      <c r="G215"/>
      <c r="H215"/>
      <c r="I215" s="160"/>
      <c r="J215" s="116"/>
    </row>
    <row r="216" spans="1:14" s="1" customFormat="1" ht="15" customHeight="1">
      <c r="A216" s="17"/>
      <c r="B216" s="93"/>
      <c r="C216" s="56"/>
      <c r="D216" s="30"/>
      <c r="E216" s="29"/>
      <c r="F216" s="160"/>
      <c r="G216" s="160"/>
      <c r="H216" s="16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s="1" customFormat="1" ht="15.6">
      <c r="A218" s="109"/>
      <c r="B218" s="33"/>
      <c r="C218" s="327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368</v>
      </c>
      <c r="D220" s="30"/>
      <c r="E220" s="29"/>
      <c r="F220" s="30"/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89"/>
      <c r="J221" s="12"/>
    </row>
    <row r="222" spans="1:14" s="1" customFormat="1" ht="15" customHeight="1">
      <c r="A222" s="109"/>
      <c r="B222" s="33"/>
      <c r="C222" s="327" t="s">
        <v>273</v>
      </c>
      <c r="D222" s="161"/>
      <c r="E222" s="109"/>
      <c r="F222" s="161"/>
      <c r="J222" s="12"/>
    </row>
    <row r="223" spans="1:14" s="1" customFormat="1" ht="15" customHeight="1">
      <c r="A223" s="109"/>
      <c r="B223" s="33"/>
      <c r="C223" s="374">
        <f>$I$133</f>
        <v>3190</v>
      </c>
      <c r="D223" s="161"/>
      <c r="E223" s="35"/>
      <c r="F223" s="161"/>
      <c r="G223" s="68"/>
      <c r="J223" s="12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326"/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326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327"/>
      <c r="D229" s="161"/>
      <c r="E229" s="109"/>
      <c r="F229" s="161"/>
      <c r="H229" s="109"/>
      <c r="I229" s="196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196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196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196"/>
      <c r="J232" s="117"/>
    </row>
    <row r="233" spans="1:10" s="1" customFormat="1" ht="15.9" customHeight="1">
      <c r="A233" s="44"/>
      <c r="B233" s="44"/>
      <c r="C233" s="89" t="s">
        <v>381</v>
      </c>
      <c r="D233" s="84"/>
      <c r="E233" s="44"/>
      <c r="F233" s="44"/>
      <c r="G233" s="109"/>
      <c r="H233" s="109"/>
      <c r="I233" s="196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3164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196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196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109"/>
      <c r="J242" s="24"/>
    </row>
    <row r="243" spans="1:10" s="1" customFormat="1" ht="15.9" customHeight="1">
      <c r="A243" s="109"/>
      <c r="B243" s="33"/>
      <c r="C243" s="89" t="s">
        <v>370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.9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" customHeight="1">
      <c r="A245" s="109"/>
      <c r="B245" s="33"/>
      <c r="C245" s="327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3190</v>
      </c>
      <c r="D246" s="161"/>
      <c r="E246" s="109"/>
      <c r="F246" s="161"/>
      <c r="G246" s="109"/>
      <c r="H246" s="109"/>
      <c r="I246" s="44"/>
      <c r="J246" s="119"/>
    </row>
    <row r="247" spans="1:10" s="1" customFormat="1" ht="15.9" customHeight="1">
      <c r="A247" s="109"/>
      <c r="B247" s="33"/>
      <c r="C247" s="363">
        <f>$J$135</f>
        <v>1</v>
      </c>
      <c r="D247" s="161"/>
      <c r="E247" s="109"/>
      <c r="F247" s="161"/>
      <c r="G247" s="109"/>
      <c r="H247" s="109"/>
      <c r="I247" s="32"/>
      <c r="J247" s="40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0"/>
      <c r="H251" s="109"/>
      <c r="I251" s="24"/>
      <c r="J251" s="24"/>
    </row>
    <row r="252" spans="1:10" s="1" customFormat="1" ht="15.9" customHeight="1">
      <c r="A252" s="109"/>
      <c r="B252" s="33"/>
      <c r="D252" s="161"/>
      <c r="E252" s="109"/>
      <c r="F252" s="109"/>
      <c r="G252" s="109"/>
      <c r="H252" s="109"/>
      <c r="I252" s="24"/>
      <c r="J252" s="24"/>
    </row>
    <row r="253" spans="1:10" s="1" customFormat="1" ht="15.9" customHeight="1">
      <c r="A253" s="44"/>
      <c r="B253" s="44"/>
      <c r="D253" s="84"/>
      <c r="E253" s="44"/>
      <c r="F253" s="44"/>
      <c r="G253" s="109"/>
      <c r="H253" s="109"/>
      <c r="I253" s="24"/>
      <c r="J253" s="24"/>
    </row>
    <row r="254" spans="1:10" s="1" customFormat="1" ht="15.9" customHeight="1">
      <c r="A254" s="40"/>
      <c r="B254" s="40"/>
      <c r="C254" s="89" t="s">
        <v>371</v>
      </c>
      <c r="D254" s="85"/>
      <c r="E254" s="40"/>
      <c r="F254" s="32"/>
      <c r="G254" s="109"/>
      <c r="I254" s="24"/>
      <c r="J254" s="24"/>
    </row>
    <row r="255" spans="1:10" s="1" customFormat="1" ht="15.9" customHeight="1">
      <c r="A255" s="27"/>
      <c r="B255" s="33"/>
      <c r="C255" s="328" t="s">
        <v>275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27" t="s">
        <v>273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74">
        <f>$I$136</f>
        <v>3190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63">
        <f>$J$136</f>
        <v>1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46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161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89" t="s">
        <v>380</v>
      </c>
      <c r="D264" s="161"/>
      <c r="E264" s="109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8" t="s">
        <v>379</v>
      </c>
      <c r="D265" s="328"/>
      <c r="E265" s="328"/>
      <c r="F265" s="109"/>
      <c r="G265" s="109"/>
      <c r="H265" s="109"/>
      <c r="I265" s="24"/>
      <c r="J265" s="24"/>
    </row>
    <row r="266" spans="1:10" s="1" customFormat="1" ht="15.9" customHeight="1">
      <c r="A266" s="27"/>
      <c r="B266" s="33"/>
      <c r="C266" s="327" t="s">
        <v>279</v>
      </c>
      <c r="D266" s="327"/>
      <c r="E266" s="327"/>
      <c r="F266" s="109"/>
      <c r="G266" s="109"/>
      <c r="H266" s="109"/>
      <c r="J266" s="12"/>
    </row>
    <row r="267" spans="1:10" s="1" customFormat="1" ht="15.9" customHeight="1">
      <c r="A267" s="27"/>
      <c r="B267" s="33"/>
      <c r="C267" s="374">
        <f>$I$137</f>
        <v>2400</v>
      </c>
      <c r="D267" s="161"/>
      <c r="E267" s="109"/>
      <c r="F267" s="109"/>
      <c r="G267" s="33"/>
      <c r="H267" s="33"/>
      <c r="J267" s="12"/>
    </row>
    <row r="268" spans="1:10" s="1" customFormat="1" ht="15.9" customHeight="1">
      <c r="A268" s="27"/>
      <c r="B268" s="33"/>
      <c r="C268" s="363">
        <f>$J$137+$J$138</f>
        <v>2</v>
      </c>
      <c r="D268" s="161"/>
      <c r="E268" s="10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D271" s="328"/>
      <c r="E271" s="328"/>
      <c r="F271" s="109"/>
      <c r="G271" s="109"/>
      <c r="H271" s="109"/>
      <c r="J271" s="12"/>
    </row>
    <row r="272" spans="1:10" s="1" customFormat="1" ht="15.9" customHeight="1">
      <c r="A272" s="27"/>
      <c r="D272" s="328"/>
      <c r="E272" s="328"/>
      <c r="F272" s="109"/>
      <c r="G272" s="109"/>
      <c r="H272" s="109"/>
      <c r="J272" s="12"/>
    </row>
    <row r="273" spans="1:10" s="1" customFormat="1" ht="15.9" customHeight="1">
      <c r="A273" s="27"/>
      <c r="B273" s="33"/>
      <c r="D273" s="328"/>
      <c r="E273" s="328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33"/>
      <c r="D274" s="161"/>
      <c r="E274" s="109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89" t="s">
        <v>374</v>
      </c>
      <c r="D275" s="162"/>
      <c r="E275" s="24"/>
      <c r="F275" s="109"/>
      <c r="G275" s="109"/>
      <c r="I275" s="24"/>
      <c r="J275" s="24"/>
    </row>
    <row r="276" spans="1:10" s="1" customFormat="1" ht="15.9" customHeight="1">
      <c r="A276" s="27"/>
      <c r="B276" s="33"/>
      <c r="C276" s="328" t="s">
        <v>649</v>
      </c>
      <c r="D276" s="328"/>
      <c r="E276" s="328"/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433" t="s">
        <v>650</v>
      </c>
      <c r="D277" s="327"/>
      <c r="E277" s="327"/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374">
        <f>$I$139</f>
        <v>2304</v>
      </c>
      <c r="F278" s="109"/>
      <c r="G278" s="109"/>
      <c r="I278" s="109"/>
      <c r="J278" s="24"/>
    </row>
    <row r="279" spans="1:10" s="1" customFormat="1" ht="15.9" customHeight="1">
      <c r="A279" s="27"/>
      <c r="B279" s="33"/>
      <c r="C279" s="363">
        <f>$J$139+$J$140</f>
        <v>2</v>
      </c>
      <c r="F279" s="109"/>
      <c r="G279" s="109"/>
      <c r="I279" s="109"/>
      <c r="J279" s="24"/>
    </row>
    <row r="280" spans="1:10" s="1" customFormat="1" ht="15.9" customHeight="1">
      <c r="A280" s="27"/>
      <c r="B280" s="33"/>
      <c r="F280" s="109"/>
      <c r="G280" s="109"/>
      <c r="H280" s="109"/>
      <c r="J280" s="12"/>
    </row>
    <row r="281" spans="1:10" s="1" customFormat="1" ht="15.9" customHeight="1">
      <c r="A281" s="27"/>
      <c r="B281" s="33"/>
      <c r="C281" s="33"/>
      <c r="D281" s="161"/>
      <c r="E281" s="109"/>
      <c r="F281" s="109"/>
      <c r="G281" s="109"/>
      <c r="H281" s="109"/>
      <c r="J281" s="12"/>
    </row>
    <row r="282" spans="1:10" s="1" customFormat="1" ht="15.9" customHeight="1">
      <c r="A282" s="27"/>
      <c r="B282" s="33"/>
      <c r="F282" s="109"/>
      <c r="G282" s="109"/>
      <c r="H282" s="109"/>
      <c r="J282" s="12"/>
    </row>
    <row r="283" spans="1:10" s="1" customFormat="1" ht="15.9" customHeight="1">
      <c r="A283" s="27"/>
      <c r="B283" s="33"/>
      <c r="F283" s="109"/>
      <c r="G283" s="109"/>
      <c r="H283" s="109"/>
      <c r="I283" s="162"/>
      <c r="J283" s="24"/>
    </row>
    <row r="284" spans="1:10" s="1" customFormat="1" ht="15.9" customHeight="1">
      <c r="A284" s="27"/>
      <c r="B284" s="33"/>
      <c r="C284" s="89" t="s">
        <v>375</v>
      </c>
      <c r="F284" s="109"/>
      <c r="G284" s="109"/>
      <c r="H284" s="109"/>
      <c r="I284" s="109"/>
      <c r="J284" s="24"/>
    </row>
    <row r="285" spans="1:10" s="1" customFormat="1" ht="15.9" customHeight="1">
      <c r="A285" s="27"/>
      <c r="B285" s="33"/>
      <c r="C285" s="94" t="s">
        <v>455</v>
      </c>
      <c r="D285" s="161"/>
      <c r="E285" s="109"/>
      <c r="F285" s="109"/>
      <c r="G285" s="109"/>
      <c r="H285" s="109"/>
      <c r="I285" s="24"/>
      <c r="J285" s="24"/>
    </row>
    <row r="286" spans="1:10" s="1" customFormat="1" ht="15.9" customHeight="1">
      <c r="A286" s="27"/>
      <c r="B286" s="33"/>
      <c r="C286" s="327" t="s">
        <v>456</v>
      </c>
      <c r="D286" s="161"/>
      <c r="E286" s="109"/>
      <c r="F286" s="109"/>
      <c r="G286" s="109"/>
      <c r="H286" s="109"/>
      <c r="I286" s="24"/>
      <c r="J286" s="24"/>
    </row>
    <row r="287" spans="1:10" s="1" customFormat="1" ht="15.9" customHeight="1">
      <c r="A287" s="27"/>
      <c r="B287" s="33"/>
      <c r="C287" s="328" t="s">
        <v>281</v>
      </c>
      <c r="D287" s="328"/>
      <c r="E287" s="328"/>
      <c r="F287" s="109"/>
      <c r="G287" s="109"/>
      <c r="I287" s="24"/>
      <c r="J287" s="24"/>
    </row>
    <row r="288" spans="1:10" s="23" customFormat="1" ht="15.9" customHeight="1">
      <c r="A288" s="27"/>
      <c r="B288" s="33"/>
      <c r="C288" s="327" t="s">
        <v>282</v>
      </c>
      <c r="D288" s="327"/>
      <c r="E288" s="327"/>
      <c r="F288" s="109"/>
      <c r="G288" s="109"/>
      <c r="H288" s="1"/>
      <c r="I288" s="109"/>
      <c r="J288" s="109"/>
    </row>
    <row r="289" spans="1:10" s="1" customFormat="1" ht="15.9" customHeight="1">
      <c r="A289" s="27"/>
      <c r="B289" s="33"/>
      <c r="C289" s="374">
        <f>$I$141</f>
        <v>522.4</v>
      </c>
      <c r="F289" s="109"/>
      <c r="G289" s="109"/>
      <c r="I289" s="44"/>
      <c r="J289" s="119"/>
    </row>
    <row r="290" spans="1:10" s="1" customFormat="1" ht="15.9" customHeight="1">
      <c r="A290" s="27"/>
      <c r="B290" s="33"/>
      <c r="C290" s="363">
        <f>$J$141+$J$142</f>
        <v>10</v>
      </c>
      <c r="D290" s="161"/>
      <c r="E290" s="109"/>
      <c r="F290" s="109"/>
      <c r="G290" s="109"/>
      <c r="H290" s="161"/>
      <c r="I290" s="32"/>
      <c r="J290" s="40"/>
    </row>
    <row r="291" spans="1:10" s="1" customFormat="1" ht="15.9" customHeight="1">
      <c r="A291" s="27"/>
      <c r="B291" s="33"/>
      <c r="C291" s="374">
        <f>$I$143</f>
        <v>2308</v>
      </c>
      <c r="D291" s="161"/>
      <c r="E291" s="109"/>
      <c r="F291" s="109"/>
      <c r="G291" s="109"/>
      <c r="H291" s="109"/>
      <c r="I291" s="24"/>
      <c r="J291" s="24"/>
    </row>
    <row r="292" spans="1:10" s="1" customFormat="1" ht="15.9" customHeight="1">
      <c r="A292" s="27"/>
      <c r="B292" s="33"/>
      <c r="C292" s="363">
        <f>$J$143+$J$144+$J$145</f>
        <v>10</v>
      </c>
      <c r="D292" s="161"/>
      <c r="E292" s="109"/>
      <c r="F292" s="109"/>
      <c r="G292" s="109"/>
      <c r="H292" s="109"/>
      <c r="I292" s="24"/>
      <c r="J292" s="24"/>
    </row>
    <row r="293" spans="1:10" s="1" customFormat="1" ht="15.9" customHeight="1">
      <c r="A293" s="27"/>
      <c r="B293" s="33"/>
      <c r="D293" s="161"/>
      <c r="E293" s="109"/>
      <c r="F293" s="109"/>
      <c r="G293" s="109"/>
      <c r="H293" s="109"/>
      <c r="I293" s="24"/>
      <c r="J293" s="24"/>
    </row>
    <row r="294" spans="1:10" s="1" customFormat="1" ht="15.9" customHeight="1">
      <c r="A294" s="27"/>
      <c r="B294" s="33"/>
      <c r="C294" s="33"/>
      <c r="D294" s="161"/>
      <c r="E294" s="109"/>
      <c r="F294" s="109"/>
      <c r="G294" s="109"/>
      <c r="H294" s="109"/>
      <c r="I294" s="109"/>
      <c r="J294" s="24"/>
    </row>
    <row r="295" spans="1:10" s="1" customFormat="1" ht="15.9" customHeight="1">
      <c r="A295" s="27"/>
      <c r="B295" s="33"/>
      <c r="C295" s="23"/>
      <c r="D295" s="161"/>
      <c r="E295" s="109"/>
      <c r="F295" s="109"/>
      <c r="G295" s="109"/>
      <c r="H295" s="109"/>
      <c r="I295" s="109"/>
      <c r="J295" s="24"/>
    </row>
    <row r="296" spans="1:10" s="1" customFormat="1" ht="15.9" customHeight="1">
      <c r="A296" s="27"/>
      <c r="B296" s="33"/>
      <c r="C296" s="89" t="s">
        <v>376</v>
      </c>
      <c r="D296" s="161"/>
      <c r="E296" s="109"/>
      <c r="F296" s="109"/>
      <c r="G296" s="109"/>
      <c r="H296" s="109"/>
      <c r="I296" s="109"/>
      <c r="J296" s="24"/>
    </row>
    <row r="297" spans="1:10" s="1" customFormat="1" ht="15.9" customHeight="1">
      <c r="A297" s="27"/>
      <c r="B297" s="33"/>
      <c r="C297" s="94" t="s">
        <v>455</v>
      </c>
      <c r="D297" s="161"/>
      <c r="E297" s="109"/>
      <c r="F297" s="109"/>
      <c r="G297" s="44"/>
      <c r="H297" s="44"/>
      <c r="I297" s="109"/>
      <c r="J297" s="24"/>
    </row>
    <row r="298" spans="1:10" s="1" customFormat="1" ht="15.9" customHeight="1">
      <c r="A298" s="27"/>
      <c r="B298" s="33"/>
      <c r="C298" s="327" t="s">
        <v>456</v>
      </c>
      <c r="D298" s="328"/>
      <c r="E298" s="328"/>
      <c r="F298" s="109"/>
      <c r="G298" s="40"/>
      <c r="H298" s="32"/>
      <c r="I298" s="109"/>
      <c r="J298" s="24"/>
    </row>
    <row r="299" spans="1:10" s="1" customFormat="1" ht="15.9" customHeight="1">
      <c r="A299" s="41"/>
      <c r="B299" s="33"/>
      <c r="C299" s="328" t="s">
        <v>286</v>
      </c>
      <c r="D299" s="327"/>
      <c r="E299" s="327"/>
      <c r="F299" s="109"/>
      <c r="G299" s="109"/>
      <c r="H299" s="109"/>
      <c r="I299" s="109"/>
      <c r="J299" s="24"/>
    </row>
    <row r="300" spans="1:10" s="1" customFormat="1" ht="15.9" customHeight="1">
      <c r="A300" s="44"/>
      <c r="B300" s="44"/>
      <c r="C300" s="327" t="s">
        <v>285</v>
      </c>
      <c r="D300" s="86"/>
      <c r="E300" s="79"/>
      <c r="F300" s="44"/>
      <c r="G300" s="109"/>
      <c r="H300" s="109"/>
      <c r="I300" s="109"/>
      <c r="J300" s="24"/>
    </row>
    <row r="301" spans="1:10" s="1" customFormat="1" ht="15.9" customHeight="1">
      <c r="A301" s="40"/>
      <c r="B301" s="40"/>
      <c r="C301" s="374">
        <f>$I$146</f>
        <v>522.4</v>
      </c>
      <c r="D301" s="87"/>
      <c r="E301" s="80"/>
      <c r="F301" s="32"/>
      <c r="G301" s="109"/>
      <c r="H301" s="109"/>
      <c r="I301" s="109"/>
      <c r="J301" s="24"/>
    </row>
    <row r="302" spans="1:10" s="1" customFormat="1" ht="15.9" customHeight="1">
      <c r="A302" s="109"/>
      <c r="B302" s="33"/>
      <c r="C302" s="363">
        <f>$J$146</f>
        <v>10</v>
      </c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C303" s="374">
        <f>$I$147</f>
        <v>2158</v>
      </c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C304" s="363">
        <f>$J$147</f>
        <v>10</v>
      </c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C306" s="89" t="s">
        <v>377</v>
      </c>
      <c r="D306" s="161"/>
      <c r="E306" s="109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328" t="s">
        <v>281</v>
      </c>
      <c r="D307" s="328"/>
      <c r="E307" s="328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542" t="s">
        <v>282</v>
      </c>
      <c r="D308" s="542"/>
      <c r="E308" s="542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74">
        <f>$I$148</f>
        <v>2308</v>
      </c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63">
        <f>$J$148+$J$149</f>
        <v>2</v>
      </c>
      <c r="D310" s="328"/>
      <c r="E310" s="328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D311" s="15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33"/>
      <c r="D314" s="162"/>
      <c r="E314" s="24"/>
      <c r="F314" s="109"/>
      <c r="G314" s="109"/>
      <c r="H314" s="109"/>
      <c r="I314" s="27"/>
      <c r="J314" s="99" t="str">
        <f>LEFT($J$111,13)&amp;"-03"</f>
        <v>FG-240-5P1L4R-03</v>
      </c>
    </row>
    <row r="315" spans="1:14" ht="12.75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30" customHeight="1">
      <c r="A316" s="17"/>
      <c r="B316" s="26"/>
      <c r="C316" s="26"/>
      <c r="D316" s="83"/>
      <c r="E316" s="25"/>
      <c r="F316" s="25"/>
      <c r="G316" s="25"/>
      <c r="H316" s="25"/>
      <c r="I316" s="179"/>
      <c r="J316" s="90" t="str">
        <f>$J$2</f>
        <v>HOMELIFE</v>
      </c>
    </row>
    <row r="317" spans="1:14" ht="24.9" customHeight="1">
      <c r="B317" s="197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197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s="1" customFormat="1" ht="15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  <c r="K320" s="4"/>
      <c r="L320" s="4"/>
      <c r="M320" s="4"/>
      <c r="N320" s="4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72"/>
      <c r="C324" s="56"/>
      <c r="D324" s="30"/>
      <c r="E324" s="29"/>
      <c r="F324" s="160"/>
      <c r="G324" s="160"/>
      <c r="H324" s="160"/>
      <c r="I324" s="31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198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198"/>
      <c r="I331" s="161"/>
      <c r="J331" s="109"/>
    </row>
    <row r="332" spans="1:10" s="1" customFormat="1" ht="15" customHeight="1">
      <c r="A332" s="64" t="str">
        <f>A18</f>
        <v>240-5 Panel (1L4R)</v>
      </c>
      <c r="B332" s="92"/>
      <c r="C332" s="161"/>
      <c r="D332" s="161"/>
      <c r="E332" s="109"/>
      <c r="F332" s="198"/>
      <c r="G332" s="198"/>
      <c r="H332" s="198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92"/>
      <c r="C333" s="161"/>
      <c r="D333" s="161"/>
      <c r="E333" s="109"/>
      <c r="F333" s="198"/>
      <c r="G333" s="198"/>
      <c r="H333" s="198"/>
      <c r="I333" s="109"/>
      <c r="J333" s="109"/>
    </row>
    <row r="334" spans="1:10" s="1" customFormat="1" ht="15.9" customHeight="1">
      <c r="A334" s="109"/>
      <c r="B334" s="45"/>
      <c r="C334" s="42"/>
      <c r="D334" s="161"/>
      <c r="E334" s="109"/>
      <c r="F334" s="507"/>
      <c r="G334" s="507"/>
      <c r="H334" s="198"/>
      <c r="I334" s="109"/>
      <c r="J334" s="109"/>
    </row>
    <row r="335" spans="1:10" s="1" customFormat="1" ht="15.9" customHeight="1">
      <c r="A335" s="39"/>
      <c r="B335" s="109"/>
      <c r="C335" s="161"/>
      <c r="D335" s="161"/>
      <c r="E335" s="109"/>
      <c r="F335" s="37"/>
      <c r="G335" s="38"/>
      <c r="H335" s="109"/>
      <c r="I335" s="109"/>
      <c r="J335" s="109"/>
    </row>
    <row r="336" spans="1:10" s="1" customFormat="1" ht="15.9" customHeight="1">
      <c r="A336" s="44"/>
      <c r="C336" s="43"/>
      <c r="D336" s="161"/>
      <c r="E336" s="109"/>
      <c r="F336" s="109"/>
      <c r="G336" s="109"/>
      <c r="H336" s="109"/>
      <c r="I336" s="44"/>
      <c r="J336" s="119"/>
    </row>
    <row r="337" spans="1:10" s="1" customFormat="1" ht="15.9" customHeight="1">
      <c r="A337" s="40"/>
      <c r="C337" s="44"/>
      <c r="D337" s="84"/>
      <c r="E337" s="44"/>
      <c r="F337" s="44"/>
      <c r="G337" s="44"/>
      <c r="H337" s="44"/>
      <c r="I337" s="32"/>
      <c r="J337" s="40"/>
    </row>
    <row r="338" spans="1:10" s="1" customFormat="1" ht="15.9" customHeight="1">
      <c r="A338" s="109"/>
      <c r="C338" s="161"/>
      <c r="D338" s="85"/>
      <c r="E338" s="40"/>
      <c r="F338" s="32"/>
      <c r="G338" s="40"/>
      <c r="H338" s="32"/>
      <c r="I338" s="24"/>
      <c r="J338" s="24"/>
    </row>
    <row r="339" spans="1:10" s="1" customFormat="1" ht="15.9" customHeight="1">
      <c r="A339" s="109"/>
      <c r="C339" s="163"/>
      <c r="D339" s="161"/>
      <c r="E339" s="109"/>
      <c r="F339" s="161"/>
      <c r="G339" s="109"/>
      <c r="H339" s="109"/>
      <c r="I339" s="24"/>
      <c r="J339" s="24"/>
    </row>
    <row r="340" spans="1:10" s="1" customFormat="1" ht="15.9" customHeight="1">
      <c r="A340" s="109"/>
      <c r="B340" s="33"/>
      <c r="C340" s="161"/>
      <c r="D340" s="161"/>
      <c r="E340" s="109"/>
      <c r="F340" s="161"/>
      <c r="G340" s="109"/>
      <c r="H340" s="109"/>
      <c r="I340" s="162"/>
      <c r="J340" s="162"/>
    </row>
    <row r="341" spans="1:10" s="1" customFormat="1" ht="15.9" customHeight="1">
      <c r="A341" s="109"/>
      <c r="B341" s="33"/>
      <c r="C341" s="44"/>
      <c r="D341" s="161"/>
      <c r="E341" s="109"/>
      <c r="F341" s="161"/>
      <c r="G341" s="109"/>
      <c r="H341" s="162"/>
      <c r="I341" s="161"/>
      <c r="J341" s="161"/>
    </row>
    <row r="342" spans="1:10" s="1" customFormat="1" ht="15.9" customHeight="1">
      <c r="A342" s="109"/>
      <c r="B342" s="33"/>
      <c r="C342" s="42"/>
      <c r="D342" s="161"/>
      <c r="E342" s="109"/>
      <c r="F342" s="161"/>
      <c r="G342" s="109"/>
      <c r="H342" s="161"/>
      <c r="I342" s="161"/>
      <c r="J342" s="161"/>
    </row>
    <row r="343" spans="1:10" s="1" customFormat="1" ht="15.9" customHeight="1">
      <c r="A343" s="109"/>
      <c r="B343" s="33"/>
      <c r="C343" s="163"/>
      <c r="D343" s="161"/>
      <c r="E343" s="109"/>
      <c r="F343" s="161"/>
      <c r="G343" s="109"/>
      <c r="H343" s="161"/>
      <c r="I343" s="109"/>
      <c r="J343" s="24"/>
    </row>
    <row r="344" spans="1:10" s="1" customFormat="1" ht="15.9" customHeight="1">
      <c r="A344" s="109"/>
      <c r="B344" s="33"/>
      <c r="C344" s="161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44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3"/>
      <c r="D350" s="161"/>
      <c r="E350" s="109"/>
      <c r="F350" s="161"/>
      <c r="G350" s="109"/>
      <c r="H350" s="109"/>
      <c r="I350" s="109"/>
      <c r="J350" s="24"/>
    </row>
    <row r="351" spans="1:10" s="1" customFormat="1" ht="15.9" customHeight="1">
      <c r="A351" s="109"/>
      <c r="B351" s="33"/>
      <c r="C351" s="161"/>
      <c r="D351" s="161"/>
      <c r="E351" s="109"/>
      <c r="F351" s="161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1" customFormat="1" ht="15" customHeight="1">
      <c r="A353" s="109"/>
      <c r="B353" s="33"/>
      <c r="C353" s="33"/>
      <c r="D353" s="161"/>
      <c r="E353" s="109"/>
      <c r="F353" s="109"/>
      <c r="G353" s="109"/>
      <c r="H353" s="107"/>
      <c r="I353" s="24"/>
      <c r="J353" s="24"/>
    </row>
    <row r="354" spans="1:10" s="23" customFormat="1" ht="15.9" customHeight="1">
      <c r="A354" s="109"/>
      <c r="B354" s="33"/>
      <c r="C354" s="33"/>
      <c r="D354" s="161"/>
      <c r="E354" s="109"/>
      <c r="F354" s="109"/>
      <c r="G354" s="109"/>
      <c r="H354" s="109"/>
      <c r="I354" s="109"/>
      <c r="J354" s="109"/>
    </row>
    <row r="355" spans="1:10" s="1" customFormat="1" ht="15.9" customHeight="1">
      <c r="A355" s="44"/>
      <c r="B355" s="33"/>
      <c r="C355" s="33"/>
      <c r="D355" s="161"/>
      <c r="E355" s="109"/>
      <c r="F355" s="109"/>
      <c r="G355" s="109"/>
      <c r="H355" s="109"/>
      <c r="I355" s="44"/>
      <c r="J355" s="119"/>
    </row>
    <row r="356" spans="1:10" s="1" customFormat="1" ht="15.9" customHeight="1">
      <c r="A356" s="40"/>
      <c r="B356" s="44"/>
      <c r="C356" s="44"/>
      <c r="D356" s="84"/>
      <c r="E356" s="44"/>
      <c r="F356" s="44"/>
      <c r="G356" s="44"/>
      <c r="H356" s="44"/>
      <c r="I356" s="32"/>
      <c r="J356" s="40"/>
    </row>
    <row r="357" spans="1:10" s="1" customFormat="1" ht="15.9" customHeight="1">
      <c r="A357" s="27"/>
      <c r="B357" s="40"/>
      <c r="C357" s="44"/>
      <c r="D357" s="85"/>
      <c r="E357" s="40"/>
      <c r="F357" s="32"/>
      <c r="G357" s="40"/>
      <c r="H357" s="32"/>
      <c r="I357" s="24"/>
      <c r="J357" s="24"/>
    </row>
    <row r="358" spans="1:10" s="1" customFormat="1" ht="15.9" customHeight="1">
      <c r="A358" s="27"/>
      <c r="B358" s="33"/>
      <c r="C358" s="42"/>
      <c r="D358" s="161"/>
      <c r="E358" s="109"/>
      <c r="F358" s="109"/>
      <c r="G358" s="109"/>
      <c r="H358" s="42"/>
      <c r="I358" s="163"/>
      <c r="J358" s="163"/>
    </row>
    <row r="359" spans="1:10" s="1" customFormat="1" ht="15.9" customHeight="1">
      <c r="A359" s="27"/>
      <c r="B359" s="33"/>
      <c r="C359" s="163"/>
      <c r="D359" s="161"/>
      <c r="E359" s="109"/>
      <c r="F359" s="109"/>
      <c r="G359" s="109"/>
      <c r="H359" s="163"/>
      <c r="I359" s="161"/>
      <c r="J359" s="161"/>
    </row>
    <row r="360" spans="1:10" s="1" customFormat="1" ht="15.9" customHeight="1">
      <c r="A360" s="27"/>
      <c r="B360" s="33"/>
      <c r="C360" s="161"/>
      <c r="D360" s="161"/>
      <c r="E360" s="109"/>
      <c r="F360" s="109"/>
      <c r="G360" s="109"/>
      <c r="H360" s="161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46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161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D372" s="161"/>
      <c r="E372" s="109"/>
      <c r="F372" s="109"/>
      <c r="G372" s="33"/>
      <c r="H372" s="33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42"/>
      <c r="I376" s="163"/>
      <c r="J376" s="163"/>
    </row>
    <row r="377" spans="1:10" s="1" customFormat="1" ht="15.9" customHeight="1">
      <c r="A377" s="27"/>
      <c r="B377" s="33"/>
      <c r="C377" s="47"/>
      <c r="D377" s="161"/>
      <c r="E377" s="109"/>
      <c r="F377" s="109"/>
      <c r="G377" s="109"/>
      <c r="H377" s="163"/>
      <c r="I377" s="161"/>
      <c r="J377" s="161"/>
    </row>
    <row r="378" spans="1:10" s="1" customFormat="1" ht="15.9" customHeight="1">
      <c r="A378" s="27"/>
      <c r="B378" s="33"/>
      <c r="C378" s="46"/>
      <c r="D378" s="161"/>
      <c r="E378" s="109"/>
      <c r="F378" s="109"/>
      <c r="G378" s="109"/>
      <c r="H378" s="161"/>
      <c r="I378" s="24"/>
      <c r="J378" s="24"/>
    </row>
    <row r="379" spans="1:10" s="1" customFormat="1" ht="15.9" customHeight="1">
      <c r="A379" s="27"/>
      <c r="B379" s="33"/>
      <c r="C379" s="161"/>
      <c r="D379" s="161"/>
      <c r="E379" s="109"/>
      <c r="F379" s="109"/>
      <c r="G379" s="109"/>
      <c r="H379" s="42"/>
      <c r="I379" s="163"/>
      <c r="J379" s="163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3"/>
      <c r="I380" s="161"/>
      <c r="J380" s="161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1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64"/>
      <c r="J388" s="16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4"/>
      <c r="I389" s="165"/>
      <c r="J389" s="165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5"/>
      <c r="I390" s="161"/>
      <c r="J390" s="161"/>
    </row>
    <row r="391" spans="1:10" s="1" customFormat="1" ht="15.9" customHeight="1">
      <c r="A391" s="27"/>
      <c r="B391" s="33"/>
      <c r="C391" s="47"/>
      <c r="D391" s="161"/>
      <c r="E391" s="109"/>
      <c r="F391" s="109"/>
      <c r="G391" s="109"/>
      <c r="H391" s="161"/>
      <c r="I391" s="24"/>
      <c r="J391" s="24"/>
    </row>
    <row r="392" spans="1:10" s="1" customFormat="1" ht="15.9" customHeight="1">
      <c r="A392" s="27"/>
      <c r="B392" s="33"/>
      <c r="C392" s="46"/>
      <c r="D392" s="161"/>
      <c r="E392" s="109"/>
      <c r="F392" s="109"/>
      <c r="G392" s="109"/>
      <c r="H392" s="109"/>
      <c r="I392" s="109"/>
      <c r="J392" s="24"/>
    </row>
    <row r="393" spans="1:10" s="1" customFormat="1" ht="15.9" customHeight="1">
      <c r="A393" s="27"/>
      <c r="B393" s="33"/>
      <c r="C393" s="161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23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1" customFormat="1" ht="15.9" customHeight="1">
      <c r="A405" s="44"/>
      <c r="B405" s="33"/>
      <c r="C405" s="33"/>
      <c r="D405" s="161"/>
      <c r="E405" s="109"/>
      <c r="F405" s="109"/>
      <c r="G405" s="109"/>
      <c r="H405" s="109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109"/>
      <c r="B419" s="44"/>
      <c r="C419" s="44"/>
      <c r="D419" s="84"/>
      <c r="E419" s="44"/>
      <c r="F419" s="44"/>
      <c r="G419" s="44"/>
      <c r="H419" s="44"/>
      <c r="I419" s="24"/>
      <c r="J419" s="24"/>
      <c r="K419" s="71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LEFT($J$111,13)&amp;"-04"</f>
        <v>FG-240-5P1L4R-04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A423" s="109"/>
      <c r="B423" s="33"/>
      <c r="C423" s="33"/>
      <c r="D423" s="161"/>
      <c r="E423" s="109"/>
      <c r="F423" s="109"/>
      <c r="G423" s="109"/>
      <c r="H423" s="109"/>
      <c r="I423" s="109"/>
      <c r="J423" s="90" t="str">
        <f>$J$2</f>
        <v>HOMELIFE</v>
      </c>
      <c r="K423" s="7"/>
      <c r="L423" s="7"/>
      <c r="M423" s="2"/>
      <c r="N423" s="2"/>
    </row>
    <row r="424" spans="1:14" ht="24.9" customHeight="1">
      <c r="A424" s="109"/>
      <c r="B424" s="33"/>
      <c r="C424" s="33"/>
      <c r="D424" s="161"/>
      <c r="E424" s="109"/>
      <c r="F424" s="109"/>
      <c r="G424" s="109"/>
      <c r="H424" s="109"/>
      <c r="I424" s="109"/>
      <c r="J424" s="91" t="str">
        <f>$J$3</f>
        <v>Fabricators Guide</v>
      </c>
      <c r="K424" s="7"/>
      <c r="L424" s="7"/>
      <c r="M424" s="2"/>
      <c r="N424" s="2"/>
    </row>
    <row r="425" spans="1:14" ht="24.9" customHeight="1">
      <c r="B425" s="197"/>
      <c r="C425" s="28"/>
      <c r="D425" s="28"/>
      <c r="E425" s="28"/>
      <c r="F425" s="28"/>
      <c r="G425" s="28"/>
      <c r="H425" s="28"/>
      <c r="I425" s="28"/>
      <c r="J425" s="91" t="str">
        <f>$J$4</f>
        <v xml:space="preserve">240 Series Bi Fold Door </v>
      </c>
      <c r="K425" s="48"/>
      <c r="L425" s="48"/>
      <c r="M425" s="4"/>
      <c r="N425" s="4"/>
    </row>
    <row r="426" spans="1:14" s="1" customFormat="1" ht="15" customHeight="1" thickBot="1">
      <c r="A426" s="78"/>
      <c r="B426" s="8"/>
      <c r="C426" s="28"/>
      <c r="D426" s="28"/>
      <c r="E426" s="28"/>
      <c r="F426" s="28"/>
      <c r="G426" s="28"/>
      <c r="H426" s="2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  <c r="K427" s="4"/>
      <c r="L427" s="4"/>
      <c r="M427" s="4"/>
      <c r="N427" s="4"/>
    </row>
    <row r="428" spans="1:14" s="1" customFormat="1" ht="15" customHeight="1">
      <c r="A428" s="193"/>
      <c r="B428" s="194"/>
      <c r="C428" s="194"/>
      <c r="D428" s="194"/>
      <c r="E428" s="194"/>
      <c r="F428" s="194"/>
      <c r="G428" s="194"/>
      <c r="H428" s="194"/>
      <c r="I428" s="193"/>
      <c r="K428" s="56"/>
      <c r="L428" s="56"/>
      <c r="M428" s="56"/>
      <c r="N428" s="56"/>
    </row>
    <row r="429" spans="1:14" s="1" customFormat="1" ht="15" customHeight="1">
      <c r="A429" s="45"/>
      <c r="B429" s="193"/>
      <c r="C429" s="193"/>
      <c r="D429" s="193"/>
      <c r="E429" s="193"/>
      <c r="F429" s="193"/>
      <c r="G429" s="193"/>
      <c r="H429" s="193"/>
      <c r="I429" s="44"/>
      <c r="J429" s="119"/>
    </row>
    <row r="430" spans="1:14" s="1" customFormat="1" ht="15" customHeight="1">
      <c r="A430" s="109"/>
      <c r="B430" s="39"/>
      <c r="C430" s="33"/>
      <c r="D430" s="161"/>
      <c r="E430" s="35"/>
      <c r="F430" s="39"/>
      <c r="G430" s="193"/>
      <c r="H430" s="44"/>
      <c r="I430" s="44"/>
      <c r="J430" s="119"/>
    </row>
    <row r="431" spans="1:14" s="1" customFormat="1" ht="15" customHeight="1">
      <c r="A431" s="109"/>
      <c r="B431" s="33"/>
      <c r="C431" s="33"/>
      <c r="D431" s="161"/>
      <c r="E431" s="35"/>
      <c r="F431" s="161"/>
      <c r="G431" s="193"/>
      <c r="H431" s="44"/>
      <c r="I431" s="44"/>
      <c r="J431" s="119"/>
    </row>
    <row r="432" spans="1:14" s="1" customFormat="1" ht="15" customHeight="1">
      <c r="A432" s="109"/>
      <c r="B432" s="56"/>
      <c r="C432" s="56"/>
      <c r="D432" s="30"/>
      <c r="E432" s="29"/>
      <c r="F432" s="30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109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3"/>
      <c r="H434" s="44"/>
      <c r="I434" s="44"/>
      <c r="J434" s="119"/>
    </row>
    <row r="435" spans="1:10" s="1" customFormat="1" ht="15" customHeight="1">
      <c r="A435" s="109"/>
      <c r="B435" s="33"/>
      <c r="C435" s="161"/>
      <c r="D435" s="161"/>
      <c r="E435" s="35"/>
      <c r="F435" s="161"/>
      <c r="H435" s="44"/>
      <c r="I435" s="44"/>
      <c r="J435" s="119"/>
    </row>
    <row r="436" spans="1:10" s="1" customFormat="1" ht="15" customHeight="1">
      <c r="A436" s="39"/>
      <c r="B436" s="33"/>
      <c r="C436" s="42"/>
      <c r="D436" s="161"/>
      <c r="E436" s="109"/>
      <c r="F436" s="69"/>
      <c r="H436" s="44"/>
      <c r="I436" s="44"/>
      <c r="J436" s="119"/>
    </row>
    <row r="437" spans="1:10" s="1" customFormat="1" ht="15" customHeight="1">
      <c r="A437" s="92"/>
      <c r="B437" s="39"/>
      <c r="C437" s="163"/>
      <c r="D437" s="161"/>
      <c r="E437" s="109"/>
      <c r="F437" s="68"/>
      <c r="H437" s="44"/>
      <c r="I437" s="44"/>
      <c r="J437" s="119"/>
    </row>
    <row r="438" spans="1:10" s="1" customFormat="1" ht="15" customHeight="1">
      <c r="B438" s="92"/>
      <c r="C438" s="161"/>
      <c r="D438" s="161"/>
      <c r="E438" s="109"/>
      <c r="F438" s="198"/>
      <c r="H438" s="44"/>
      <c r="I438" s="44"/>
      <c r="J438" s="119"/>
    </row>
    <row r="439" spans="1:10" s="1" customFormat="1" ht="15" customHeight="1">
      <c r="A439" s="64" t="str">
        <f>A18</f>
        <v>240-5 Panel (1L4R)</v>
      </c>
      <c r="B439" s="92"/>
      <c r="C439" s="161"/>
      <c r="D439" s="161"/>
      <c r="E439" s="109"/>
      <c r="F439" s="198"/>
      <c r="H439" s="44"/>
      <c r="I439" s="44"/>
      <c r="J439" s="119"/>
    </row>
    <row r="440" spans="1:10" s="1" customFormat="1" ht="15.9" customHeight="1">
      <c r="A440" s="76" t="str">
        <f>A19</f>
        <v xml:space="preserve">Outside Bi Fold Door </v>
      </c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44"/>
      <c r="B442" s="38"/>
      <c r="C442" s="43"/>
      <c r="D442" s="161"/>
      <c r="E442" s="109"/>
      <c r="F442" s="109"/>
      <c r="H442" s="44"/>
      <c r="I442" s="44"/>
      <c r="J442" s="119"/>
    </row>
    <row r="443" spans="1:10" s="1" customFormat="1" ht="15.9" customHeight="1">
      <c r="A443" s="40"/>
      <c r="C443" s="44"/>
      <c r="D443" s="84"/>
      <c r="E443" s="44"/>
      <c r="F443" s="44"/>
      <c r="H443" s="44"/>
      <c r="I443" s="44"/>
      <c r="J443" s="119"/>
    </row>
    <row r="444" spans="1:10" ht="15.6">
      <c r="B444" s="64"/>
      <c r="C444" s="163"/>
      <c r="D444" s="161"/>
      <c r="E444" s="109"/>
      <c r="F444" s="161"/>
      <c r="G444" s="109"/>
      <c r="H444" s="109"/>
    </row>
    <row r="449" spans="1:10" s="1" customFormat="1" ht="15.9" customHeight="1">
      <c r="A449" s="109"/>
      <c r="B449"/>
      <c r="C449"/>
      <c r="D449" s="81"/>
      <c r="E449"/>
      <c r="F449"/>
      <c r="G449"/>
      <c r="H449"/>
      <c r="I449" s="24"/>
      <c r="J449" s="24"/>
    </row>
    <row r="450" spans="1:10" s="1" customFormat="1" ht="15.9" customHeight="1">
      <c r="A450" s="109"/>
      <c r="B450" s="33"/>
      <c r="C450" s="33"/>
      <c r="D450" s="161"/>
      <c r="E450" s="109"/>
      <c r="F450" s="161"/>
      <c r="G450" s="109"/>
      <c r="H450" s="109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44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161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3"/>
      <c r="D455" s="161"/>
      <c r="E455" s="109"/>
      <c r="F455" s="161"/>
      <c r="G455" s="109"/>
      <c r="H455" s="109"/>
      <c r="I455" s="109"/>
      <c r="J455" s="24"/>
    </row>
    <row r="456" spans="1:10" s="1" customFormat="1" ht="15.9" customHeight="1">
      <c r="A456" s="109"/>
      <c r="B456" s="33"/>
      <c r="C456" s="161"/>
      <c r="D456" s="161"/>
      <c r="E456" s="109"/>
      <c r="F456" s="161"/>
      <c r="G456" s="109"/>
      <c r="H456" s="109"/>
      <c r="I456" s="24"/>
      <c r="J456" s="24"/>
    </row>
    <row r="457" spans="1:10" s="1" customFormat="1" ht="15.9" customHeight="1">
      <c r="A457" s="109"/>
      <c r="B457" s="33"/>
      <c r="C457" s="33"/>
      <c r="D457" s="161"/>
      <c r="E457" s="109"/>
      <c r="F457" s="109"/>
      <c r="G457" s="109"/>
      <c r="H457" s="109"/>
      <c r="I457" s="24"/>
      <c r="J457" s="24"/>
    </row>
    <row r="458" spans="1:10" s="1" customFormat="1" ht="15" customHeight="1">
      <c r="A458" s="109"/>
      <c r="B458" s="33"/>
      <c r="C458" s="33"/>
      <c r="D458" s="161"/>
      <c r="E458" s="109"/>
      <c r="F458" s="109"/>
      <c r="G458" s="109"/>
      <c r="H458" s="107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9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23" customFormat="1" ht="15.9" customHeight="1">
      <c r="A476" s="109"/>
      <c r="B476" s="33"/>
      <c r="C476" s="33"/>
      <c r="D476" s="161"/>
      <c r="E476" s="109"/>
      <c r="F476" s="109"/>
      <c r="G476" s="109"/>
      <c r="H476" s="109"/>
      <c r="I476" s="109"/>
      <c r="J476" s="109"/>
    </row>
    <row r="477" spans="1:10" s="1" customFormat="1" ht="15.9" customHeight="1">
      <c r="A477" s="44"/>
      <c r="B477" s="33"/>
      <c r="C477" s="33"/>
      <c r="D477" s="161"/>
      <c r="E477" s="109"/>
      <c r="F477" s="109"/>
      <c r="G477" s="109"/>
      <c r="H477" s="109"/>
      <c r="I477" s="44"/>
      <c r="J477" s="119"/>
    </row>
    <row r="478" spans="1:10" s="1" customFormat="1" ht="15.9" customHeight="1">
      <c r="A478" s="40"/>
      <c r="B478" s="44"/>
      <c r="C478" s="44"/>
      <c r="D478" s="84"/>
      <c r="E478" s="44"/>
      <c r="F478" s="44"/>
      <c r="G478" s="44"/>
      <c r="H478" s="44"/>
      <c r="I478" s="32"/>
      <c r="J478" s="40"/>
    </row>
    <row r="479" spans="1:10" s="1" customFormat="1" ht="15.9" customHeight="1">
      <c r="A479" s="27"/>
      <c r="B479" s="40"/>
      <c r="C479" s="44"/>
      <c r="D479" s="85"/>
      <c r="E479" s="40"/>
      <c r="F479" s="32"/>
      <c r="G479" s="40"/>
      <c r="H479" s="32"/>
      <c r="I479" s="24"/>
      <c r="J479" s="24"/>
    </row>
    <row r="480" spans="1:10" s="1" customFormat="1" ht="15.9" customHeight="1">
      <c r="A480" s="27"/>
      <c r="B480" s="33"/>
      <c r="C480" s="42"/>
      <c r="D480" s="161"/>
      <c r="E480" s="109"/>
      <c r="F480" s="109"/>
      <c r="G480" s="109"/>
      <c r="H480" s="42"/>
      <c r="I480" s="67"/>
      <c r="J480" s="165"/>
    </row>
    <row r="481" spans="1:10" s="1" customFormat="1" ht="15.9" customHeight="1">
      <c r="A481" s="27"/>
      <c r="B481" s="33"/>
      <c r="C481" s="163"/>
      <c r="D481" s="161"/>
      <c r="E481" s="109"/>
      <c r="F481" s="109"/>
      <c r="G481" s="109"/>
      <c r="H481" s="67"/>
      <c r="I481" s="38"/>
      <c r="J481" s="109"/>
    </row>
    <row r="482" spans="1:10" s="1" customFormat="1" ht="15.9" customHeight="1">
      <c r="A482" s="27"/>
      <c r="B482" s="33"/>
      <c r="C482" s="161"/>
      <c r="D482" s="161"/>
      <c r="E482" s="109"/>
      <c r="F482" s="109"/>
      <c r="G482" s="109"/>
      <c r="H482" s="38"/>
      <c r="I482" s="24"/>
      <c r="J482" s="24"/>
    </row>
    <row r="483" spans="1:10" s="1" customFormat="1" ht="15.9" customHeight="1">
      <c r="A483" s="27"/>
      <c r="B483" s="33"/>
      <c r="C483" s="33"/>
      <c r="D483" s="161"/>
      <c r="E483" s="109"/>
      <c r="F483" s="109"/>
      <c r="G483" s="109"/>
      <c r="H483" s="109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46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161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33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B492" s="33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D494" s="161"/>
      <c r="E494" s="109"/>
      <c r="F494" s="109"/>
      <c r="G494" s="33"/>
      <c r="H494" s="33"/>
      <c r="I494" s="24"/>
      <c r="J494" s="24"/>
    </row>
    <row r="495" spans="1:10" s="1" customFormat="1" ht="15.9" customHeight="1">
      <c r="A495" s="27"/>
      <c r="B495" s="33"/>
      <c r="C495" s="33"/>
      <c r="D495" s="161"/>
      <c r="E495" s="109"/>
      <c r="F495" s="109"/>
      <c r="G495" s="109"/>
      <c r="H495" s="109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42"/>
      <c r="I498" s="67"/>
      <c r="J498" s="165"/>
    </row>
    <row r="499" spans="1:10" s="1" customFormat="1" ht="15.9" customHeight="1">
      <c r="A499" s="27"/>
      <c r="B499" s="33"/>
      <c r="C499" s="47"/>
      <c r="D499" s="161"/>
      <c r="E499" s="109"/>
      <c r="F499" s="109"/>
      <c r="G499" s="109"/>
      <c r="H499" s="67"/>
      <c r="I499" s="38"/>
      <c r="J499" s="109"/>
    </row>
    <row r="500" spans="1:10" s="1" customFormat="1" ht="15.9" customHeight="1">
      <c r="A500" s="27"/>
      <c r="B500" s="33"/>
      <c r="C500" s="46"/>
      <c r="D500" s="161"/>
      <c r="E500" s="109"/>
      <c r="F500" s="109"/>
      <c r="G500" s="109"/>
      <c r="H500" s="38"/>
      <c r="I500" s="24"/>
      <c r="J500" s="24"/>
    </row>
    <row r="501" spans="1:10" s="1" customFormat="1" ht="15.9" customHeight="1">
      <c r="A501" s="27"/>
      <c r="B501" s="33"/>
      <c r="C501" s="161"/>
      <c r="D501" s="161"/>
      <c r="E501" s="109"/>
      <c r="F501" s="109"/>
      <c r="G501" s="109"/>
      <c r="H501" s="42"/>
      <c r="I501" s="67"/>
      <c r="J501" s="165"/>
    </row>
    <row r="502" spans="1:10" s="1" customFormat="1" ht="15.9" customHeight="1">
      <c r="A502" s="27"/>
      <c r="B502" s="33"/>
      <c r="C502" s="33"/>
      <c r="D502" s="161"/>
      <c r="E502" s="109"/>
      <c r="F502" s="109"/>
      <c r="G502" s="109"/>
      <c r="H502" s="67"/>
      <c r="I502" s="38"/>
      <c r="J502" s="109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38"/>
      <c r="I503" s="24"/>
      <c r="J503" s="24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38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38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38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38"/>
      <c r="I507" s="24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38"/>
      <c r="I508" s="24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24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24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109"/>
      <c r="J512" s="24"/>
    </row>
    <row r="513" spans="1:15" s="1" customFormat="1" ht="15.9" customHeight="1">
      <c r="A513" s="27"/>
      <c r="B513" s="33"/>
      <c r="C513" s="33"/>
      <c r="D513" s="161"/>
      <c r="E513" s="109"/>
      <c r="F513" s="109"/>
      <c r="G513" s="109"/>
      <c r="H513" s="109"/>
      <c r="I513" s="109"/>
      <c r="J513" s="24"/>
    </row>
    <row r="514" spans="1:15" s="1" customFormat="1" ht="15.9" customHeight="1">
      <c r="A514" s="27"/>
      <c r="B514" s="33"/>
      <c r="C514" s="33"/>
      <c r="D514" s="161"/>
      <c r="E514" s="109"/>
      <c r="F514" s="109"/>
      <c r="G514" s="109"/>
      <c r="H514" s="109"/>
      <c r="I514" s="43"/>
      <c r="J514" s="107"/>
    </row>
    <row r="515" spans="1:15" s="1" customFormat="1" ht="15.9" customHeight="1">
      <c r="A515" s="44"/>
      <c r="B515" s="44"/>
      <c r="C515" s="44"/>
      <c r="D515" s="84"/>
      <c r="E515" s="44"/>
      <c r="F515" s="44"/>
      <c r="G515" s="44"/>
      <c r="H515" s="44"/>
      <c r="I515" s="44"/>
      <c r="J515" s="119"/>
    </row>
    <row r="516" spans="1:15" s="1" customFormat="1" ht="15.9" customHeight="1">
      <c r="A516" s="44"/>
      <c r="B516" s="44"/>
      <c r="C516" s="44"/>
      <c r="D516" s="84"/>
      <c r="E516" s="44"/>
      <c r="F516" s="44"/>
      <c r="G516" s="44"/>
      <c r="H516" s="44"/>
      <c r="I516" s="44"/>
      <c r="J516" s="119"/>
    </row>
    <row r="517" spans="1:15" s="1" customFormat="1" ht="15.9" customHeight="1">
      <c r="B517" s="44"/>
      <c r="C517" s="44"/>
      <c r="D517" s="84"/>
      <c r="E517" s="44"/>
      <c r="F517" s="44"/>
      <c r="G517" s="44"/>
      <c r="H517" s="44"/>
    </row>
    <row r="518" spans="1:15" s="1" customFormat="1" ht="15.9" customHeight="1" thickBot="1"/>
    <row r="519" spans="1:15" s="1" customFormat="1" ht="24.9" customHeight="1" thickBot="1">
      <c r="A519" s="502" t="s">
        <v>401</v>
      </c>
      <c r="B519" s="503"/>
      <c r="C519" s="503"/>
      <c r="D519" s="503"/>
      <c r="E519" s="503"/>
      <c r="F519" s="503"/>
      <c r="G519" s="503"/>
      <c r="H519" s="503"/>
      <c r="I519" s="503"/>
      <c r="J519" s="504"/>
    </row>
    <row r="520" spans="1:15" s="1" customFormat="1" ht="35.1" customHeight="1" thickBot="1">
      <c r="A520" s="102" t="s">
        <v>2</v>
      </c>
      <c r="B520" s="103" t="s">
        <v>3</v>
      </c>
      <c r="C520" s="103" t="s">
        <v>3</v>
      </c>
      <c r="D520" s="104" t="s">
        <v>35</v>
      </c>
      <c r="E520" s="103" t="s">
        <v>5</v>
      </c>
      <c r="F520" s="339" t="s">
        <v>27</v>
      </c>
      <c r="G520" s="305"/>
      <c r="H520" s="104" t="s">
        <v>27</v>
      </c>
      <c r="I520" s="104" t="s">
        <v>26</v>
      </c>
      <c r="J520" s="115" t="s">
        <v>6</v>
      </c>
      <c r="N520" s="249" t="s">
        <v>3</v>
      </c>
      <c r="O520" s="249" t="s">
        <v>3</v>
      </c>
    </row>
    <row r="521" spans="1:15" s="1" customFormat="1" ht="15.9" customHeight="1">
      <c r="A521" s="123">
        <f>IF(C521="","",1)</f>
        <v>1</v>
      </c>
      <c r="B521" s="121" t="str">
        <f>IF($D$127=5,N521,IF($D$127=6,N522,IF($D$127=8,N523,IF($D$127=10,N524,IF($D$127=12,N525,IF($D$127=14,N526,IF($D$127=18,N527,IF($D$127=20,N528,IF($D$127=22,N529,)))))))))</f>
        <v>กระจก 5 mm (สูง) (กว้าง)</v>
      </c>
      <c r="C521" s="121" t="str">
        <f>IF($D$127=5,O521,IF($D$127=6,O522,IF($D$127=8,O523,IF($D$127=10,O524,IF($D$127=12,O525,IF($D$127=14,O526,IF($D$127=18,O527,IF($D$127=20,O528,IF($D$127=22,O529,)))))))))</f>
        <v>GLASS thk.5 mm (H) (W)</v>
      </c>
      <c r="D521" s="124">
        <f>$J$123-215</f>
        <v>2185</v>
      </c>
      <c r="E521" s="123" t="s">
        <v>11</v>
      </c>
      <c r="F521" s="527" t="s">
        <v>271</v>
      </c>
      <c r="G521" s="528"/>
      <c r="H521" s="123" t="s">
        <v>405</v>
      </c>
      <c r="I521" s="124">
        <f>(($J$126-185-(113.25*4))/5)-13</f>
        <v>509.4</v>
      </c>
      <c r="J521" s="151">
        <f>$J$120*5</f>
        <v>5</v>
      </c>
      <c r="M521" s="1">
        <f>ROW()</f>
        <v>521</v>
      </c>
      <c r="N521" s="19" t="s">
        <v>194</v>
      </c>
      <c r="O521" s="19" t="s">
        <v>195</v>
      </c>
    </row>
    <row r="522" spans="1:15" s="1" customFormat="1" ht="15.9" customHeight="1">
      <c r="A522" s="346"/>
      <c r="B522" s="295"/>
      <c r="C522" s="295"/>
      <c r="D522" s="296"/>
      <c r="E522" s="238"/>
      <c r="F522" s="251"/>
      <c r="G522" s="297"/>
      <c r="H522" s="238"/>
      <c r="I522" s="298"/>
      <c r="J522" s="299"/>
      <c r="M522" s="1">
        <f>ROW()</f>
        <v>522</v>
      </c>
      <c r="N522" s="19" t="s">
        <v>53</v>
      </c>
      <c r="O522" s="19" t="s">
        <v>54</v>
      </c>
    </row>
    <row r="523" spans="1:15" s="1" customFormat="1" ht="15.9" customHeight="1">
      <c r="A523" s="346"/>
      <c r="B523" s="295"/>
      <c r="C523" s="295"/>
      <c r="D523" s="296"/>
      <c r="E523" s="238"/>
      <c r="F523" s="251"/>
      <c r="G523" s="297"/>
      <c r="H523" s="238"/>
      <c r="I523" s="298"/>
      <c r="J523" s="299"/>
      <c r="M523" s="1">
        <f>ROW()</f>
        <v>523</v>
      </c>
      <c r="N523" s="19" t="s">
        <v>257</v>
      </c>
      <c r="O523" s="19" t="s">
        <v>258</v>
      </c>
    </row>
    <row r="524" spans="1:15" s="1" customFormat="1" ht="15.9" customHeight="1">
      <c r="A524" s="129" t="str">
        <f>IF(B524="","",+#REF!+1)</f>
        <v/>
      </c>
      <c r="B524" s="127"/>
      <c r="C524" s="127"/>
      <c r="D524" s="128"/>
      <c r="E524" s="129"/>
      <c r="F524" s="155"/>
      <c r="G524" s="157"/>
      <c r="H524" s="129"/>
      <c r="I524" s="144"/>
      <c r="J524" s="130"/>
      <c r="M524" s="1">
        <f>ROW()</f>
        <v>524</v>
      </c>
      <c r="N524" s="19" t="s">
        <v>259</v>
      </c>
      <c r="O524" s="19" t="s">
        <v>265</v>
      </c>
    </row>
    <row r="525" spans="1:15" s="1" customFormat="1" ht="15.9" customHeight="1">
      <c r="A525" s="135" t="str">
        <f>IF(B525="","",+A524+1)</f>
        <v/>
      </c>
      <c r="B525" s="133"/>
      <c r="C525" s="133"/>
      <c r="D525" s="134"/>
      <c r="E525" s="135"/>
      <c r="F525" s="158"/>
      <c r="G525" s="159"/>
      <c r="H525" s="135"/>
      <c r="I525" s="145"/>
      <c r="J525" s="136"/>
      <c r="M525" s="1">
        <f>ROW()</f>
        <v>525</v>
      </c>
      <c r="N525" s="19" t="s">
        <v>260</v>
      </c>
      <c r="O525" s="19" t="s">
        <v>266</v>
      </c>
    </row>
    <row r="526" spans="1:15" s="1" customFormat="1" ht="15.9" customHeight="1">
      <c r="A526" s="17"/>
      <c r="B526" s="56"/>
      <c r="C526" s="56"/>
      <c r="D526" s="30"/>
      <c r="E526" s="17"/>
      <c r="F526" s="17"/>
      <c r="G526" s="17"/>
      <c r="H526" s="109"/>
      <c r="I526" s="109"/>
      <c r="J526" s="24"/>
      <c r="M526" s="1">
        <f>ROW()</f>
        <v>526</v>
      </c>
      <c r="N526" s="19" t="s">
        <v>261</v>
      </c>
      <c r="O526" s="19" t="s">
        <v>267</v>
      </c>
    </row>
    <row r="527" spans="1:15">
      <c r="J527" s="99" t="str">
        <f>LEFT($J$111,13)&amp;"-05"</f>
        <v>FG-240-5P1L4R-05</v>
      </c>
      <c r="M527" s="1">
        <f>ROW()</f>
        <v>527</v>
      </c>
      <c r="N527" s="19" t="s">
        <v>262</v>
      </c>
      <c r="O527" s="19" t="s">
        <v>268</v>
      </c>
    </row>
    <row r="528" spans="1:15">
      <c r="M528" s="1">
        <f>ROW()</f>
        <v>528</v>
      </c>
      <c r="N528" s="19" t="s">
        <v>263</v>
      </c>
      <c r="O528" s="19" t="s">
        <v>269</v>
      </c>
    </row>
    <row r="529" spans="13:15">
      <c r="M529" s="1">
        <f>ROW()</f>
        <v>529</v>
      </c>
      <c r="N529" s="19" t="s">
        <v>264</v>
      </c>
      <c r="O529" s="19" t="s">
        <v>270</v>
      </c>
    </row>
  </sheetData>
  <dataConsolidate function="product">
    <dataRefs count="1">
      <dataRef ref="O154:O162" sheet="240_2Panel(L)" r:id="rId1"/>
    </dataRefs>
  </dataConsolidate>
  <mergeCells count="46">
    <mergeCell ref="H168:H169"/>
    <mergeCell ref="H170:H171"/>
    <mergeCell ref="I161:J161"/>
    <mergeCell ref="I157:J157"/>
    <mergeCell ref="A172:J172"/>
    <mergeCell ref="I168:J168"/>
    <mergeCell ref="I162:J165"/>
    <mergeCell ref="I166:J167"/>
    <mergeCell ref="I158:J158"/>
    <mergeCell ref="D159:D160"/>
    <mergeCell ref="H159:H160"/>
    <mergeCell ref="I159:J160"/>
    <mergeCell ref="D161:D162"/>
    <mergeCell ref="D163:D167"/>
    <mergeCell ref="D168:D169"/>
    <mergeCell ref="D170:D171"/>
    <mergeCell ref="H163:H167"/>
    <mergeCell ref="H161:H162"/>
    <mergeCell ref="H123:I124"/>
    <mergeCell ref="J123:J124"/>
    <mergeCell ref="A125:B125"/>
    <mergeCell ref="H126:I127"/>
    <mergeCell ref="J126:J127"/>
    <mergeCell ref="D123:G123"/>
    <mergeCell ref="D125:G125"/>
    <mergeCell ref="D127:G127"/>
    <mergeCell ref="A131:J131"/>
    <mergeCell ref="D129:G129"/>
    <mergeCell ref="I154:J154"/>
    <mergeCell ref="I155:J155"/>
    <mergeCell ref="I156:J156"/>
    <mergeCell ref="A6:J6"/>
    <mergeCell ref="H120:I121"/>
    <mergeCell ref="J120:J121"/>
    <mergeCell ref="A117:J117"/>
    <mergeCell ref="D119:G119"/>
    <mergeCell ref="D121:G121"/>
    <mergeCell ref="F521:G521"/>
    <mergeCell ref="A519:J519"/>
    <mergeCell ref="A427:J427"/>
    <mergeCell ref="A320:J320"/>
    <mergeCell ref="A213:J213"/>
    <mergeCell ref="F331:G331"/>
    <mergeCell ref="F334:G334"/>
    <mergeCell ref="F330:G330"/>
    <mergeCell ref="C308:E308"/>
  </mergeCells>
  <dataValidations disablePrompts="1" count="3">
    <dataValidation type="list" allowBlank="1" showInputMessage="1" showErrorMessage="1" sqref="D127:G127">
      <formula1>$N$120:$N$128</formula1>
    </dataValidation>
    <dataValidation type="list" allowBlank="1" showInputMessage="1" showErrorMessage="1" sqref="D129:G129">
      <formula1>$O$120</formula1>
    </dataValidation>
    <dataValidation type="list" allowBlank="1" showInputMessage="1" showErrorMessage="1" sqref="D123:G123">
      <formula1>$P$119:$P$128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16383" man="1"/>
    <brk id="421" max="9" man="1"/>
  </rowBreaks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tabColor theme="5" tint="-0.249977111117893"/>
  </sheetPr>
  <dimension ref="A1:X529"/>
  <sheetViews>
    <sheetView showGridLines="0" view="pageBreakPreview" topLeftCell="A145" zoomScale="75" zoomScaleNormal="75" zoomScaleSheetLayoutView="75" workbookViewId="0">
      <selection activeCell="I166" sqref="I166:J167"/>
    </sheetView>
  </sheetViews>
  <sheetFormatPr defaultRowHeight="14.4" outlineLevelRow="1" outlineLevelCol="1"/>
  <cols>
    <col min="1" max="1" width="7" customWidth="1"/>
    <col min="2" max="2" width="40.6640625" customWidth="1"/>
    <col min="3" max="3" width="60.3320312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8.6640625" bestFit="1" customWidth="1"/>
    <col min="9" max="9" width="11.109375" bestFit="1" customWidth="1"/>
    <col min="10" max="10" width="11.6640625" style="112" customWidth="1"/>
    <col min="14" max="14" width="22.5546875" hidden="1" customWidth="1" outlineLevel="1"/>
    <col min="15" max="15" width="26" hidden="1" customWidth="1" outlineLevel="1"/>
    <col min="16" max="16" width="35.44140625" hidden="1" customWidth="1" outlineLevel="1"/>
    <col min="17" max="17" width="9.5546875" hidden="1" customWidth="1" outlineLevel="1"/>
    <col min="18" max="18" width="14.33203125" hidden="1" customWidth="1" outlineLevel="1"/>
    <col min="19" max="19" width="18.109375" hidden="1" customWidth="1" outlineLevel="1"/>
    <col min="20" max="20" width="15.44140625" hidden="1" customWidth="1" outlineLevel="1"/>
    <col min="21" max="21" width="24.109375" hidden="1" customWidth="1" outlineLevel="1"/>
    <col min="22" max="22" width="11.44140625" hidden="1" customWidth="1" outlineLevel="1"/>
    <col min="23" max="23" width="10.88671875" hidden="1" customWidth="1" outlineLevel="1"/>
    <col min="24" max="24" width="9.109375" collapsed="1"/>
  </cols>
  <sheetData>
    <row r="1" spans="1:14" ht="12.75" customHeight="1"/>
    <row r="2" spans="1:14" ht="30" customHeight="1">
      <c r="B2" s="205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05"/>
      <c r="E3" s="205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145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>
      <c r="G45" s="10"/>
    </row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/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4" ht="15" customHeight="1"/>
    <row r="98" spans="7:14" ht="15" customHeight="1"/>
    <row r="99" spans="7:14" ht="15" customHeight="1"/>
    <row r="100" spans="7:14" ht="15" customHeight="1"/>
    <row r="101" spans="7:14" ht="15" customHeight="1"/>
    <row r="102" spans="7:14" ht="15" customHeight="1"/>
    <row r="103" spans="7:14" ht="15" customHeight="1"/>
    <row r="104" spans="7:14" ht="15" customHeight="1"/>
    <row r="105" spans="7:14" ht="15" customHeight="1"/>
    <row r="106" spans="7:14" ht="15" customHeight="1"/>
    <row r="107" spans="7:14" ht="15" customHeight="1"/>
    <row r="108" spans="7:14" ht="15" customHeight="1"/>
    <row r="109" spans="7:14" ht="15" customHeight="1"/>
    <row r="110" spans="7:14" ht="15" customHeight="1">
      <c r="N110" s="214"/>
    </row>
    <row r="111" spans="7:14" ht="15" customHeight="1">
      <c r="J111" s="99" t="s">
        <v>335</v>
      </c>
      <c r="K111" s="70"/>
    </row>
    <row r="112" spans="7:14" ht="15" customHeight="1">
      <c r="G112" s="10"/>
      <c r="H112" s="10"/>
      <c r="I112" s="70"/>
      <c r="L112" s="10"/>
    </row>
    <row r="113" spans="1:16" ht="30" customHeight="1">
      <c r="B113" s="205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05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5.6">
      <c r="A118" s="12"/>
      <c r="C118" s="8"/>
      <c r="D118" s="15"/>
      <c r="E118" s="13"/>
      <c r="J118" s="204"/>
      <c r="K118" s="11"/>
      <c r="L118" s="56"/>
      <c r="M118" s="56"/>
      <c r="N118" s="56"/>
    </row>
    <row r="119" spans="1:16" s="1" customFormat="1" ht="15" customHeight="1">
      <c r="A119" s="12"/>
      <c r="C119" s="110" t="s">
        <v>635</v>
      </c>
      <c r="D119" s="524" t="s">
        <v>680</v>
      </c>
      <c r="E119" s="525"/>
      <c r="F119" s="525"/>
      <c r="G119" s="526"/>
      <c r="I119" s="16"/>
      <c r="J119" s="12"/>
      <c r="N119" s="243" t="s">
        <v>191</v>
      </c>
      <c r="O119" s="12" t="s">
        <v>227</v>
      </c>
      <c r="P119" s="247" t="s">
        <v>16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4">
        <v>5</v>
      </c>
      <c r="O120" s="12" t="s">
        <v>243</v>
      </c>
      <c r="P120" s="335" t="s">
        <v>389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6</v>
      </c>
      <c r="O121" s="12" t="s">
        <v>244</v>
      </c>
      <c r="P121" s="336" t="s">
        <v>390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8</v>
      </c>
      <c r="P122" s="336" t="s">
        <v>391</v>
      </c>
    </row>
    <row r="123" spans="1:16" s="1" customFormat="1" ht="15" customHeight="1">
      <c r="A123" s="12"/>
      <c r="C123" s="110" t="s">
        <v>629</v>
      </c>
      <c r="D123" s="524" t="s">
        <v>15</v>
      </c>
      <c r="E123" s="525"/>
      <c r="F123" s="525"/>
      <c r="G123" s="526"/>
      <c r="H123" s="519" t="s">
        <v>638</v>
      </c>
      <c r="I123" s="520"/>
      <c r="J123" s="517">
        <v>2400</v>
      </c>
      <c r="N123" s="245">
        <v>10</v>
      </c>
      <c r="P123" s="336" t="s">
        <v>392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12</v>
      </c>
      <c r="P124" s="335" t="s">
        <v>393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202"/>
      <c r="L125" s="77"/>
      <c r="N125" s="245">
        <v>14</v>
      </c>
      <c r="P125" s="335" t="s">
        <v>394</v>
      </c>
    </row>
    <row r="126" spans="1:16" s="1" customFormat="1" ht="15" customHeight="1">
      <c r="A126" s="204"/>
      <c r="B126" s="204"/>
      <c r="C126" s="423" t="s">
        <v>631</v>
      </c>
      <c r="D126" s="15"/>
      <c r="H126" s="519" t="s">
        <v>639</v>
      </c>
      <c r="I126" s="520"/>
      <c r="J126" s="517">
        <v>3800</v>
      </c>
      <c r="K126" s="202"/>
      <c r="L126" s="77"/>
      <c r="N126" s="245">
        <v>18</v>
      </c>
      <c r="P126" s="335" t="s">
        <v>395</v>
      </c>
    </row>
    <row r="127" spans="1:16" s="1" customFormat="1" ht="15" customHeight="1">
      <c r="A127" s="204"/>
      <c r="B127" s="204"/>
      <c r="C127" s="110" t="s">
        <v>633</v>
      </c>
      <c r="D127" s="534">
        <v>6</v>
      </c>
      <c r="E127" s="535"/>
      <c r="F127" s="535"/>
      <c r="G127" s="536"/>
      <c r="H127" s="520"/>
      <c r="I127" s="520"/>
      <c r="J127" s="518"/>
      <c r="N127" s="245">
        <v>20</v>
      </c>
      <c r="P127" s="335" t="s">
        <v>396</v>
      </c>
    </row>
    <row r="128" spans="1:16" s="1" customFormat="1" ht="18.75" customHeight="1">
      <c r="C128" s="423" t="s">
        <v>632</v>
      </c>
      <c r="I128" s="12"/>
      <c r="J128" s="12"/>
      <c r="N128" s="245">
        <v>22</v>
      </c>
      <c r="P128" s="335" t="s">
        <v>397</v>
      </c>
    </row>
    <row r="129" spans="1:23" s="1" customFormat="1" ht="15" customHeight="1">
      <c r="A129" s="88" t="str">
        <f>A18</f>
        <v>240-5 Panel (2L3R)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3740</v>
      </c>
      <c r="J133" s="125">
        <f t="shared" ref="J133:J153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10</v>
      </c>
      <c r="U133" s="283" t="s">
        <v>296</v>
      </c>
      <c r="V133" s="285">
        <f>($J$126-185-(113.25*4))/5</f>
        <v>632.4</v>
      </c>
      <c r="W133" s="286">
        <f>$J$121*T133</f>
        <v>0</v>
      </c>
    </row>
    <row r="134" spans="1:23" s="1" customFormat="1" ht="18" customHeight="1">
      <c r="A134" s="143">
        <f t="shared" ref="A134:A153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3714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10</v>
      </c>
      <c r="U134" s="129" t="s">
        <v>296</v>
      </c>
      <c r="V134" s="285">
        <f t="shared" ref="V134:V135" si="2">($J$126-185-(113.25*4))/5</f>
        <v>632.4</v>
      </c>
      <c r="W134" s="131">
        <f t="shared" ref="W134:W135" si="3">$J$121*T134</f>
        <v>0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3740</v>
      </c>
      <c r="J135" s="131">
        <f t="shared" ref="J135:J139" si="4">$J$120*G135</f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10</v>
      </c>
      <c r="U135" s="135" t="s">
        <v>296</v>
      </c>
      <c r="V135" s="285">
        <f t="shared" si="2"/>
        <v>632.4</v>
      </c>
      <c r="W135" s="293">
        <f t="shared" si="3"/>
        <v>0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3740</v>
      </c>
      <c r="J136" s="131">
        <f t="shared" si="4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10</v>
      </c>
      <c r="U136" s="283" t="s">
        <v>64</v>
      </c>
      <c r="V136" s="288">
        <f>$J$123-242</f>
        <v>2158</v>
      </c>
      <c r="W136" s="286">
        <f>$J$121*T136</f>
        <v>0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2400</v>
      </c>
      <c r="J137" s="131">
        <f t="shared" si="4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10</v>
      </c>
      <c r="U137" s="129" t="s">
        <v>64</v>
      </c>
      <c r="V137" s="130">
        <f>$J$123-242</f>
        <v>2158</v>
      </c>
      <c r="W137" s="131">
        <f t="shared" ref="W137:W138" si="5">$J$121*T137</f>
        <v>0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2400</v>
      </c>
      <c r="J138" s="131">
        <f t="shared" si="4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10</v>
      </c>
      <c r="U138" s="135" t="s">
        <v>64</v>
      </c>
      <c r="V138" s="136">
        <f>$J$123-242</f>
        <v>2158</v>
      </c>
      <c r="W138" s="293">
        <f t="shared" si="5"/>
        <v>0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2304</v>
      </c>
      <c r="J139" s="131">
        <f t="shared" si="4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2304</v>
      </c>
      <c r="J140" s="131">
        <f t="shared" ref="J140" si="6">$J$120*G140</f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5</v>
      </c>
      <c r="H141" s="143" t="s">
        <v>296</v>
      </c>
      <c r="I141" s="178">
        <f>($J$126-185-(113.25*4))/5</f>
        <v>632.4</v>
      </c>
      <c r="J141" s="131">
        <f t="shared" ref="J141:J150" si="7">$J$120*G141</f>
        <v>5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5</v>
      </c>
      <c r="H142" s="143" t="s">
        <v>296</v>
      </c>
      <c r="I142" s="178">
        <f>($J$126-185-(113.25*4))/5</f>
        <v>632.4</v>
      </c>
      <c r="J142" s="131">
        <f t="shared" si="7"/>
        <v>5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7</v>
      </c>
      <c r="H143" s="143" t="s">
        <v>63</v>
      </c>
      <c r="I143" s="130">
        <f>$J$123-92</f>
        <v>2308</v>
      </c>
      <c r="J143" s="131">
        <f t="shared" si="7"/>
        <v>7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1</v>
      </c>
      <c r="H144" s="143" t="s">
        <v>63</v>
      </c>
      <c r="I144" s="130">
        <f t="shared" ref="I144:I146" si="8">$J$123-92</f>
        <v>2308</v>
      </c>
      <c r="J144" s="131">
        <f t="shared" si="7"/>
        <v>1</v>
      </c>
      <c r="N144" s="98"/>
    </row>
    <row r="145" spans="1:14" s="1" customFormat="1" ht="18" customHeight="1">
      <c r="A145" s="143">
        <f t="shared" si="1"/>
        <v>13</v>
      </c>
      <c r="B145" s="140" t="s">
        <v>8</v>
      </c>
      <c r="C145" s="140" t="s">
        <v>58</v>
      </c>
      <c r="D145" s="139" t="s">
        <v>50</v>
      </c>
      <c r="E145" s="143">
        <v>1.1060000000000001</v>
      </c>
      <c r="F145" s="139" t="s">
        <v>496</v>
      </c>
      <c r="G145" s="143">
        <v>1</v>
      </c>
      <c r="H145" s="143" t="s">
        <v>63</v>
      </c>
      <c r="I145" s="130">
        <f t="shared" si="8"/>
        <v>2308</v>
      </c>
      <c r="J145" s="131">
        <f t="shared" si="7"/>
        <v>1</v>
      </c>
      <c r="N145" s="98"/>
    </row>
    <row r="146" spans="1:14" s="1" customFormat="1" ht="18" customHeight="1">
      <c r="A146" s="143">
        <f t="shared" si="1"/>
        <v>14</v>
      </c>
      <c r="B146" s="140" t="s">
        <v>116</v>
      </c>
      <c r="C146" s="140" t="s">
        <v>99</v>
      </c>
      <c r="D146" s="139" t="s">
        <v>50</v>
      </c>
      <c r="E146" s="143">
        <v>1.1060000000000001</v>
      </c>
      <c r="F146" s="139" t="s">
        <v>507</v>
      </c>
      <c r="G146" s="143">
        <v>1</v>
      </c>
      <c r="H146" s="143" t="s">
        <v>63</v>
      </c>
      <c r="I146" s="130">
        <f t="shared" si="8"/>
        <v>2308</v>
      </c>
      <c r="J146" s="131">
        <f t="shared" si="7"/>
        <v>1</v>
      </c>
      <c r="N146" s="98"/>
    </row>
    <row r="147" spans="1:14" s="1" customFormat="1" ht="18" customHeight="1">
      <c r="A147" s="143">
        <f t="shared" si="1"/>
        <v>15</v>
      </c>
      <c r="B147" s="140" t="str">
        <f t="shared" ref="B147:I147" si="9">IF($D$127=5,O133,IF($D$127=6,O133,IF($D$127=8,O134,IF($D$127=10,O134,IF($D$127=12,O134,IF($D$127=14,O135,IF($D$127=18,O135,IF($D$127=20,O135,IF($D$127=22,O135,)))))))))</f>
        <v>5-6mm คิ้วตบกระจกแนวนอน</v>
      </c>
      <c r="C147" s="140" t="str">
        <f t="shared" si="9"/>
        <v>5-6mm GLAZING BEAD HORIZONTAL</v>
      </c>
      <c r="D147" s="140" t="str">
        <f t="shared" si="9"/>
        <v>B24008</v>
      </c>
      <c r="E147" s="140">
        <f t="shared" si="9"/>
        <v>0.23100000000000001</v>
      </c>
      <c r="F147" s="140" t="str">
        <f t="shared" si="9"/>
        <v>B24008-001</v>
      </c>
      <c r="G147" s="143">
        <f t="shared" si="9"/>
        <v>10</v>
      </c>
      <c r="H147" s="129" t="str">
        <f t="shared" si="9"/>
        <v>(W-185-(113.25 × 4))/5</v>
      </c>
      <c r="I147" s="178">
        <f t="shared" si="9"/>
        <v>632.4</v>
      </c>
      <c r="J147" s="131">
        <f t="shared" si="7"/>
        <v>10</v>
      </c>
      <c r="N147" s="98"/>
    </row>
    <row r="148" spans="1:14" s="1" customFormat="1" ht="18" customHeight="1">
      <c r="A148" s="143">
        <f t="shared" si="1"/>
        <v>16</v>
      </c>
      <c r="B148" s="140" t="str">
        <f t="shared" ref="B148:I148" si="10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40" t="str">
        <f t="shared" si="10"/>
        <v>5-6mm GLAZING BEAD VERTICAL</v>
      </c>
      <c r="D148" s="140" t="str">
        <f t="shared" si="10"/>
        <v>B24008</v>
      </c>
      <c r="E148" s="140">
        <f t="shared" si="10"/>
        <v>0.23100000000000001</v>
      </c>
      <c r="F148" s="140" t="str">
        <f t="shared" si="10"/>
        <v>B24008-002</v>
      </c>
      <c r="G148" s="143">
        <f t="shared" si="10"/>
        <v>10</v>
      </c>
      <c r="H148" s="129" t="str">
        <f t="shared" si="10"/>
        <v>H-242</v>
      </c>
      <c r="I148" s="144">
        <f t="shared" si="10"/>
        <v>2158</v>
      </c>
      <c r="J148" s="131">
        <f t="shared" si="7"/>
        <v>10</v>
      </c>
      <c r="N148" s="98"/>
    </row>
    <row r="149" spans="1:14" s="1" customFormat="1" ht="18" customHeight="1">
      <c r="A149" s="143">
        <f t="shared" si="1"/>
        <v>17</v>
      </c>
      <c r="B149" s="140" t="s">
        <v>125</v>
      </c>
      <c r="C149" s="140" t="s">
        <v>124</v>
      </c>
      <c r="D149" s="139" t="s">
        <v>123</v>
      </c>
      <c r="E149" s="143"/>
      <c r="F149" s="139" t="s">
        <v>364</v>
      </c>
      <c r="G149" s="143">
        <v>1</v>
      </c>
      <c r="H149" s="143" t="s">
        <v>63</v>
      </c>
      <c r="I149" s="130">
        <f>$J$123-92</f>
        <v>2308</v>
      </c>
      <c r="J149" s="131">
        <f t="shared" si="7"/>
        <v>1</v>
      </c>
      <c r="N149" s="98"/>
    </row>
    <row r="150" spans="1:14" s="1" customFormat="1" ht="18" customHeight="1">
      <c r="A150" s="143">
        <f t="shared" si="1"/>
        <v>18</v>
      </c>
      <c r="B150" s="140" t="s">
        <v>125</v>
      </c>
      <c r="C150" s="140" t="s">
        <v>124</v>
      </c>
      <c r="D150" s="139" t="s">
        <v>123</v>
      </c>
      <c r="E150" s="143"/>
      <c r="F150" s="139" t="s">
        <v>365</v>
      </c>
      <c r="G150" s="143">
        <v>1</v>
      </c>
      <c r="H150" s="143" t="s">
        <v>63</v>
      </c>
      <c r="I150" s="130">
        <f>$J$123-92</f>
        <v>2308</v>
      </c>
      <c r="J150" s="131">
        <f t="shared" si="7"/>
        <v>1</v>
      </c>
      <c r="N150" s="98"/>
    </row>
    <row r="151" spans="1:14" s="1" customFormat="1" ht="18" customHeight="1">
      <c r="A151" s="143" t="str">
        <f t="shared" si="1"/>
        <v/>
      </c>
      <c r="B151" s="140"/>
      <c r="C151" s="140"/>
      <c r="D151" s="139"/>
      <c r="E151" s="143"/>
      <c r="F151" s="139"/>
      <c r="G151" s="143"/>
      <c r="H151" s="143"/>
      <c r="I151" s="130"/>
      <c r="J151" s="131"/>
      <c r="N151" s="98"/>
    </row>
    <row r="152" spans="1:14" s="1" customFormat="1" ht="18" customHeight="1">
      <c r="A152" s="143" t="str">
        <f t="shared" si="1"/>
        <v/>
      </c>
      <c r="B152" s="127"/>
      <c r="C152" s="127"/>
      <c r="D152" s="128"/>
      <c r="E152" s="129"/>
      <c r="F152" s="128"/>
      <c r="G152" s="129"/>
      <c r="H152" s="129"/>
      <c r="I152" s="144"/>
      <c r="J152" s="131">
        <f t="shared" si="0"/>
        <v>0</v>
      </c>
      <c r="N152" s="98"/>
    </row>
    <row r="153" spans="1:14" s="1" customFormat="1" ht="18" customHeight="1" thickBot="1">
      <c r="A153" s="143" t="str">
        <f t="shared" si="1"/>
        <v/>
      </c>
      <c r="B153" s="167"/>
      <c r="C153" s="167"/>
      <c r="D153" s="168"/>
      <c r="E153" s="166"/>
      <c r="F153" s="168"/>
      <c r="G153" s="166"/>
      <c r="H153" s="166"/>
      <c r="I153" s="171"/>
      <c r="J153" s="172">
        <f t="shared" si="0"/>
        <v>0</v>
      </c>
    </row>
    <row r="154" spans="1:14" s="1" customFormat="1" ht="27" outlineLevel="1" thickBot="1">
      <c r="A154" s="169" t="s">
        <v>2</v>
      </c>
      <c r="B154" s="169" t="s">
        <v>29</v>
      </c>
      <c r="C154" s="169" t="s">
        <v>3</v>
      </c>
      <c r="D154" s="169" t="s">
        <v>4</v>
      </c>
      <c r="E154" s="169" t="s">
        <v>5</v>
      </c>
      <c r="F154" s="177" t="s">
        <v>85</v>
      </c>
      <c r="G154" s="169" t="s">
        <v>22</v>
      </c>
      <c r="H154" s="170" t="s">
        <v>23</v>
      </c>
      <c r="I154" s="540"/>
      <c r="J154" s="541"/>
    </row>
    <row r="155" spans="1:14" s="1" customFormat="1" ht="15" customHeight="1" outlineLevel="1">
      <c r="A155" s="21">
        <f>IF(B155="","",1)</f>
        <v>1</v>
      </c>
      <c r="B155" s="173" t="str">
        <f t="shared" ref="B155:C161" si="11">B133</f>
        <v>เฟรมบน</v>
      </c>
      <c r="C155" s="173" t="str">
        <f t="shared" si="11"/>
        <v>HEAD</v>
      </c>
      <c r="D155" s="174" t="str">
        <f>VLOOKUP(C155,$C$133:$H$153,2,0)</f>
        <v>B24001</v>
      </c>
      <c r="E155" s="175">
        <f t="shared" ref="E155:E161" si="12">VLOOKUP(C155,$C$133:$H$153,3,0)</f>
        <v>1.603</v>
      </c>
      <c r="F155" s="353">
        <f>VLOOKUP(C155,$C$133:$J$153,7,0)</f>
        <v>3740</v>
      </c>
      <c r="G155" s="175">
        <f t="shared" ref="G155:G161" si="13">VLOOKUP(C155,$C$133:$J$153,8,0)</f>
        <v>1</v>
      </c>
      <c r="H155" s="191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ref="A156:A161" si="14">IF(B156="","",+A155+1)</f>
        <v>2</v>
      </c>
      <c r="B156" s="173" t="str">
        <f t="shared" si="11"/>
        <v>บังใบบน</v>
      </c>
      <c r="C156" s="173" t="str">
        <f t="shared" si="11"/>
        <v>DOOR STOP HEAD</v>
      </c>
      <c r="D156" s="174" t="str">
        <f>VLOOKUP(C156,$C$133:$H$153,2,0)</f>
        <v>B24002</v>
      </c>
      <c r="E156" s="175">
        <f t="shared" si="12"/>
        <v>0.27800000000000002</v>
      </c>
      <c r="F156" s="353">
        <f t="shared" ref="F156:F161" si="15">VLOOKUP(C156,$C$133:$I$153,7,0)</f>
        <v>3714</v>
      </c>
      <c r="G156" s="175">
        <f t="shared" si="13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si="14"/>
        <v>3</v>
      </c>
      <c r="B157" s="173" t="str">
        <f t="shared" si="11"/>
        <v xml:space="preserve">เฟรมล่าง </v>
      </c>
      <c r="C157" s="173" t="str">
        <f t="shared" si="11"/>
        <v>SILL</v>
      </c>
      <c r="D157" s="174" t="str">
        <f>VLOOKUP(C157,$C$133:$H$153,2,0)</f>
        <v>B24003</v>
      </c>
      <c r="E157" s="175">
        <f t="shared" si="12"/>
        <v>1.603</v>
      </c>
      <c r="F157" s="353">
        <f t="shared" si="15"/>
        <v>3740</v>
      </c>
      <c r="G157" s="175">
        <f t="shared" si="13"/>
        <v>1</v>
      </c>
      <c r="H157" s="192">
        <f t="shared" ref="H157:H158" si="16">ROUNDUP((F157*G157)/6400,0)</f>
        <v>1</v>
      </c>
      <c r="I157" s="501"/>
      <c r="J157" s="501"/>
    </row>
    <row r="158" spans="1:14" s="1" customFormat="1" ht="15" customHeight="1" outlineLevel="1">
      <c r="A158" s="18">
        <f t="shared" si="14"/>
        <v>4</v>
      </c>
      <c r="B158" s="173" t="str">
        <f t="shared" si="11"/>
        <v>ตัวตับธรณี</v>
      </c>
      <c r="C158" s="173" t="str">
        <f t="shared" si="11"/>
        <v>DOOR STOP SILL</v>
      </c>
      <c r="D158" s="174" t="str">
        <f>VLOOKUP(C158,$C$133:$H$153,2,0)</f>
        <v>B24004</v>
      </c>
      <c r="E158" s="175">
        <f t="shared" si="12"/>
        <v>0.51600000000000001</v>
      </c>
      <c r="F158" s="353">
        <f t="shared" si="15"/>
        <v>3740</v>
      </c>
      <c r="G158" s="175">
        <f t="shared" si="13"/>
        <v>1</v>
      </c>
      <c r="H158" s="192">
        <f t="shared" si="16"/>
        <v>1</v>
      </c>
      <c r="I158" s="501"/>
      <c r="J158" s="501"/>
    </row>
    <row r="159" spans="1:14" s="1" customFormat="1" ht="15" customHeight="1" outlineLevel="1">
      <c r="A159" s="18">
        <f t="shared" si="14"/>
        <v>5</v>
      </c>
      <c r="B159" s="173" t="str">
        <f t="shared" si="11"/>
        <v>เฟรมข้าง (ซ้าย)</v>
      </c>
      <c r="C159" s="173" t="str">
        <f t="shared" si="11"/>
        <v>JAMB (L)</v>
      </c>
      <c r="D159" s="508" t="str">
        <f>VLOOKUP(C159,$C$133:$H$153,2,0)</f>
        <v>B24005</v>
      </c>
      <c r="E159" s="175">
        <f t="shared" si="12"/>
        <v>0.89300000000000002</v>
      </c>
      <c r="F159" s="353">
        <f t="shared" si="15"/>
        <v>2400</v>
      </c>
      <c r="G159" s="175">
        <f t="shared" si="13"/>
        <v>1</v>
      </c>
      <c r="H159" s="516">
        <f>ROUNDUP(((F159*G159)+(F160*G160))/6400,0)</f>
        <v>1</v>
      </c>
      <c r="I159" s="506"/>
      <c r="J159" s="506"/>
    </row>
    <row r="160" spans="1:14" s="1" customFormat="1" ht="15" customHeight="1" outlineLevel="1">
      <c r="A160" s="18">
        <f t="shared" si="14"/>
        <v>6</v>
      </c>
      <c r="B160" s="173" t="str">
        <f t="shared" si="11"/>
        <v>เฟรมข้าง (ขวา)</v>
      </c>
      <c r="C160" s="173" t="str">
        <f t="shared" si="11"/>
        <v>JAMB (R)</v>
      </c>
      <c r="D160" s="509"/>
      <c r="E160" s="175">
        <f t="shared" si="12"/>
        <v>0.89300000000000002</v>
      </c>
      <c r="F160" s="353">
        <f t="shared" si="15"/>
        <v>2400</v>
      </c>
      <c r="G160" s="175">
        <f t="shared" si="13"/>
        <v>1</v>
      </c>
      <c r="H160" s="516"/>
      <c r="I160" s="506"/>
      <c r="J160" s="506"/>
    </row>
    <row r="161" spans="1:23" s="1" customFormat="1" ht="15" customHeight="1" outlineLevel="1">
      <c r="A161" s="18">
        <f t="shared" si="14"/>
        <v>7</v>
      </c>
      <c r="B161" s="173" t="str">
        <f>B139</f>
        <v>บังใบข้าง (ซ้าย)</v>
      </c>
      <c r="C161" s="173" t="str">
        <f t="shared" si="11"/>
        <v>DOOR STOP JAMB (L)</v>
      </c>
      <c r="D161" s="508" t="str">
        <f>VLOOKUP(C161,$C$133:$H$153,2,0)</f>
        <v>B24006</v>
      </c>
      <c r="E161" s="175">
        <f t="shared" si="12"/>
        <v>0.23499999999999999</v>
      </c>
      <c r="F161" s="353">
        <f t="shared" si="15"/>
        <v>2304</v>
      </c>
      <c r="G161" s="175">
        <f t="shared" si="13"/>
        <v>1</v>
      </c>
      <c r="H161" s="516">
        <f>ROUNDUP(((F161*G161)+(F162*G162))/6400,0)</f>
        <v>1</v>
      </c>
      <c r="I161" s="501"/>
      <c r="J161" s="501"/>
    </row>
    <row r="162" spans="1:23" s="1" customFormat="1" ht="15" customHeight="1" outlineLevel="1">
      <c r="A162" s="18">
        <f t="shared" ref="A162:A172" si="17">IF(B162="","",+A161+1)</f>
        <v>8</v>
      </c>
      <c r="B162" s="173" t="str">
        <f t="shared" ref="B162:C162" si="18">B140</f>
        <v>บังใบข้าง (ขวา)</v>
      </c>
      <c r="C162" s="173" t="str">
        <f t="shared" si="18"/>
        <v>DOOR STOP JAMB (R)</v>
      </c>
      <c r="D162" s="509"/>
      <c r="E162" s="175">
        <f t="shared" ref="E162:E172" si="19">VLOOKUP(C162,$C$133:$H$153,3,0)</f>
        <v>0.23499999999999999</v>
      </c>
      <c r="F162" s="353">
        <f t="shared" ref="F162:F172" si="20">VLOOKUP(C162,$C$133:$I$153,7,0)</f>
        <v>2304</v>
      </c>
      <c r="G162" s="175">
        <f t="shared" ref="G162:G172" si="21">VLOOKUP(C162,$C$133:$J$153,8,0)</f>
        <v>1</v>
      </c>
      <c r="H162" s="516"/>
      <c r="I162" s="506"/>
      <c r="J162" s="506"/>
    </row>
    <row r="163" spans="1:23" s="1" customFormat="1" ht="13.8" outlineLevel="1">
      <c r="A163" s="18">
        <f t="shared" si="17"/>
        <v>9</v>
      </c>
      <c r="B163" s="173" t="str">
        <f t="shared" ref="B163:C163" si="22">B141</f>
        <v>ขวางบน</v>
      </c>
      <c r="C163" s="173" t="str">
        <f t="shared" si="22"/>
        <v>SASH (Hor) (T)</v>
      </c>
      <c r="D163" s="508" t="str">
        <f t="shared" ref="D163:D171" si="23">VLOOKUP(C163,$C$133:$H$153,2,0)</f>
        <v>B24007</v>
      </c>
      <c r="E163" s="175">
        <f t="shared" si="19"/>
        <v>1.1060000000000001</v>
      </c>
      <c r="F163" s="353">
        <f t="shared" si="20"/>
        <v>632.4</v>
      </c>
      <c r="G163" s="175">
        <f t="shared" si="21"/>
        <v>5</v>
      </c>
      <c r="H163" s="512">
        <f>ROUNDUP(((F163*G163)+(F164*G164)+(F165*G165)+(F166*G166)+(F167*G167)+(F168*G168))/6400,0)</f>
        <v>5</v>
      </c>
      <c r="I163" s="506"/>
      <c r="J163" s="506"/>
    </row>
    <row r="164" spans="1:23" s="1" customFormat="1" ht="13.8" outlineLevel="1">
      <c r="A164" s="18">
        <f t="shared" si="17"/>
        <v>10</v>
      </c>
      <c r="B164" s="173" t="str">
        <f t="shared" ref="B164:C164" si="24">B142</f>
        <v>ขวางล่าง</v>
      </c>
      <c r="C164" s="173" t="str">
        <f t="shared" si="24"/>
        <v>SASH (Hor) (B)</v>
      </c>
      <c r="D164" s="510"/>
      <c r="E164" s="175">
        <f t="shared" si="19"/>
        <v>1.1060000000000001</v>
      </c>
      <c r="F164" s="353">
        <f t="shared" si="20"/>
        <v>632.4</v>
      </c>
      <c r="G164" s="175">
        <f t="shared" si="21"/>
        <v>5</v>
      </c>
      <c r="H164" s="514"/>
      <c r="I164" s="506"/>
      <c r="J164" s="506"/>
    </row>
    <row r="165" spans="1:23" s="1" customFormat="1" ht="13.8" outlineLevel="1">
      <c r="A165" s="18">
        <f t="shared" si="17"/>
        <v>11</v>
      </c>
      <c r="B165" s="173" t="str">
        <f t="shared" ref="B165:C165" si="25">B143</f>
        <v>เสา</v>
      </c>
      <c r="C165" s="173" t="str">
        <f t="shared" si="25"/>
        <v xml:space="preserve">SASH (Ver) </v>
      </c>
      <c r="D165" s="510"/>
      <c r="E165" s="175">
        <f t="shared" si="19"/>
        <v>1.1060000000000001</v>
      </c>
      <c r="F165" s="353">
        <f t="shared" si="20"/>
        <v>2308</v>
      </c>
      <c r="G165" s="175">
        <f t="shared" si="21"/>
        <v>7</v>
      </c>
      <c r="H165" s="514"/>
      <c r="I165" s="506"/>
      <c r="J165" s="506"/>
    </row>
    <row r="166" spans="1:23" s="1" customFormat="1" ht="13.8" outlineLevel="1">
      <c r="A166" s="18">
        <f t="shared" si="17"/>
        <v>12</v>
      </c>
      <c r="B166" s="173" t="str">
        <f t="shared" ref="B166:C166" si="26">B144</f>
        <v>เสากุญแจ</v>
      </c>
      <c r="C166" s="173" t="str">
        <f t="shared" si="26"/>
        <v xml:space="preserve">SASH (Ver) LOCK </v>
      </c>
      <c r="D166" s="510"/>
      <c r="E166" s="175">
        <f t="shared" si="19"/>
        <v>1.1060000000000001</v>
      </c>
      <c r="F166" s="353">
        <f t="shared" si="20"/>
        <v>2308</v>
      </c>
      <c r="G166" s="175">
        <f t="shared" si="21"/>
        <v>1</v>
      </c>
      <c r="H166" s="514"/>
      <c r="I166" s="506"/>
      <c r="J166" s="506"/>
    </row>
    <row r="167" spans="1:23" s="1" customFormat="1" ht="13.8" outlineLevel="1">
      <c r="A167" s="18">
        <f t="shared" si="17"/>
        <v>13</v>
      </c>
      <c r="B167" s="173" t="str">
        <f t="shared" ref="B167:C167" si="27">B145</f>
        <v>เสากุญแจ</v>
      </c>
      <c r="C167" s="173" t="str">
        <f t="shared" si="27"/>
        <v xml:space="preserve">SASH (Ver) LOCK </v>
      </c>
      <c r="D167" s="510"/>
      <c r="E167" s="175">
        <f t="shared" si="19"/>
        <v>1.1060000000000001</v>
      </c>
      <c r="F167" s="353">
        <f t="shared" si="20"/>
        <v>2308</v>
      </c>
      <c r="G167" s="175">
        <f t="shared" si="21"/>
        <v>1</v>
      </c>
      <c r="H167" s="514"/>
      <c r="I167" s="506"/>
      <c r="J167" s="506"/>
    </row>
    <row r="168" spans="1:23" s="1" customFormat="1" ht="15" customHeight="1" outlineLevel="1">
      <c r="A168" s="18">
        <f t="shared" si="17"/>
        <v>14</v>
      </c>
      <c r="B168" s="173" t="str">
        <f t="shared" ref="B168:C168" si="28">B146</f>
        <v>เสากุญแจมือจับ</v>
      </c>
      <c r="C168" s="173" t="str">
        <f t="shared" si="28"/>
        <v>SASH (Ver) LOCK HANDLE</v>
      </c>
      <c r="D168" s="509"/>
      <c r="E168" s="175">
        <f t="shared" si="19"/>
        <v>1.1060000000000001</v>
      </c>
      <c r="F168" s="353">
        <f t="shared" si="20"/>
        <v>2308</v>
      </c>
      <c r="G168" s="175">
        <f t="shared" si="21"/>
        <v>1</v>
      </c>
      <c r="H168" s="515"/>
      <c r="I168" s="501"/>
      <c r="J168" s="501"/>
    </row>
    <row r="169" spans="1:23" s="1" customFormat="1" ht="15" customHeight="1" outlineLevel="1">
      <c r="A169" s="18">
        <f t="shared" si="17"/>
        <v>15</v>
      </c>
      <c r="B169" s="173" t="str">
        <f t="shared" ref="B169:C169" si="29">B147</f>
        <v>5-6mm คิ้วตบกระจกแนวนอน</v>
      </c>
      <c r="C169" s="173" t="str">
        <f t="shared" si="29"/>
        <v>5-6mm GLAZING BEAD HORIZONTAL</v>
      </c>
      <c r="D169" s="508" t="str">
        <f t="shared" si="23"/>
        <v>B24008</v>
      </c>
      <c r="E169" s="175">
        <f t="shared" si="19"/>
        <v>0.23100000000000001</v>
      </c>
      <c r="F169" s="353">
        <f t="shared" si="20"/>
        <v>632.4</v>
      </c>
      <c r="G169" s="175">
        <f t="shared" si="21"/>
        <v>10</v>
      </c>
      <c r="H169" s="516">
        <f>ROUNDUP(((F169*G169)+(F170*G170))/6400,0)</f>
        <v>5</v>
      </c>
      <c r="I169" s="206"/>
      <c r="J169" s="206"/>
    </row>
    <row r="170" spans="1:23" s="1" customFormat="1" ht="15" customHeight="1" outlineLevel="1">
      <c r="A170" s="18">
        <f t="shared" si="17"/>
        <v>16</v>
      </c>
      <c r="B170" s="173" t="str">
        <f t="shared" ref="B170:C170" si="30">B148</f>
        <v>5-6mm คิ้วตบกระจกแนวตั้ง</v>
      </c>
      <c r="C170" s="173" t="str">
        <f t="shared" si="30"/>
        <v>5-6mm GLAZING BEAD VERTICAL</v>
      </c>
      <c r="D170" s="509"/>
      <c r="E170" s="175">
        <f t="shared" si="19"/>
        <v>0.23100000000000001</v>
      </c>
      <c r="F170" s="353">
        <f t="shared" si="20"/>
        <v>2158</v>
      </c>
      <c r="G170" s="175">
        <f t="shared" si="21"/>
        <v>10</v>
      </c>
      <c r="H170" s="516"/>
      <c r="I170" s="206"/>
      <c r="J170" s="206"/>
    </row>
    <row r="171" spans="1:23" s="1" customFormat="1" ht="13.8" outlineLevel="1">
      <c r="A171" s="18">
        <f t="shared" si="17"/>
        <v>17</v>
      </c>
      <c r="B171" s="173" t="str">
        <f t="shared" ref="B171:C171" si="31">B149</f>
        <v>บังใบ</v>
      </c>
      <c r="C171" s="173" t="str">
        <f t="shared" si="31"/>
        <v>SASH STOP</v>
      </c>
      <c r="D171" s="570" t="str">
        <f t="shared" si="23"/>
        <v>B24009</v>
      </c>
      <c r="E171" s="175">
        <f t="shared" si="19"/>
        <v>0</v>
      </c>
      <c r="F171" s="353">
        <f t="shared" si="20"/>
        <v>2308</v>
      </c>
      <c r="G171" s="175">
        <f t="shared" si="21"/>
        <v>1</v>
      </c>
      <c r="H171" s="516">
        <f>ROUNDUP(((F171*G171)+(F172*G172))/6400,0)</f>
        <v>1</v>
      </c>
      <c r="I171" s="206"/>
      <c r="J171" s="206"/>
    </row>
    <row r="172" spans="1:23" s="1" customFormat="1" outlineLevel="1" thickBot="1">
      <c r="A172" s="18">
        <f t="shared" si="17"/>
        <v>18</v>
      </c>
      <c r="B172" s="173" t="str">
        <f t="shared" ref="B172:C172" si="32">B150</f>
        <v>บังใบ</v>
      </c>
      <c r="C172" s="173" t="str">
        <f t="shared" si="32"/>
        <v>SASH STOP</v>
      </c>
      <c r="D172" s="571"/>
      <c r="E172" s="175">
        <f t="shared" si="19"/>
        <v>0</v>
      </c>
      <c r="F172" s="353">
        <f t="shared" si="20"/>
        <v>2308</v>
      </c>
      <c r="G172" s="175">
        <f t="shared" si="21"/>
        <v>1</v>
      </c>
      <c r="H172" s="516"/>
      <c r="I172" s="206"/>
      <c r="J172" s="206"/>
    </row>
    <row r="173" spans="1:23" s="1" customFormat="1" ht="24.9" customHeight="1" thickBot="1">
      <c r="A173" s="529" t="s">
        <v>9</v>
      </c>
      <c r="B173" s="530"/>
      <c r="C173" s="530"/>
      <c r="D173" s="530"/>
      <c r="E173" s="530"/>
      <c r="F173" s="530"/>
      <c r="G173" s="530"/>
      <c r="H173" s="530"/>
      <c r="I173" s="530"/>
      <c r="J173" s="531"/>
    </row>
    <row r="174" spans="1:23" s="1" customFormat="1" ht="35.1" customHeight="1" thickBot="1">
      <c r="A174" s="102" t="s">
        <v>2</v>
      </c>
      <c r="B174" s="103" t="s">
        <v>29</v>
      </c>
      <c r="C174" s="103" t="s">
        <v>3</v>
      </c>
      <c r="D174" s="103" t="s">
        <v>199</v>
      </c>
      <c r="E174" s="103" t="s">
        <v>5</v>
      </c>
      <c r="F174" s="104" t="s">
        <v>28</v>
      </c>
      <c r="G174" s="103" t="s">
        <v>19</v>
      </c>
      <c r="H174" s="104" t="s">
        <v>200</v>
      </c>
      <c r="I174" s="104" t="s">
        <v>20</v>
      </c>
      <c r="J174" s="115" t="s">
        <v>201</v>
      </c>
      <c r="N174" s="101" t="s">
        <v>191</v>
      </c>
      <c r="O174" s="246" t="s">
        <v>29</v>
      </c>
      <c r="P174" s="246" t="s">
        <v>3</v>
      </c>
      <c r="Q174" s="246" t="s">
        <v>199</v>
      </c>
      <c r="R174" s="246" t="s">
        <v>5</v>
      </c>
      <c r="S174" s="246" t="s">
        <v>28</v>
      </c>
      <c r="T174" s="246" t="s">
        <v>19</v>
      </c>
      <c r="U174" s="246" t="s">
        <v>200</v>
      </c>
      <c r="V174" s="246" t="s">
        <v>20</v>
      </c>
      <c r="W174" s="246" t="s">
        <v>201</v>
      </c>
    </row>
    <row r="175" spans="1:23" s="1" customFormat="1" ht="18" customHeight="1">
      <c r="A175" s="200">
        <f>IF(B175="","",1)</f>
        <v>1</v>
      </c>
      <c r="B175" s="140" t="s">
        <v>111</v>
      </c>
      <c r="C175" s="140" t="s">
        <v>67</v>
      </c>
      <c r="D175" s="139" t="s">
        <v>74</v>
      </c>
      <c r="E175" s="143"/>
      <c r="F175" s="143" t="s">
        <v>74</v>
      </c>
      <c r="G175" s="143"/>
      <c r="H175" s="143">
        <v>10</v>
      </c>
      <c r="I175" s="130"/>
      <c r="J175" s="131">
        <f t="shared" ref="J175:J197" si="33">$J$120*H175</f>
        <v>10</v>
      </c>
      <c r="N175" s="101" t="s">
        <v>226</v>
      </c>
      <c r="O175" s="280" t="s">
        <v>252</v>
      </c>
      <c r="P175" s="290" t="s">
        <v>248</v>
      </c>
      <c r="Q175" s="280" t="s">
        <v>69</v>
      </c>
      <c r="R175" s="213"/>
      <c r="S175" s="213" t="s">
        <v>69</v>
      </c>
      <c r="T175" s="213" t="s">
        <v>198</v>
      </c>
      <c r="U175" s="291">
        <f>((($I$141*$G$141)+($I$142*$G$142)+($I$143*$G$143)+($I$144*$G$144)+($I$145*$G$145)+($I$146*$G$146))/1000)*$J$120</f>
        <v>29.404</v>
      </c>
      <c r="V175" s="291">
        <v>100</v>
      </c>
      <c r="W175" s="292">
        <f>ROUNDUP((U175)/100,0)</f>
        <v>1</v>
      </c>
    </row>
    <row r="176" spans="1:23" s="1" customFormat="1" ht="18" customHeight="1">
      <c r="A176" s="201">
        <f>IF(B176="","",+A175+1)</f>
        <v>2</v>
      </c>
      <c r="B176" s="140" t="s">
        <v>106</v>
      </c>
      <c r="C176" s="140" t="s">
        <v>503</v>
      </c>
      <c r="D176" s="139" t="s">
        <v>75</v>
      </c>
      <c r="E176" s="143"/>
      <c r="F176" s="143" t="s">
        <v>75</v>
      </c>
      <c r="G176" s="143"/>
      <c r="H176" s="143">
        <v>2</v>
      </c>
      <c r="I176" s="130"/>
      <c r="J176" s="131">
        <f t="shared" si="33"/>
        <v>2</v>
      </c>
      <c r="N176" s="101" t="s">
        <v>230</v>
      </c>
      <c r="O176" s="280" t="s">
        <v>253</v>
      </c>
      <c r="P176" s="290" t="s">
        <v>249</v>
      </c>
      <c r="Q176" s="280" t="s">
        <v>188</v>
      </c>
      <c r="R176" s="213"/>
      <c r="S176" s="213" t="s">
        <v>188</v>
      </c>
      <c r="T176" s="213" t="s">
        <v>198</v>
      </c>
      <c r="U176" s="291">
        <f>((($I$141*$G$141)+($I$142*$G$142)+($I$143*$G$143)+($I$144*$G$144)+($I$145*$G$145)+($I$146*$G$146))/1000)*$J$120</f>
        <v>29.404</v>
      </c>
      <c r="V176" s="291">
        <v>100</v>
      </c>
      <c r="W176" s="292">
        <f t="shared" ref="W176:W178" si="34">ROUNDUP((U176)/100,0)</f>
        <v>1</v>
      </c>
    </row>
    <row r="177" spans="1:23" s="1" customFormat="1" ht="18" customHeight="1">
      <c r="A177" s="201">
        <f t="shared" ref="A177:A204" si="35">IF(B177="","",+A176+1)</f>
        <v>3</v>
      </c>
      <c r="B177" s="140" t="s">
        <v>107</v>
      </c>
      <c r="C177" s="140" t="s">
        <v>504</v>
      </c>
      <c r="D177" s="139" t="s">
        <v>76</v>
      </c>
      <c r="E177" s="143"/>
      <c r="F177" s="143" t="s">
        <v>76</v>
      </c>
      <c r="G177" s="143"/>
      <c r="H177" s="143">
        <v>2</v>
      </c>
      <c r="I177" s="130"/>
      <c r="J177" s="131">
        <f t="shared" si="33"/>
        <v>2</v>
      </c>
      <c r="N177" s="101" t="s">
        <v>229</v>
      </c>
      <c r="O177" s="290" t="s">
        <v>254</v>
      </c>
      <c r="P177" s="290" t="s">
        <v>250</v>
      </c>
      <c r="Q177" s="280" t="s">
        <v>70</v>
      </c>
      <c r="R177" s="213"/>
      <c r="S177" s="213" t="s">
        <v>70</v>
      </c>
      <c r="T177" s="213" t="s">
        <v>198</v>
      </c>
      <c r="U177" s="291">
        <f>((($I$141*$G$141)+($I$142*$G$142)+($I$143*$G$143)+($I$144*$G$144)+($I$145*$G$145)+($I$146*$G$146))/1000)*$J$120</f>
        <v>29.404</v>
      </c>
      <c r="V177" s="291">
        <v>100</v>
      </c>
      <c r="W177" s="292">
        <f t="shared" si="34"/>
        <v>1</v>
      </c>
    </row>
    <row r="178" spans="1:23" s="1" customFormat="1" ht="18" customHeight="1">
      <c r="A178" s="201">
        <f t="shared" si="35"/>
        <v>4</v>
      </c>
      <c r="B178" s="140" t="s">
        <v>108</v>
      </c>
      <c r="C178" s="140" t="s">
        <v>10</v>
      </c>
      <c r="D178" s="139">
        <v>9</v>
      </c>
      <c r="E178" s="143"/>
      <c r="F178" s="143">
        <v>9</v>
      </c>
      <c r="G178" s="143"/>
      <c r="H178" s="143">
        <v>8</v>
      </c>
      <c r="I178" s="130"/>
      <c r="J178" s="131">
        <f t="shared" si="33"/>
        <v>8</v>
      </c>
      <c r="N178" s="101" t="s">
        <v>231</v>
      </c>
      <c r="O178" s="290" t="s">
        <v>255</v>
      </c>
      <c r="P178" s="290" t="s">
        <v>251</v>
      </c>
      <c r="Q178" s="280" t="s">
        <v>189</v>
      </c>
      <c r="R178" s="213"/>
      <c r="S178" s="213" t="s">
        <v>189</v>
      </c>
      <c r="T178" s="213" t="s">
        <v>198</v>
      </c>
      <c r="U178" s="291">
        <f>((($I$141*$G$141)+($I$142*$G$142)+($I$143*$G$143)+($I$144*$G$144)+($I$145*$G$145)+($I$146*$G$146))/1000)*$J$120</f>
        <v>29.404</v>
      </c>
      <c r="V178" s="291">
        <v>100</v>
      </c>
      <c r="W178" s="292">
        <f t="shared" si="34"/>
        <v>1</v>
      </c>
    </row>
    <row r="179" spans="1:23" s="1" customFormat="1" ht="18" customHeight="1">
      <c r="A179" s="201">
        <f t="shared" si="35"/>
        <v>5</v>
      </c>
      <c r="B179" s="140" t="s">
        <v>109</v>
      </c>
      <c r="C179" s="140" t="s">
        <v>68</v>
      </c>
      <c r="D179" s="139">
        <v>9</v>
      </c>
      <c r="E179" s="143"/>
      <c r="F179" s="143">
        <v>9</v>
      </c>
      <c r="G179" s="143"/>
      <c r="H179" s="143">
        <v>110</v>
      </c>
      <c r="I179" s="130"/>
      <c r="J179" s="131">
        <f t="shared" si="33"/>
        <v>110</v>
      </c>
      <c r="N179" s="101" t="s">
        <v>232</v>
      </c>
      <c r="O179" s="290" t="s">
        <v>256</v>
      </c>
      <c r="P179" s="290" t="s">
        <v>247</v>
      </c>
      <c r="Q179" s="280" t="s">
        <v>233</v>
      </c>
      <c r="R179" s="213"/>
      <c r="S179" s="213" t="s">
        <v>233</v>
      </c>
      <c r="T179" s="213" t="s">
        <v>198</v>
      </c>
      <c r="U179" s="291">
        <f>((($I$141*$G$141)+($I$142*$G$142)+($I$143*$G$143)+($I$144*$G$144)+($I$145*$G$145)+($I$146*$G$146))/1000)*$J$120</f>
        <v>29.404</v>
      </c>
      <c r="V179" s="291">
        <v>100</v>
      </c>
      <c r="W179" s="292">
        <f>ROUNDUP((U179)/100,0)</f>
        <v>1</v>
      </c>
    </row>
    <row r="180" spans="1:23" s="1" customFormat="1" ht="18" customHeight="1">
      <c r="A180" s="201">
        <f t="shared" si="35"/>
        <v>6</v>
      </c>
      <c r="B180" s="140" t="s">
        <v>118</v>
      </c>
      <c r="C180" s="140" t="s">
        <v>77</v>
      </c>
      <c r="D180" s="139" t="s">
        <v>80</v>
      </c>
      <c r="E180" s="143"/>
      <c r="F180" s="143" t="s">
        <v>80</v>
      </c>
      <c r="G180" s="143" t="s">
        <v>185</v>
      </c>
      <c r="H180" s="143">
        <v>1</v>
      </c>
      <c r="I180" s="130"/>
      <c r="J180" s="131">
        <f t="shared" si="33"/>
        <v>1</v>
      </c>
    </row>
    <row r="181" spans="1:23" s="1" customFormat="1" ht="18" customHeight="1">
      <c r="A181" s="201">
        <f t="shared" si="35"/>
        <v>7</v>
      </c>
      <c r="B181" s="140" t="s">
        <v>120</v>
      </c>
      <c r="C181" s="140" t="s">
        <v>94</v>
      </c>
      <c r="D181" s="139" t="s">
        <v>96</v>
      </c>
      <c r="E181" s="143"/>
      <c r="F181" s="143" t="s">
        <v>96</v>
      </c>
      <c r="G181" s="143" t="s">
        <v>185</v>
      </c>
      <c r="H181" s="143">
        <v>1</v>
      </c>
      <c r="I181" s="130"/>
      <c r="J181" s="131">
        <f t="shared" si="33"/>
        <v>1</v>
      </c>
    </row>
    <row r="182" spans="1:23" s="1" customFormat="1" ht="18" customHeight="1">
      <c r="A182" s="201">
        <f t="shared" si="35"/>
        <v>8</v>
      </c>
      <c r="B182" s="140" t="s">
        <v>142</v>
      </c>
      <c r="C182" s="140" t="s">
        <v>141</v>
      </c>
      <c r="D182" s="139" t="s">
        <v>81</v>
      </c>
      <c r="E182" s="143"/>
      <c r="F182" s="143" t="s">
        <v>81</v>
      </c>
      <c r="G182" s="143" t="s">
        <v>185</v>
      </c>
      <c r="H182" s="143">
        <v>1</v>
      </c>
      <c r="I182" s="130"/>
      <c r="J182" s="131">
        <f t="shared" si="33"/>
        <v>1</v>
      </c>
    </row>
    <row r="183" spans="1:23" s="1" customFormat="1" ht="18" customHeight="1">
      <c r="A183" s="201">
        <f t="shared" si="35"/>
        <v>9</v>
      </c>
      <c r="B183" s="140" t="s">
        <v>131</v>
      </c>
      <c r="C183" s="140" t="s">
        <v>100</v>
      </c>
      <c r="D183" s="139" t="s">
        <v>102</v>
      </c>
      <c r="E183" s="143"/>
      <c r="F183" s="143" t="s">
        <v>102</v>
      </c>
      <c r="G183" s="143" t="s">
        <v>185</v>
      </c>
      <c r="H183" s="143">
        <v>1</v>
      </c>
      <c r="I183" s="144"/>
      <c r="J183" s="131">
        <f t="shared" si="33"/>
        <v>1</v>
      </c>
    </row>
    <row r="184" spans="1:23" s="1" customFormat="1" ht="18" customHeight="1">
      <c r="A184" s="201">
        <f t="shared" si="35"/>
        <v>10</v>
      </c>
      <c r="B184" s="140" t="s">
        <v>117</v>
      </c>
      <c r="C184" s="140" t="s">
        <v>79</v>
      </c>
      <c r="D184" s="139" t="s">
        <v>82</v>
      </c>
      <c r="E184" s="143"/>
      <c r="F184" s="143" t="s">
        <v>82</v>
      </c>
      <c r="G184" s="143" t="s">
        <v>185</v>
      </c>
      <c r="H184" s="143">
        <v>1</v>
      </c>
      <c r="I184" s="144"/>
      <c r="J184" s="131">
        <f t="shared" si="33"/>
        <v>1</v>
      </c>
      <c r="N184" s="56"/>
      <c r="O184" s="56"/>
      <c r="P184" s="56"/>
      <c r="Q184" s="289"/>
      <c r="R184" s="289"/>
      <c r="S184" s="289"/>
      <c r="T184" s="17"/>
      <c r="U184" s="17"/>
      <c r="V184" s="17"/>
      <c r="W184" s="56"/>
    </row>
    <row r="185" spans="1:23" s="1" customFormat="1" ht="18" customHeight="1">
      <c r="A185" s="201">
        <f t="shared" si="35"/>
        <v>11</v>
      </c>
      <c r="B185" s="140" t="s">
        <v>143</v>
      </c>
      <c r="C185" s="140" t="s">
        <v>121</v>
      </c>
      <c r="D185" s="139" t="s">
        <v>103</v>
      </c>
      <c r="E185" s="143"/>
      <c r="F185" s="143" t="s">
        <v>103</v>
      </c>
      <c r="G185" s="143" t="s">
        <v>185</v>
      </c>
      <c r="H185" s="143">
        <v>1</v>
      </c>
      <c r="I185" s="144"/>
      <c r="J185" s="131">
        <f t="shared" si="33"/>
        <v>1</v>
      </c>
      <c r="N185" s="101" t="s">
        <v>227</v>
      </c>
      <c r="O185" s="246" t="s">
        <v>29</v>
      </c>
      <c r="P185" s="246" t="s">
        <v>3</v>
      </c>
      <c r="Q185" s="246" t="s">
        <v>199</v>
      </c>
      <c r="R185" s="246" t="s">
        <v>5</v>
      </c>
      <c r="S185" s="246" t="s">
        <v>28</v>
      </c>
      <c r="T185" s="246" t="s">
        <v>19</v>
      </c>
      <c r="U185" s="246" t="s">
        <v>200</v>
      </c>
      <c r="V185" s="246" t="s">
        <v>20</v>
      </c>
      <c r="W185" s="246" t="s">
        <v>201</v>
      </c>
    </row>
    <row r="186" spans="1:23" s="1" customFormat="1" ht="18" customHeight="1">
      <c r="A186" s="201">
        <f t="shared" si="35"/>
        <v>12</v>
      </c>
      <c r="B186" s="140" t="s">
        <v>113</v>
      </c>
      <c r="C186" s="140" t="s">
        <v>502</v>
      </c>
      <c r="D186" s="139" t="s">
        <v>83</v>
      </c>
      <c r="E186" s="143"/>
      <c r="F186" s="143" t="s">
        <v>83</v>
      </c>
      <c r="G186" s="143" t="s">
        <v>185</v>
      </c>
      <c r="H186" s="143">
        <v>2</v>
      </c>
      <c r="I186" s="144"/>
      <c r="J186" s="131">
        <f t="shared" si="33"/>
        <v>2</v>
      </c>
      <c r="N186" s="101" t="s">
        <v>240</v>
      </c>
      <c r="O186" s="290" t="s">
        <v>234</v>
      </c>
      <c r="P186" s="290" t="s">
        <v>236</v>
      </c>
      <c r="Q186" s="280" t="s">
        <v>190</v>
      </c>
      <c r="R186" s="213"/>
      <c r="S186" s="213" t="s">
        <v>190</v>
      </c>
      <c r="T186" s="213" t="s">
        <v>198</v>
      </c>
      <c r="U186" s="291">
        <f>((($I$134*$G$134)+($I$136*$G$136)+($I$139*$G$139))/1000)*$J$120</f>
        <v>9.7579999999999991</v>
      </c>
      <c r="V186" s="291">
        <v>300</v>
      </c>
      <c r="W186" s="292">
        <f>ROUNDUP((U186)/V186,0)</f>
        <v>1</v>
      </c>
    </row>
    <row r="187" spans="1:23" s="1" customFormat="1" ht="18" customHeight="1">
      <c r="A187" s="201">
        <f t="shared" si="35"/>
        <v>13</v>
      </c>
      <c r="B187" s="140" t="s">
        <v>122</v>
      </c>
      <c r="C187" s="140" t="s">
        <v>101</v>
      </c>
      <c r="D187" s="139" t="s">
        <v>104</v>
      </c>
      <c r="E187" s="143"/>
      <c r="F187" s="143" t="s">
        <v>104</v>
      </c>
      <c r="G187" s="143" t="s">
        <v>185</v>
      </c>
      <c r="H187" s="143">
        <v>1</v>
      </c>
      <c r="I187" s="130"/>
      <c r="J187" s="131">
        <f t="shared" si="33"/>
        <v>1</v>
      </c>
      <c r="N187" s="101" t="s">
        <v>241</v>
      </c>
      <c r="O187" s="290" t="s">
        <v>235</v>
      </c>
      <c r="P187" s="290" t="s">
        <v>238</v>
      </c>
      <c r="Q187" s="280" t="s">
        <v>71</v>
      </c>
      <c r="R187" s="213"/>
      <c r="S187" s="213" t="s">
        <v>71</v>
      </c>
      <c r="T187" s="213" t="s">
        <v>198</v>
      </c>
      <c r="U187" s="291">
        <f>((($I$134*$G$134)+($I$136*$G$136)+($I$139*$G$139))/1000)*$J$120</f>
        <v>9.7579999999999991</v>
      </c>
      <c r="V187" s="291">
        <v>100</v>
      </c>
      <c r="W187" s="292">
        <f t="shared" ref="W187:W189" si="36">ROUNDUP((U187)/V187,0)</f>
        <v>1</v>
      </c>
    </row>
    <row r="188" spans="1:23" s="1" customFormat="1" ht="18" customHeight="1">
      <c r="A188" s="201">
        <f t="shared" si="35"/>
        <v>14</v>
      </c>
      <c r="B188" s="140" t="s">
        <v>112</v>
      </c>
      <c r="C188" s="140" t="s">
        <v>114</v>
      </c>
      <c r="D188" s="128" t="s">
        <v>520</v>
      </c>
      <c r="E188" s="129"/>
      <c r="F188" s="129" t="s">
        <v>520</v>
      </c>
      <c r="G188" s="143" t="s">
        <v>202</v>
      </c>
      <c r="H188" s="143">
        <v>4</v>
      </c>
      <c r="I188" s="130"/>
      <c r="J188" s="131">
        <f t="shared" si="33"/>
        <v>4</v>
      </c>
      <c r="N188" s="101" t="s">
        <v>240</v>
      </c>
      <c r="O188" s="290" t="s">
        <v>245</v>
      </c>
      <c r="P188" s="290" t="s">
        <v>237</v>
      </c>
      <c r="Q188" s="280" t="s">
        <v>72</v>
      </c>
      <c r="R188" s="213"/>
      <c r="S188" s="213" t="s">
        <v>72</v>
      </c>
      <c r="T188" s="213" t="s">
        <v>198</v>
      </c>
      <c r="U188" s="291">
        <f>((($I$141*$G$141*2)+($I$143*$G$143*2)+($I$144*$G$144*2))/1000)*$J$120</f>
        <v>43.252000000000002</v>
      </c>
      <c r="V188" s="291">
        <v>350</v>
      </c>
      <c r="W188" s="292">
        <f t="shared" si="36"/>
        <v>1</v>
      </c>
    </row>
    <row r="189" spans="1:23" s="1" customFormat="1" ht="18" customHeight="1">
      <c r="A189" s="201">
        <f t="shared" si="35"/>
        <v>15</v>
      </c>
      <c r="B189" s="140" t="s">
        <v>115</v>
      </c>
      <c r="C189" s="140" t="s">
        <v>45</v>
      </c>
      <c r="D189" s="139" t="s">
        <v>84</v>
      </c>
      <c r="E189" s="143"/>
      <c r="F189" s="143" t="s">
        <v>84</v>
      </c>
      <c r="G189" s="143" t="s">
        <v>202</v>
      </c>
      <c r="H189" s="143">
        <v>1</v>
      </c>
      <c r="I189" s="130"/>
      <c r="J189" s="131">
        <f t="shared" si="33"/>
        <v>1</v>
      </c>
      <c r="N189" s="101" t="s">
        <v>241</v>
      </c>
      <c r="O189" s="290" t="s">
        <v>246</v>
      </c>
      <c r="P189" s="290" t="s">
        <v>239</v>
      </c>
      <c r="Q189" s="280" t="s">
        <v>193</v>
      </c>
      <c r="R189" s="213"/>
      <c r="S189" s="213" t="s">
        <v>193</v>
      </c>
      <c r="T189" s="213" t="s">
        <v>198</v>
      </c>
      <c r="U189" s="291">
        <f>((($I$141*$G$141*2)+($I$143*$G$143*2)+($I$144*$G$144*2))/1000)*$J$120</f>
        <v>43.252000000000002</v>
      </c>
      <c r="V189" s="291">
        <v>100</v>
      </c>
      <c r="W189" s="292">
        <f t="shared" si="36"/>
        <v>1</v>
      </c>
    </row>
    <row r="190" spans="1:23" s="1" customFormat="1" ht="18" customHeight="1">
      <c r="A190" s="201">
        <f t="shared" si="35"/>
        <v>16</v>
      </c>
      <c r="B190" s="140" t="s">
        <v>110</v>
      </c>
      <c r="C190" s="140" t="s">
        <v>66</v>
      </c>
      <c r="D190" s="139" t="s">
        <v>73</v>
      </c>
      <c r="E190" s="143"/>
      <c r="F190" s="143" t="s">
        <v>73</v>
      </c>
      <c r="G190" s="143" t="s">
        <v>202</v>
      </c>
      <c r="H190" s="143">
        <v>2</v>
      </c>
      <c r="I190" s="130"/>
      <c r="J190" s="131">
        <f t="shared" si="33"/>
        <v>2</v>
      </c>
    </row>
    <row r="191" spans="1:23" s="1" customFormat="1" ht="18" customHeight="1">
      <c r="A191" s="201">
        <f t="shared" si="35"/>
        <v>17</v>
      </c>
      <c r="B191" s="140" t="s">
        <v>512</v>
      </c>
      <c r="C191" s="140" t="s">
        <v>135</v>
      </c>
      <c r="D191" s="139" t="s">
        <v>137</v>
      </c>
      <c r="E191" s="143"/>
      <c r="F191" s="143" t="s">
        <v>137</v>
      </c>
      <c r="G191" s="143" t="s">
        <v>198</v>
      </c>
      <c r="H191" s="261">
        <f>((($I$149*$G$149)+($I$150*$G$150))/1000)*$J$120</f>
        <v>4.6159999999999997</v>
      </c>
      <c r="I191" s="258">
        <v>100</v>
      </c>
      <c r="J191" s="267">
        <f>ROUNDUP((H191)/100,0)</f>
        <v>1</v>
      </c>
    </row>
    <row r="192" spans="1:23" s="1" customFormat="1" ht="18" customHeight="1">
      <c r="A192" s="201">
        <f t="shared" si="35"/>
        <v>18</v>
      </c>
      <c r="B192" s="140" t="s">
        <v>513</v>
      </c>
      <c r="C192" s="140" t="s">
        <v>136</v>
      </c>
      <c r="D192" s="139" t="s">
        <v>138</v>
      </c>
      <c r="E192" s="143"/>
      <c r="F192" s="143" t="s">
        <v>138</v>
      </c>
      <c r="G192" s="143" t="s">
        <v>198</v>
      </c>
      <c r="H192" s="261">
        <f>(((G145*I145)+($I$146*$G$146))/1000)*$J$120</f>
        <v>4.6159999999999997</v>
      </c>
      <c r="I192" s="258">
        <v>100</v>
      </c>
      <c r="J192" s="267">
        <f>ROUNDUP((H192)/100,0)</f>
        <v>1</v>
      </c>
    </row>
    <row r="193" spans="1:24" s="1" customFormat="1" ht="18" customHeight="1">
      <c r="A193" s="201">
        <f t="shared" si="35"/>
        <v>19</v>
      </c>
      <c r="B193" s="139" t="str">
        <f>IF($D$129="Standard",$O$186,IF($D$129="Soumdproof",$O$187,))</f>
        <v>ยางเฟรมกันน้ำ (ธรรมดา)</v>
      </c>
      <c r="C193" s="139" t="str">
        <f>IF($D$129="Standard",$P$186,IF($D$129="Soumdproof",$P$187,))</f>
        <v>FRAME SEAL (Standard)</v>
      </c>
      <c r="D193" s="139" t="str">
        <f>IF($D$129="Standard",$Q$186,IF($D$129="Soumdproof",$Q$187,))</f>
        <v>02-026</v>
      </c>
      <c r="E193" s="143">
        <f>IF($D$129="Standard",R191,IF($D$129="Soumdproof",R192,))</f>
        <v>0</v>
      </c>
      <c r="F193" s="143" t="str">
        <f>IF($D$129="Standard",$S$186,IF($D$129="Soumdproof",$S$187,))</f>
        <v>02-026</v>
      </c>
      <c r="G193" s="143" t="str">
        <f>IF($D$129="Standard",$T$186,IF($D$129="Soumdproof",$T$187,))</f>
        <v>M</v>
      </c>
      <c r="H193" s="261">
        <f>IF($D$129="Standard",$U$186,IF($D$129="Soumdproof",$U$187,))</f>
        <v>9.7579999999999991</v>
      </c>
      <c r="I193" s="258">
        <f>IF($D$129="Standard",$V$186,IF($D$129="Soumdproof",$V$187,))</f>
        <v>300</v>
      </c>
      <c r="J193" s="267">
        <f>ROUNDUP((H193)/100,0)</f>
        <v>1</v>
      </c>
    </row>
    <row r="194" spans="1:24" s="1" customFormat="1" ht="18" customHeight="1">
      <c r="A194" s="201">
        <f t="shared" si="35"/>
        <v>20</v>
      </c>
      <c r="B194" s="139" t="str">
        <f>IF($D$129="Standard",$O$188,IF($D$129="Soumdproof",$O$189,))</f>
        <v>ยางแซชกันน้ำ (ธรรมดา)</v>
      </c>
      <c r="C194" s="139" t="str">
        <f>IF($D$129="Standard",$P$188,IF($D$129="Soumdproof",$P$189,))</f>
        <v>SASH SEAL FOAM (Standard)</v>
      </c>
      <c r="D194" s="139" t="str">
        <f>IF($D$129="Standard",$Q$188,IF($D$129="Soumdproof",$Q$189,))</f>
        <v>02-031</v>
      </c>
      <c r="E194" s="143">
        <f>IF($D$129="Standard",R193,IF($D$129="Soumdproof",R194,))</f>
        <v>0</v>
      </c>
      <c r="F194" s="143" t="str">
        <f>IF($D$129="Standard",$S$188,IF($D$129="Soumdproof",$S$189,))</f>
        <v>02-031</v>
      </c>
      <c r="G194" s="143" t="str">
        <f>IF($D$129="Standard",$T$188,IF($D$129="Soumdproof",$T$189,))</f>
        <v>M</v>
      </c>
      <c r="H194" s="261">
        <f>IF($D$129="Standard",$U$188,IF($D$129="Soumdproof",$U$189,))</f>
        <v>43.252000000000002</v>
      </c>
      <c r="I194" s="258">
        <f>IF($D$129="Standard",$V$188,IF($D$129="Soumdproof",$V$189,))</f>
        <v>350</v>
      </c>
      <c r="J194" s="267">
        <f>ROUNDUP((H194)/100,0)</f>
        <v>1</v>
      </c>
    </row>
    <row r="195" spans="1:24" ht="18" customHeight="1">
      <c r="A195" s="201">
        <f t="shared" si="35"/>
        <v>21</v>
      </c>
      <c r="B195" s="241" t="str">
        <f>IF($D$127=5,$O$177,IF($D$127=6,$O$178,IF($D$127=8,$O$179,IF($D$127=10,$O$177,IF($D$127=12,$O$177,IF($D$127=14,$O$179,IF($D$127=18,$O$177,IF($D$127=20,$O$178,IF($D$127=22,"")))))))))</f>
        <v>6,20 mm ยางอัดกระจก</v>
      </c>
      <c r="C195" s="241" t="str">
        <f>IF($D$127=5,$P$177,IF($D$127=6,$P$178,IF($D$127=8,$P$179,IF($D$127=10,$P$177,IF($D$127=12,$P$177,IF($D$127=14,$P$179,IF($D$127=18,$P$177,IF($D$127=20,$P$178,IF($D$127=22,"")))))))))</f>
        <v>6,20 mm ROLL IN WEDGE</v>
      </c>
      <c r="D195" s="241" t="str">
        <f>IF($D$127=5,$Q$177,IF($D$127=6,$Q$178,IF($D$127=8,$Q$179,IF($D$127=10,$Q$177,IF($D$127=12,$Q$177,IF($D$127=14,$Q$179,IF($D$127=18,$Q$177,IF($D$127=20,$Q$178,IF($D$127=22,"")))))))))</f>
        <v>02-034</v>
      </c>
      <c r="E195" s="241">
        <f>IF($D$127=5,R182,IF($D$127=6,R183,IF($D$127=8,R184,IF($D$127=10,R182,IF($D$127=12,R182,IF($D$127=14,R184,IF($D$127=18,R182,IF($D$127=20,R183,IF($D$127=22,"",)))))))))</f>
        <v>0</v>
      </c>
      <c r="F195" s="242" t="str">
        <f>IF($D$127=5,$S$177,IF($D$127=6,$S$178,IF($D$127=8,$S$179,IF($D$127=10,$S$177,IF($D$127=12,$S$177,IF($D$127=14,$S$179,IF($D$127=18,$S$177,IF($D$127=20,$S$178,IF($D$127=22,"")))))))))</f>
        <v>02-034</v>
      </c>
      <c r="G195" s="242" t="str">
        <f>IF($D$127=5,$T$177,IF($D$127=6,$T$178,IF($D$127=8,$T$179,IF($D$127=10,$T$177,IF($D$127=12,$T$177,IF($D$127=14,$T$179,IF($D$127=18,$T$177,IF($D$127=20,$T$178,IF($D$127=22,"")))))))))</f>
        <v>M</v>
      </c>
      <c r="H195" s="261">
        <f>IF($D$127=5,$U$177,IF($D$127=6,$U$178,IF($D$127=8,$U$179,IF($D$127=10,$U$177*2,IF($D$127=12,$U$177,IF($D$127=14,$U$179*2,IF($D$127=18,$U$177,IF($D$127=20,$U$178,IF($D$127=22,"")))))))))</f>
        <v>29.404</v>
      </c>
      <c r="I195" s="258">
        <f>IF($D$127=5,$V$177,IF($D$127=6,$V$178,IF($D$127=8,$V$179,IF($D$127=10,$V$177,IF($D$127=12,$V$177,IF($D$127=14,$V$179,IF($D$127=18,$V$177,IF($D$127=20,$V$178,IF($D$127=22,"")))))))))</f>
        <v>100</v>
      </c>
      <c r="J195" s="267">
        <f>ROUNDUP((H195)/100,0)</f>
        <v>1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s="1" customFormat="1" ht="18" customHeight="1">
      <c r="A196" s="201">
        <f t="shared" si="35"/>
        <v>22</v>
      </c>
      <c r="B196" s="241" t="str">
        <f>IF($D$127=5,$O$175,IF($D$127=6,$O$175,IF($D$127=8,$O$177,IF($D$127=10,"",IF($D$127=12,$O$176,IF($D$127=14,"",IF($D$127=18,$O$175,IF($D$127=20,$O$176,IF($D$127=22,"",)))))))))</f>
        <v>5,6,18 mm ยางรองกระจก</v>
      </c>
      <c r="C196" s="241" t="str">
        <f>IF($D$127=5,$P$175,IF($D$127=6,$P$175,IF($D$127=8,$P$177,IF($D$127=10,"",IF($D$127=12,$P$176,IF($D$127=14,"",IF($D$127=18,$P$175,IF($D$127=20,$P$176,IF($D$127=22,"",)))))))))</f>
        <v>5,6,18 mm CAPTIVE WEDGE</v>
      </c>
      <c r="D196" s="241" t="str">
        <f>IF($D$127=5,$Q$175,IF($D$127=6,$Q$175,IF($D$127=8,$Q$177,IF($D$127=10,"",IF($D$127=12,$Q$176,IF($D$127=14,"",IF($D$127=18,$Q$175,IF($D$127=20,$Q$176,IF($D$127=22,"",)))))))))</f>
        <v>02-022</v>
      </c>
      <c r="E196" s="241">
        <f>IF($D$127=5,R180,IF($D$127=6,R180,IF($D$127=8,R182,IF($D$127=10,"",IF($D$127=12,R181,IF($D$127=14,"",IF($D$127=18,R180,IF($D$127=20,R181,IF($D$127=22,"",)))))))))</f>
        <v>0</v>
      </c>
      <c r="F196" s="242" t="str">
        <f>IF($D$127=5,$S$175,IF($D$127=6,$S$175,IF($D$127=8,$S$177,IF($D$127=10,"",IF($D$127=12,$S$176,IF($D$127=14,"",IF($D$127=18,$S$175,IF($D$127=20,$S$176,IF($D$127=22,"",)))))))))</f>
        <v>02-022</v>
      </c>
      <c r="G196" s="242" t="str">
        <f>IF($D$127=5,$T$175,IF($D$127=6,$T$175,IF($D$127=8,$T$177,IF($D$127=10,"",IF($D$127=12,$T$176,IF($D$127=14,"",IF($D$127=18,$T$175,IF($D$127=20,$T$176,IF($D$127=22,"",)))))))))</f>
        <v>M</v>
      </c>
      <c r="H196" s="261">
        <f>IF($D$127=5,$U$175,IF($D$127=6,$U$175,IF($D$127=8,$U$177,IF($D$127=10,"",IF($D$127=12,$U$176,IF($D$127=14,"",IF($D$127=18,$U$175,IF($D$127=20,$U$176,IF($D$127=22,"")))))))))</f>
        <v>29.404</v>
      </c>
      <c r="I196" s="258">
        <f>IF($D$127=5,$V$175,IF($D$127=6,$V$175,IF($D$127=8,$V$177,IF($D$127=10,"",IF($D$127=12,$V$176,IF($D$127=14,"",IF($D$127=18,$V$175,IF($D$127=20,$V$176,IF($D$127=22,"",)))))))))</f>
        <v>100</v>
      </c>
      <c r="J196" s="267">
        <f t="shared" ref="J196" si="37">ROUNDUP((H196)/100,0)</f>
        <v>1</v>
      </c>
    </row>
    <row r="197" spans="1:24" s="1" customFormat="1" ht="18" customHeight="1">
      <c r="A197" s="201" t="str">
        <f t="shared" si="35"/>
        <v/>
      </c>
      <c r="B197" s="140"/>
      <c r="C197" s="140"/>
      <c r="D197" s="139"/>
      <c r="E197" s="143"/>
      <c r="F197" s="143"/>
      <c r="G197" s="143"/>
      <c r="H197" s="143"/>
      <c r="I197" s="130"/>
      <c r="J197" s="131">
        <f t="shared" si="33"/>
        <v>0</v>
      </c>
    </row>
    <row r="198" spans="1:24" s="1" customFormat="1" ht="18" customHeight="1">
      <c r="A198" s="201" t="str">
        <f t="shared" si="35"/>
        <v/>
      </c>
      <c r="B198" s="140"/>
      <c r="C198" s="140"/>
      <c r="D198" s="139"/>
      <c r="E198" s="143"/>
      <c r="F198" s="143"/>
      <c r="G198" s="143"/>
      <c r="H198" s="143"/>
      <c r="I198" s="130"/>
      <c r="J198" s="131">
        <f t="shared" ref="J198:J199" si="38">$J$120*G198</f>
        <v>0</v>
      </c>
    </row>
    <row r="199" spans="1:24" s="1" customFormat="1" ht="18" customHeight="1">
      <c r="A199" s="201" t="str">
        <f t="shared" si="35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 t="shared" si="38"/>
        <v>0</v>
      </c>
    </row>
    <row r="200" spans="1:24" s="1" customFormat="1" ht="18" customHeight="1">
      <c r="A200" s="201" t="str">
        <f t="shared" si="35"/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ref="J200:J205" si="39">$J$120*G200</f>
        <v>0</v>
      </c>
    </row>
    <row r="201" spans="1:24" s="1" customFormat="1" ht="18" customHeight="1">
      <c r="A201" s="201" t="str">
        <f t="shared" si="35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si="39"/>
        <v>0</v>
      </c>
    </row>
    <row r="202" spans="1:24" s="1" customFormat="1" ht="18" customHeight="1">
      <c r="A202" s="201" t="str">
        <f t="shared" si="35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si="39"/>
        <v>0</v>
      </c>
    </row>
    <row r="203" spans="1:24" s="1" customFormat="1" ht="18" customHeight="1">
      <c r="A203" s="201" t="str">
        <f t="shared" si="35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si="39"/>
        <v>0</v>
      </c>
    </row>
    <row r="204" spans="1:24" s="1" customFormat="1" ht="18" customHeight="1">
      <c r="A204" s="201" t="str">
        <f t="shared" si="35"/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 t="shared" si="39"/>
        <v>0</v>
      </c>
    </row>
    <row r="205" spans="1:24" s="1" customFormat="1" ht="18" customHeight="1">
      <c r="A205" s="317" t="str">
        <f t="shared" ref="A205" si="40">IF(B205="","",+A204+1)</f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 t="shared" si="39"/>
        <v>0</v>
      </c>
    </row>
    <row r="206" spans="1:24" s="1" customFormat="1" ht="18" customHeight="1">
      <c r="A206" s="25"/>
      <c r="B206" s="161"/>
      <c r="C206" s="33"/>
      <c r="D206" s="30"/>
      <c r="E206" s="17"/>
      <c r="F206" s="30"/>
      <c r="G206" s="30"/>
      <c r="H206" s="161"/>
      <c r="I206" s="24"/>
      <c r="J206" s="24"/>
    </row>
    <row r="207" spans="1:24" ht="18" customHeight="1">
      <c r="A207" s="17"/>
      <c r="J207" s="99" t="str">
        <f>LEFT($J$111,13)&amp;"-02"</f>
        <v>FG-240-5P2L3R-02</v>
      </c>
    </row>
    <row r="208" spans="1:24" ht="12.75" customHeight="1">
      <c r="B208" s="56"/>
      <c r="C208" s="56"/>
      <c r="D208" s="30"/>
      <c r="E208" s="17"/>
      <c r="F208" s="17"/>
      <c r="G208" s="17"/>
      <c r="H208" s="17"/>
      <c r="K208" s="7"/>
      <c r="L208" s="7"/>
      <c r="M208" s="2"/>
      <c r="N208" s="2"/>
    </row>
    <row r="209" spans="1:14" ht="30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205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205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/>
      <c r="C215"/>
      <c r="D215" s="81"/>
      <c r="E215"/>
      <c r="F215"/>
      <c r="G215"/>
      <c r="H215"/>
      <c r="I215" s="160"/>
      <c r="J215" s="116"/>
    </row>
    <row r="216" spans="1:14" s="1" customFormat="1" ht="15" customHeight="1">
      <c r="A216" s="17"/>
      <c r="B216" s="93"/>
      <c r="C216" s="56"/>
      <c r="D216" s="30"/>
      <c r="E216" s="29"/>
      <c r="F216" s="160"/>
      <c r="G216" s="160"/>
      <c r="H216" s="16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s="1" customFormat="1" ht="15.6">
      <c r="A218" s="109"/>
      <c r="B218" s="33"/>
      <c r="C218" s="327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378</v>
      </c>
      <c r="D220" s="30"/>
      <c r="E220" s="29"/>
      <c r="F220" s="30"/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89"/>
      <c r="J221" s="12"/>
    </row>
    <row r="222" spans="1:14" s="1" customFormat="1" ht="15" customHeight="1">
      <c r="A222" s="109"/>
      <c r="B222" s="33"/>
      <c r="C222" s="327" t="s">
        <v>273</v>
      </c>
      <c r="D222" s="161"/>
      <c r="E222" s="109"/>
      <c r="F222" s="161"/>
      <c r="J222" s="12"/>
    </row>
    <row r="223" spans="1:14" s="1" customFormat="1" ht="15" customHeight="1">
      <c r="A223" s="109"/>
      <c r="B223" s="33"/>
      <c r="C223" s="374">
        <f>$I$133</f>
        <v>3740</v>
      </c>
      <c r="D223" s="161"/>
      <c r="E223" s="35"/>
      <c r="F223" s="161"/>
      <c r="G223" s="68"/>
      <c r="J223" s="12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326"/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326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327"/>
      <c r="D229" s="161"/>
      <c r="E229" s="109"/>
      <c r="F229" s="161"/>
      <c r="H229" s="109"/>
      <c r="I229" s="203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203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203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203"/>
      <c r="J232" s="117"/>
    </row>
    <row r="233" spans="1:10" s="1" customFormat="1" ht="15.9" customHeight="1">
      <c r="A233" s="44"/>
      <c r="B233" s="44"/>
      <c r="C233" s="89" t="s">
        <v>369</v>
      </c>
      <c r="D233" s="84"/>
      <c r="E233" s="44"/>
      <c r="F233" s="44"/>
      <c r="G233" s="109"/>
      <c r="H233" s="109"/>
      <c r="I233" s="203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3714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203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03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109"/>
      <c r="J242" s="24"/>
    </row>
    <row r="243" spans="1:10" s="1" customFormat="1" ht="15.9" customHeight="1">
      <c r="A243" s="109"/>
      <c r="B243" s="33"/>
      <c r="C243" s="89" t="s">
        <v>370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.9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" customHeight="1">
      <c r="A245" s="109"/>
      <c r="B245" s="33"/>
      <c r="C245" s="327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3740</v>
      </c>
      <c r="D246" s="161"/>
      <c r="E246" s="109"/>
      <c r="F246" s="161"/>
      <c r="G246" s="109"/>
      <c r="H246" s="109"/>
      <c r="I246" s="44"/>
      <c r="J246" s="119"/>
    </row>
    <row r="247" spans="1:10" s="1" customFormat="1" ht="15.9" customHeight="1">
      <c r="A247" s="109"/>
      <c r="B247" s="33"/>
      <c r="C247" s="363">
        <f>$J$135</f>
        <v>1</v>
      </c>
      <c r="D247" s="161"/>
      <c r="E247" s="109"/>
      <c r="F247" s="161"/>
      <c r="G247" s="109"/>
      <c r="H247" s="109"/>
      <c r="I247" s="32"/>
      <c r="J247" s="40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0"/>
      <c r="H251" s="109"/>
      <c r="I251" s="24"/>
      <c r="J251" s="24"/>
    </row>
    <row r="252" spans="1:10" s="1" customFormat="1" ht="15.9" customHeight="1">
      <c r="A252" s="109"/>
      <c r="B252" s="33"/>
      <c r="D252" s="161"/>
      <c r="E252" s="109"/>
      <c r="F252" s="109"/>
      <c r="G252" s="109"/>
      <c r="H252" s="109"/>
      <c r="I252" s="24"/>
      <c r="J252" s="24"/>
    </row>
    <row r="253" spans="1:10" s="1" customFormat="1" ht="15.9" customHeight="1">
      <c r="A253" s="44"/>
      <c r="B253" s="44"/>
      <c r="D253" s="84"/>
      <c r="E253" s="44"/>
      <c r="F253" s="44"/>
      <c r="G253" s="109"/>
      <c r="H253" s="109"/>
      <c r="I253" s="24"/>
      <c r="J253" s="24"/>
    </row>
    <row r="254" spans="1:10" s="1" customFormat="1" ht="15.9" customHeight="1">
      <c r="A254" s="40"/>
      <c r="B254" s="40"/>
      <c r="C254" s="89" t="s">
        <v>371</v>
      </c>
      <c r="D254" s="85"/>
      <c r="E254" s="40"/>
      <c r="F254" s="32"/>
      <c r="G254" s="109"/>
      <c r="I254" s="24"/>
      <c r="J254" s="24"/>
    </row>
    <row r="255" spans="1:10" s="1" customFormat="1" ht="15.9" customHeight="1">
      <c r="A255" s="27"/>
      <c r="B255" s="33"/>
      <c r="C255" s="328" t="s">
        <v>275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27" t="s">
        <v>273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74">
        <f>$I$136</f>
        <v>3740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63">
        <f>$J$136</f>
        <v>1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46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161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89" t="s">
        <v>380</v>
      </c>
      <c r="D264" s="161"/>
      <c r="E264" s="109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8" t="s">
        <v>379</v>
      </c>
      <c r="D265" s="328"/>
      <c r="E265" s="328"/>
      <c r="F265" s="109"/>
      <c r="G265" s="109"/>
      <c r="H265" s="109"/>
      <c r="I265" s="24"/>
      <c r="J265" s="24"/>
    </row>
    <row r="266" spans="1:10" s="1" customFormat="1" ht="15.9" customHeight="1">
      <c r="A266" s="27"/>
      <c r="B266" s="33"/>
      <c r="C266" s="327" t="s">
        <v>279</v>
      </c>
      <c r="D266" s="327"/>
      <c r="E266" s="327"/>
      <c r="F266" s="109"/>
      <c r="G266" s="109"/>
      <c r="H266" s="109"/>
      <c r="J266" s="12"/>
    </row>
    <row r="267" spans="1:10" s="1" customFormat="1" ht="15.9" customHeight="1">
      <c r="A267" s="27"/>
      <c r="B267" s="33"/>
      <c r="C267" s="374">
        <f>$I$137</f>
        <v>2400</v>
      </c>
      <c r="D267" s="161"/>
      <c r="E267" s="109"/>
      <c r="F267" s="109"/>
      <c r="G267" s="33"/>
      <c r="H267" s="33"/>
      <c r="J267" s="12"/>
    </row>
    <row r="268" spans="1:10" s="1" customFormat="1" ht="15.9" customHeight="1">
      <c r="A268" s="27"/>
      <c r="B268" s="33"/>
      <c r="C268" s="363">
        <f>$J$137+$J$138</f>
        <v>2</v>
      </c>
      <c r="D268" s="161"/>
      <c r="E268" s="10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B271" s="33"/>
      <c r="D271" s="89"/>
      <c r="E271" s="89"/>
      <c r="F271" s="109"/>
      <c r="G271" s="109"/>
      <c r="H271" s="109"/>
      <c r="J271" s="12"/>
    </row>
    <row r="272" spans="1:10" s="1" customFormat="1" ht="15.9" customHeight="1">
      <c r="A272" s="27"/>
      <c r="D272" s="328"/>
      <c r="E272" s="328"/>
      <c r="F272" s="109"/>
      <c r="G272" s="109"/>
      <c r="H272" s="109"/>
      <c r="J272" s="12"/>
    </row>
    <row r="273" spans="1:10" s="1" customFormat="1" ht="15.9" customHeight="1">
      <c r="A273" s="27"/>
      <c r="B273" s="33"/>
      <c r="D273" s="328"/>
      <c r="E273" s="328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33"/>
      <c r="D274" s="161"/>
      <c r="E274" s="109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89" t="s">
        <v>374</v>
      </c>
      <c r="D275" s="162"/>
      <c r="E275" s="24"/>
      <c r="F275" s="109"/>
      <c r="G275" s="109"/>
      <c r="I275" s="24"/>
      <c r="J275" s="24"/>
    </row>
    <row r="276" spans="1:10" s="1" customFormat="1" ht="15.9" customHeight="1">
      <c r="A276" s="27"/>
      <c r="B276" s="33"/>
      <c r="C276" s="328" t="s">
        <v>649</v>
      </c>
      <c r="D276" s="328"/>
      <c r="E276" s="328"/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433" t="s">
        <v>650</v>
      </c>
      <c r="D277" s="327"/>
      <c r="E277" s="327"/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374">
        <f>$I$139</f>
        <v>2304</v>
      </c>
      <c r="F278" s="109"/>
      <c r="G278" s="109"/>
      <c r="I278" s="109"/>
      <c r="J278" s="24"/>
    </row>
    <row r="279" spans="1:10" s="1" customFormat="1" ht="15.9" customHeight="1">
      <c r="A279" s="27"/>
      <c r="B279" s="33"/>
      <c r="C279" s="363">
        <f>$J$139+$J$140</f>
        <v>2</v>
      </c>
      <c r="F279" s="109"/>
      <c r="G279" s="109"/>
      <c r="I279" s="109"/>
      <c r="J279" s="24"/>
    </row>
    <row r="280" spans="1:10" s="1" customFormat="1" ht="15.9" customHeight="1">
      <c r="A280" s="27"/>
      <c r="B280" s="33"/>
      <c r="F280" s="109"/>
      <c r="G280" s="109"/>
      <c r="H280" s="109"/>
      <c r="J280" s="12"/>
    </row>
    <row r="281" spans="1:10" s="1" customFormat="1" ht="15.9" customHeight="1">
      <c r="A281" s="27"/>
      <c r="B281" s="33"/>
      <c r="F281" s="109"/>
      <c r="G281" s="109"/>
      <c r="H281" s="109"/>
      <c r="J281" s="12"/>
    </row>
    <row r="282" spans="1:10" s="1" customFormat="1" ht="15.9" customHeight="1">
      <c r="A282" s="27"/>
      <c r="B282" s="33"/>
      <c r="F282" s="109"/>
      <c r="G282" s="109"/>
      <c r="H282" s="109"/>
      <c r="J282" s="12"/>
    </row>
    <row r="283" spans="1:10" s="1" customFormat="1" ht="15.9" customHeight="1">
      <c r="A283" s="27"/>
      <c r="B283" s="33"/>
      <c r="F283" s="109"/>
      <c r="G283" s="109"/>
      <c r="H283" s="109"/>
      <c r="I283" s="162"/>
      <c r="J283" s="24"/>
    </row>
    <row r="284" spans="1:10" s="1" customFormat="1" ht="15.9" customHeight="1">
      <c r="A284" s="27"/>
      <c r="B284" s="33"/>
      <c r="C284" s="89" t="s">
        <v>375</v>
      </c>
      <c r="F284" s="109"/>
      <c r="G284" s="109"/>
      <c r="H284" s="109"/>
      <c r="I284" s="109"/>
      <c r="J284" s="24"/>
    </row>
    <row r="285" spans="1:10" s="1" customFormat="1" ht="15.9" customHeight="1">
      <c r="A285" s="27"/>
      <c r="B285" s="33"/>
      <c r="C285" s="94" t="s">
        <v>455</v>
      </c>
      <c r="D285" s="161"/>
      <c r="E285" s="109"/>
      <c r="F285" s="109"/>
      <c r="G285" s="109"/>
      <c r="H285" s="109"/>
      <c r="I285" s="24"/>
      <c r="J285" s="24"/>
    </row>
    <row r="286" spans="1:10" s="1" customFormat="1" ht="15.9" customHeight="1">
      <c r="A286" s="27"/>
      <c r="B286" s="33"/>
      <c r="C286" s="327" t="s">
        <v>456</v>
      </c>
      <c r="D286" s="161"/>
      <c r="E286" s="109"/>
      <c r="F286" s="109"/>
      <c r="G286" s="109"/>
      <c r="H286" s="109"/>
      <c r="I286" s="24"/>
      <c r="J286" s="24"/>
    </row>
    <row r="287" spans="1:10" s="1" customFormat="1" ht="15.9" customHeight="1">
      <c r="A287" s="27"/>
      <c r="B287" s="33"/>
      <c r="C287" s="328" t="s">
        <v>281</v>
      </c>
      <c r="D287" s="328"/>
      <c r="E287" s="328"/>
      <c r="F287" s="109"/>
      <c r="G287" s="109"/>
      <c r="I287" s="24"/>
      <c r="J287" s="24"/>
    </row>
    <row r="288" spans="1:10" s="23" customFormat="1" ht="15.9" customHeight="1">
      <c r="A288" s="27"/>
      <c r="B288" s="33"/>
      <c r="C288" s="327" t="s">
        <v>282</v>
      </c>
      <c r="D288" s="327"/>
      <c r="E288" s="327"/>
      <c r="F288" s="109"/>
      <c r="G288" s="109"/>
      <c r="H288" s="1"/>
      <c r="I288" s="109"/>
      <c r="J288" s="109"/>
    </row>
    <row r="289" spans="1:10" s="1" customFormat="1" ht="15.9" customHeight="1">
      <c r="A289" s="27"/>
      <c r="B289" s="33"/>
      <c r="C289" s="374">
        <f>$I$141</f>
        <v>632.4</v>
      </c>
      <c r="F289" s="109"/>
      <c r="G289" s="109"/>
      <c r="I289" s="44"/>
      <c r="J289" s="119"/>
    </row>
    <row r="290" spans="1:10" s="1" customFormat="1" ht="15.9" customHeight="1">
      <c r="A290" s="27"/>
      <c r="B290" s="33"/>
      <c r="C290" s="363">
        <f>$J$141+$J$142</f>
        <v>10</v>
      </c>
      <c r="D290" s="161"/>
      <c r="E290" s="109"/>
      <c r="F290" s="109"/>
      <c r="G290" s="109"/>
      <c r="H290" s="161"/>
      <c r="I290" s="32"/>
      <c r="J290" s="40"/>
    </row>
    <row r="291" spans="1:10" s="1" customFormat="1" ht="15.9" customHeight="1">
      <c r="A291" s="27"/>
      <c r="B291" s="33"/>
      <c r="C291" s="374">
        <f>$I$143</f>
        <v>2308</v>
      </c>
      <c r="D291" s="161"/>
      <c r="E291" s="109"/>
      <c r="F291" s="109"/>
      <c r="G291" s="109"/>
      <c r="H291" s="109"/>
      <c r="I291" s="24"/>
      <c r="J291" s="24"/>
    </row>
    <row r="292" spans="1:10" s="1" customFormat="1" ht="15.9" customHeight="1">
      <c r="A292" s="27"/>
      <c r="B292" s="33"/>
      <c r="C292" s="363">
        <f>$J$143+$J$144+$J$145+$J$146</f>
        <v>10</v>
      </c>
      <c r="D292" s="161"/>
      <c r="E292" s="109"/>
      <c r="F292" s="109"/>
      <c r="G292" s="109"/>
      <c r="H292" s="109"/>
      <c r="I292" s="24"/>
      <c r="J292" s="24"/>
    </row>
    <row r="293" spans="1:10" s="1" customFormat="1" ht="15.9" customHeight="1">
      <c r="A293" s="27"/>
      <c r="B293" s="33"/>
      <c r="D293" s="161"/>
      <c r="E293" s="109"/>
      <c r="F293" s="109"/>
      <c r="G293" s="109"/>
      <c r="H293" s="109"/>
      <c r="I293" s="24"/>
      <c r="J293" s="24"/>
    </row>
    <row r="294" spans="1:10" s="1" customFormat="1" ht="15.9" customHeight="1">
      <c r="A294" s="27"/>
      <c r="B294" s="33"/>
      <c r="C294" s="33"/>
      <c r="D294" s="161"/>
      <c r="E294" s="109"/>
      <c r="F294" s="109"/>
      <c r="G294" s="109"/>
      <c r="H294" s="109"/>
      <c r="I294" s="109"/>
      <c r="J294" s="24"/>
    </row>
    <row r="295" spans="1:10" s="1" customFormat="1" ht="15.9" customHeight="1">
      <c r="A295" s="27"/>
      <c r="B295" s="33"/>
      <c r="C295" s="23"/>
      <c r="D295" s="161"/>
      <c r="E295" s="109"/>
      <c r="F295" s="109"/>
      <c r="G295" s="109"/>
      <c r="H295" s="109"/>
      <c r="I295" s="109"/>
      <c r="J295" s="24"/>
    </row>
    <row r="296" spans="1:10" s="1" customFormat="1" ht="15.9" customHeight="1">
      <c r="A296" s="27"/>
      <c r="B296" s="33"/>
      <c r="C296" s="89" t="s">
        <v>376</v>
      </c>
      <c r="D296" s="161"/>
      <c r="E296" s="109"/>
      <c r="F296" s="109"/>
      <c r="G296" s="109"/>
      <c r="H296" s="109"/>
      <c r="I296" s="109"/>
      <c r="J296" s="24"/>
    </row>
    <row r="297" spans="1:10" s="1" customFormat="1" ht="15.9" customHeight="1">
      <c r="A297" s="27"/>
      <c r="B297" s="33"/>
      <c r="C297" s="94" t="s">
        <v>455</v>
      </c>
      <c r="D297" s="161"/>
      <c r="E297" s="109"/>
      <c r="F297" s="109"/>
      <c r="G297" s="44"/>
      <c r="H297" s="44"/>
      <c r="I297" s="109"/>
      <c r="J297" s="24"/>
    </row>
    <row r="298" spans="1:10" s="1" customFormat="1" ht="15.9" customHeight="1">
      <c r="A298" s="27"/>
      <c r="B298" s="33"/>
      <c r="C298" s="327" t="s">
        <v>456</v>
      </c>
      <c r="D298" s="328"/>
      <c r="E298" s="328"/>
      <c r="F298" s="109"/>
      <c r="G298" s="40"/>
      <c r="H298" s="32"/>
      <c r="I298" s="109"/>
      <c r="J298" s="24"/>
    </row>
    <row r="299" spans="1:10" s="1" customFormat="1" ht="15.9" customHeight="1">
      <c r="A299" s="41"/>
      <c r="B299" s="33"/>
      <c r="C299" s="328" t="s">
        <v>286</v>
      </c>
      <c r="D299" s="327"/>
      <c r="E299" s="327"/>
      <c r="F299" s="109"/>
      <c r="G299" s="109"/>
      <c r="H299" s="109"/>
      <c r="I299" s="109"/>
      <c r="J299" s="24"/>
    </row>
    <row r="300" spans="1:10" s="1" customFormat="1" ht="15.9" customHeight="1">
      <c r="A300" s="44"/>
      <c r="B300" s="44"/>
      <c r="C300" s="327" t="s">
        <v>285</v>
      </c>
      <c r="D300" s="86"/>
      <c r="E300" s="79"/>
      <c r="F300" s="44"/>
      <c r="G300" s="109"/>
      <c r="H300" s="109"/>
      <c r="I300" s="109"/>
      <c r="J300" s="24"/>
    </row>
    <row r="301" spans="1:10" s="1" customFormat="1" ht="15.9" customHeight="1">
      <c r="A301" s="40"/>
      <c r="B301" s="40"/>
      <c r="C301" s="374">
        <f>$I$147</f>
        <v>632.4</v>
      </c>
      <c r="D301" s="87"/>
      <c r="E301" s="80"/>
      <c r="F301" s="32"/>
      <c r="G301" s="109"/>
      <c r="H301" s="109"/>
      <c r="I301" s="109"/>
      <c r="J301" s="24"/>
    </row>
    <row r="302" spans="1:10" s="1" customFormat="1" ht="15.9" customHeight="1">
      <c r="A302" s="109"/>
      <c r="B302" s="33"/>
      <c r="C302" s="363">
        <f>$J$147</f>
        <v>10</v>
      </c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C303" s="374">
        <f>$I$148</f>
        <v>2158</v>
      </c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C304" s="363">
        <f>$J$148</f>
        <v>10</v>
      </c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D306" s="15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89" t="s">
        <v>377</v>
      </c>
      <c r="D307" s="161"/>
      <c r="E307" s="109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328" t="s">
        <v>281</v>
      </c>
      <c r="D308" s="328"/>
      <c r="E308" s="328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542" t="s">
        <v>282</v>
      </c>
      <c r="D309" s="542"/>
      <c r="E309" s="542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74">
        <f>$I$149</f>
        <v>2308</v>
      </c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C311" s="363">
        <f>$J$149+$J$150</f>
        <v>2</v>
      </c>
      <c r="D311" s="328"/>
      <c r="E311" s="328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33"/>
      <c r="D314" s="162"/>
      <c r="E314" s="24"/>
      <c r="F314" s="109"/>
      <c r="G314" s="109"/>
      <c r="H314" s="109"/>
      <c r="I314" s="27"/>
      <c r="J314" s="99" t="str">
        <f>LEFT($J$111,13)&amp;"-03"</f>
        <v>FG-240-5P2L3R-03</v>
      </c>
    </row>
    <row r="315" spans="1:14" ht="12.75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30" customHeight="1">
      <c r="A316" s="17"/>
      <c r="B316" s="26"/>
      <c r="C316" s="26"/>
      <c r="D316" s="83"/>
      <c r="E316" s="25"/>
      <c r="F316" s="25"/>
      <c r="G316" s="25"/>
      <c r="H316" s="25"/>
      <c r="I316" s="179"/>
      <c r="J316" s="90" t="str">
        <f>$J$2</f>
        <v>HOMELIFE</v>
      </c>
    </row>
    <row r="317" spans="1:14" ht="24.9" customHeight="1">
      <c r="B317" s="205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205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s="1" customFormat="1" ht="15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  <c r="K320" s="4"/>
      <c r="L320" s="4"/>
      <c r="M320" s="4"/>
      <c r="N320" s="4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72"/>
      <c r="C324" s="56"/>
      <c r="D324" s="30"/>
      <c r="E324" s="29"/>
      <c r="F324" s="160"/>
      <c r="G324" s="160"/>
      <c r="H324" s="160"/>
      <c r="I324" s="31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202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202"/>
      <c r="I331" s="161"/>
      <c r="J331" s="109"/>
    </row>
    <row r="332" spans="1:10" s="1" customFormat="1" ht="15" customHeight="1">
      <c r="A332" s="64" t="str">
        <f>A18</f>
        <v>240-5 Panel (2L3R)</v>
      </c>
      <c r="B332" s="92"/>
      <c r="C332" s="161"/>
      <c r="D332" s="161"/>
      <c r="E332" s="109"/>
      <c r="F332" s="202"/>
      <c r="G332" s="202"/>
      <c r="H332" s="202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92"/>
      <c r="C333" s="161"/>
      <c r="D333" s="161"/>
      <c r="E333" s="109"/>
      <c r="F333" s="202"/>
      <c r="G333" s="202"/>
      <c r="H333" s="202"/>
      <c r="I333" s="109"/>
      <c r="J333" s="109"/>
    </row>
    <row r="334" spans="1:10" s="1" customFormat="1" ht="15.9" customHeight="1">
      <c r="A334" s="109"/>
      <c r="B334" s="45"/>
      <c r="C334" s="42"/>
      <c r="D334" s="161"/>
      <c r="E334" s="109"/>
      <c r="F334" s="507"/>
      <c r="G334" s="507"/>
      <c r="H334" s="202"/>
      <c r="I334" s="109"/>
      <c r="J334" s="109"/>
    </row>
    <row r="335" spans="1:10" s="1" customFormat="1" ht="15.9" customHeight="1">
      <c r="A335" s="39"/>
      <c r="B335" s="109"/>
      <c r="C335" s="161"/>
      <c r="D335" s="161"/>
      <c r="E335" s="109"/>
      <c r="F335" s="37"/>
      <c r="G335" s="38"/>
      <c r="H335" s="109"/>
      <c r="I335" s="109"/>
      <c r="J335" s="109"/>
    </row>
    <row r="336" spans="1:10" s="1" customFormat="1" ht="15.9" customHeight="1">
      <c r="A336" s="44"/>
      <c r="C336" s="43"/>
      <c r="D336" s="161"/>
      <c r="E336" s="109"/>
      <c r="F336" s="109"/>
      <c r="G336" s="109"/>
      <c r="H336" s="109"/>
      <c r="I336" s="44"/>
      <c r="J336" s="119"/>
    </row>
    <row r="337" spans="1:10" s="1" customFormat="1" ht="15.9" customHeight="1">
      <c r="A337" s="40"/>
      <c r="C337" s="44"/>
      <c r="D337" s="84"/>
      <c r="E337" s="44"/>
      <c r="F337" s="44"/>
      <c r="G337" s="44"/>
      <c r="H337" s="44"/>
      <c r="I337" s="32"/>
      <c r="J337" s="40"/>
    </row>
    <row r="338" spans="1:10" s="1" customFormat="1" ht="15.9" customHeight="1">
      <c r="A338" s="109"/>
      <c r="C338" s="161"/>
      <c r="D338" s="85"/>
      <c r="E338" s="40"/>
      <c r="F338" s="32"/>
      <c r="G338" s="40"/>
      <c r="H338" s="32"/>
      <c r="I338" s="24"/>
      <c r="J338" s="24"/>
    </row>
    <row r="339" spans="1:10" s="1" customFormat="1" ht="15.9" customHeight="1">
      <c r="A339" s="109"/>
      <c r="C339" s="163"/>
      <c r="D339" s="161"/>
      <c r="E339" s="109"/>
      <c r="F339" s="161"/>
      <c r="G339" s="109"/>
      <c r="H339" s="109"/>
      <c r="I339" s="24"/>
      <c r="J339" s="24"/>
    </row>
    <row r="340" spans="1:10" s="1" customFormat="1" ht="15.9" customHeight="1">
      <c r="A340" s="109"/>
      <c r="B340" s="33"/>
      <c r="C340" s="161"/>
      <c r="D340" s="161"/>
      <c r="E340" s="109"/>
      <c r="F340" s="161"/>
      <c r="G340" s="109"/>
      <c r="H340" s="109"/>
      <c r="I340" s="162"/>
      <c r="J340" s="162"/>
    </row>
    <row r="341" spans="1:10" s="1" customFormat="1" ht="15.9" customHeight="1">
      <c r="A341" s="109"/>
      <c r="B341" s="33"/>
      <c r="C341" s="44"/>
      <c r="D341" s="161"/>
      <c r="E341" s="109"/>
      <c r="F341" s="161"/>
      <c r="G341" s="109"/>
      <c r="H341" s="162"/>
      <c r="I341" s="161"/>
      <c r="J341" s="161"/>
    </row>
    <row r="342" spans="1:10" s="1" customFormat="1" ht="15.9" customHeight="1">
      <c r="A342" s="109"/>
      <c r="B342" s="33"/>
      <c r="C342" s="42"/>
      <c r="D342" s="161"/>
      <c r="E342" s="109"/>
      <c r="F342" s="161"/>
      <c r="G342" s="109"/>
      <c r="H342" s="161"/>
      <c r="I342" s="161"/>
      <c r="J342" s="161"/>
    </row>
    <row r="343" spans="1:10" s="1" customFormat="1" ht="15.9" customHeight="1">
      <c r="A343" s="109"/>
      <c r="B343" s="33"/>
      <c r="C343" s="163"/>
      <c r="D343" s="161"/>
      <c r="E343" s="109"/>
      <c r="F343" s="161"/>
      <c r="G343" s="109"/>
      <c r="H343" s="161"/>
      <c r="I343" s="109"/>
      <c r="J343" s="24"/>
    </row>
    <row r="344" spans="1:10" s="1" customFormat="1" ht="15.9" customHeight="1">
      <c r="A344" s="109"/>
      <c r="B344" s="33"/>
      <c r="C344" s="161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44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3"/>
      <c r="D350" s="161"/>
      <c r="E350" s="109"/>
      <c r="F350" s="161"/>
      <c r="G350" s="109"/>
      <c r="H350" s="109"/>
      <c r="I350" s="109"/>
      <c r="J350" s="24"/>
    </row>
    <row r="351" spans="1:10" s="1" customFormat="1" ht="15.9" customHeight="1">
      <c r="A351" s="109"/>
      <c r="B351" s="33"/>
      <c r="C351" s="161"/>
      <c r="D351" s="161"/>
      <c r="E351" s="109"/>
      <c r="F351" s="161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1" customFormat="1" ht="15" customHeight="1">
      <c r="A353" s="109"/>
      <c r="B353" s="33"/>
      <c r="C353" s="33"/>
      <c r="D353" s="161"/>
      <c r="E353" s="109"/>
      <c r="F353" s="109"/>
      <c r="G353" s="109"/>
      <c r="H353" s="107"/>
      <c r="I353" s="24"/>
      <c r="J353" s="24"/>
    </row>
    <row r="354" spans="1:10" s="23" customFormat="1" ht="15.9" customHeight="1">
      <c r="A354" s="109"/>
      <c r="B354" s="33"/>
      <c r="C354" s="33"/>
      <c r="D354" s="161"/>
      <c r="E354" s="109"/>
      <c r="F354" s="109"/>
      <c r="G354" s="109"/>
      <c r="H354" s="109"/>
      <c r="I354" s="109"/>
      <c r="J354" s="109"/>
    </row>
    <row r="355" spans="1:10" s="1" customFormat="1" ht="15.9" customHeight="1">
      <c r="A355" s="44"/>
      <c r="B355" s="33"/>
      <c r="C355" s="33"/>
      <c r="D355" s="161"/>
      <c r="E355" s="109"/>
      <c r="F355" s="109"/>
      <c r="G355" s="109"/>
      <c r="H355" s="109"/>
      <c r="I355" s="44"/>
      <c r="J355" s="119"/>
    </row>
    <row r="356" spans="1:10" s="1" customFormat="1" ht="15.9" customHeight="1">
      <c r="A356" s="40"/>
      <c r="B356" s="44"/>
      <c r="C356" s="44"/>
      <c r="D356" s="84"/>
      <c r="E356" s="44"/>
      <c r="F356" s="44"/>
      <c r="G356" s="44"/>
      <c r="H356" s="44"/>
      <c r="I356" s="32"/>
      <c r="J356" s="40"/>
    </row>
    <row r="357" spans="1:10" s="1" customFormat="1" ht="15.9" customHeight="1">
      <c r="A357" s="27"/>
      <c r="B357" s="40"/>
      <c r="C357" s="44"/>
      <c r="D357" s="85"/>
      <c r="E357" s="40"/>
      <c r="F357" s="32"/>
      <c r="G357" s="40"/>
      <c r="H357" s="32"/>
      <c r="I357" s="24"/>
      <c r="J357" s="24"/>
    </row>
    <row r="358" spans="1:10" s="1" customFormat="1" ht="15.9" customHeight="1">
      <c r="A358" s="27"/>
      <c r="B358" s="33"/>
      <c r="C358" s="42"/>
      <c r="D358" s="161"/>
      <c r="E358" s="109"/>
      <c r="F358" s="109"/>
      <c r="G358" s="109"/>
      <c r="H358" s="42"/>
      <c r="I358" s="163"/>
      <c r="J358" s="163"/>
    </row>
    <row r="359" spans="1:10" s="1" customFormat="1" ht="15.9" customHeight="1">
      <c r="A359" s="27"/>
      <c r="B359" s="33"/>
      <c r="C359" s="163"/>
      <c r="D359" s="161"/>
      <c r="E359" s="109"/>
      <c r="F359" s="109"/>
      <c r="G359" s="109"/>
      <c r="H359" s="163"/>
      <c r="I359" s="161"/>
      <c r="J359" s="161"/>
    </row>
    <row r="360" spans="1:10" s="1" customFormat="1" ht="15.9" customHeight="1">
      <c r="A360" s="27"/>
      <c r="B360" s="33"/>
      <c r="C360" s="161"/>
      <c r="D360" s="161"/>
      <c r="E360" s="109"/>
      <c r="F360" s="109"/>
      <c r="G360" s="109"/>
      <c r="H360" s="161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46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161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D372" s="161"/>
      <c r="E372" s="109"/>
      <c r="F372" s="109"/>
      <c r="G372" s="33"/>
      <c r="H372" s="33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42"/>
      <c r="I376" s="163"/>
      <c r="J376" s="163"/>
    </row>
    <row r="377" spans="1:10" s="1" customFormat="1" ht="15.9" customHeight="1">
      <c r="A377" s="27"/>
      <c r="B377" s="33"/>
      <c r="C377" s="47"/>
      <c r="D377" s="161"/>
      <c r="E377" s="109"/>
      <c r="F377" s="109"/>
      <c r="G377" s="109"/>
      <c r="H377" s="163"/>
      <c r="I377" s="161"/>
      <c r="J377" s="161"/>
    </row>
    <row r="378" spans="1:10" s="1" customFormat="1" ht="15.9" customHeight="1">
      <c r="A378" s="27"/>
      <c r="B378" s="33"/>
      <c r="C378" s="46"/>
      <c r="D378" s="161"/>
      <c r="E378" s="109"/>
      <c r="F378" s="109"/>
      <c r="G378" s="109"/>
      <c r="H378" s="161"/>
      <c r="I378" s="24"/>
      <c r="J378" s="24"/>
    </row>
    <row r="379" spans="1:10" s="1" customFormat="1" ht="15.9" customHeight="1">
      <c r="A379" s="27"/>
      <c r="B379" s="33"/>
      <c r="C379" s="161"/>
      <c r="D379" s="161"/>
      <c r="E379" s="109"/>
      <c r="F379" s="109"/>
      <c r="G379" s="109"/>
      <c r="H379" s="42"/>
      <c r="I379" s="163"/>
      <c r="J379" s="163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3"/>
      <c r="I380" s="161"/>
      <c r="J380" s="161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1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64"/>
      <c r="J388" s="16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4"/>
      <c r="I389" s="165"/>
      <c r="J389" s="165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5"/>
      <c r="I390" s="161"/>
      <c r="J390" s="161"/>
    </row>
    <row r="391" spans="1:10" s="1" customFormat="1" ht="15.9" customHeight="1">
      <c r="A391" s="27"/>
      <c r="B391" s="33"/>
      <c r="C391" s="47"/>
      <c r="D391" s="161"/>
      <c r="E391" s="109"/>
      <c r="F391" s="109"/>
      <c r="G391" s="109"/>
      <c r="H391" s="161"/>
      <c r="I391" s="24"/>
      <c r="J391" s="24"/>
    </row>
    <row r="392" spans="1:10" s="1" customFormat="1" ht="15.9" customHeight="1">
      <c r="A392" s="27"/>
      <c r="B392" s="33"/>
      <c r="C392" s="46"/>
      <c r="D392" s="161"/>
      <c r="E392" s="109"/>
      <c r="F392" s="109"/>
      <c r="G392" s="109"/>
      <c r="H392" s="109"/>
      <c r="I392" s="109"/>
      <c r="J392" s="24"/>
    </row>
    <row r="393" spans="1:10" s="1" customFormat="1" ht="15.9" customHeight="1">
      <c r="A393" s="27"/>
      <c r="B393" s="33"/>
      <c r="C393" s="161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23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1" customFormat="1" ht="15.9" customHeight="1">
      <c r="A405" s="44"/>
      <c r="B405" s="33"/>
      <c r="C405" s="33"/>
      <c r="D405" s="161"/>
      <c r="E405" s="109"/>
      <c r="F405" s="109"/>
      <c r="G405" s="109"/>
      <c r="H405" s="109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109"/>
      <c r="B419" s="44"/>
      <c r="C419" s="44"/>
      <c r="D419" s="84"/>
      <c r="E419" s="44"/>
      <c r="F419" s="44"/>
      <c r="G419" s="44"/>
      <c r="H419" s="44"/>
      <c r="I419" s="24"/>
      <c r="J419" s="24"/>
      <c r="K419" s="71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LEFT($J$111,13)&amp;"-04"</f>
        <v>FG-240-5P2L3R-04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A423" s="109"/>
      <c r="B423" s="33"/>
      <c r="C423" s="33"/>
      <c r="D423" s="161"/>
      <c r="E423" s="109"/>
      <c r="F423" s="109"/>
      <c r="G423" s="109"/>
      <c r="H423" s="109"/>
      <c r="I423" s="109"/>
      <c r="J423" s="90" t="str">
        <f>$J$2</f>
        <v>HOMELIFE</v>
      </c>
      <c r="K423" s="7"/>
      <c r="L423" s="7"/>
      <c r="M423" s="2"/>
      <c r="N423" s="2"/>
    </row>
    <row r="424" spans="1:14" ht="24.9" customHeight="1">
      <c r="A424" s="109"/>
      <c r="B424" s="33"/>
      <c r="C424" s="33"/>
      <c r="D424" s="161"/>
      <c r="E424" s="109"/>
      <c r="F424" s="109"/>
      <c r="G424" s="109"/>
      <c r="H424" s="109"/>
      <c r="I424" s="109"/>
      <c r="J424" s="91" t="str">
        <f>$J$3</f>
        <v>Fabricators Guide</v>
      </c>
      <c r="K424" s="7"/>
      <c r="L424" s="7"/>
      <c r="M424" s="2"/>
      <c r="N424" s="2"/>
    </row>
    <row r="425" spans="1:14" ht="24.9" customHeight="1">
      <c r="B425" s="205"/>
      <c r="C425" s="28"/>
      <c r="D425" s="28"/>
      <c r="E425" s="28"/>
      <c r="F425" s="28"/>
      <c r="G425" s="28"/>
      <c r="H425" s="28"/>
      <c r="I425" s="28"/>
      <c r="J425" s="91" t="str">
        <f>$J$4</f>
        <v xml:space="preserve">240 Series Bi Fold Door </v>
      </c>
      <c r="K425" s="48"/>
      <c r="L425" s="48"/>
      <c r="M425" s="4"/>
      <c r="N425" s="4"/>
    </row>
    <row r="426" spans="1:14" s="1" customFormat="1" ht="15" customHeight="1" thickBot="1">
      <c r="A426" s="78"/>
      <c r="B426" s="8"/>
      <c r="C426" s="28"/>
      <c r="D426" s="28"/>
      <c r="E426" s="28"/>
      <c r="F426" s="28"/>
      <c r="G426" s="28"/>
      <c r="H426" s="2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  <c r="K427" s="4"/>
      <c r="L427" s="4"/>
      <c r="M427" s="4"/>
      <c r="N427" s="4"/>
    </row>
    <row r="428" spans="1:14" s="1" customFormat="1" ht="15" customHeight="1">
      <c r="A428" s="193"/>
      <c r="B428" s="194"/>
      <c r="C428" s="194"/>
      <c r="D428" s="194"/>
      <c r="E428" s="194"/>
      <c r="F428" s="194"/>
      <c r="G428" s="194"/>
      <c r="H428" s="194"/>
      <c r="I428" s="193"/>
      <c r="K428" s="56"/>
      <c r="L428" s="56"/>
      <c r="M428" s="56"/>
      <c r="N428" s="56"/>
    </row>
    <row r="429" spans="1:14" s="1" customFormat="1" ht="15" customHeight="1">
      <c r="A429" s="45"/>
      <c r="B429" s="193"/>
      <c r="C429" s="193"/>
      <c r="D429" s="193"/>
      <c r="E429" s="193"/>
      <c r="F429" s="193"/>
      <c r="G429" s="193"/>
      <c r="H429" s="193"/>
      <c r="I429" s="44"/>
      <c r="J429" s="119"/>
    </row>
    <row r="430" spans="1:14" s="1" customFormat="1" ht="15" customHeight="1">
      <c r="A430" s="109"/>
      <c r="B430" s="39"/>
      <c r="C430" s="33"/>
      <c r="D430" s="161"/>
      <c r="E430" s="35"/>
      <c r="F430" s="39"/>
      <c r="G430" s="193"/>
      <c r="H430" s="44"/>
      <c r="I430" s="44"/>
      <c r="J430" s="119"/>
    </row>
    <row r="431" spans="1:14" s="1" customFormat="1" ht="15" customHeight="1">
      <c r="A431" s="109"/>
      <c r="B431" s="33"/>
      <c r="C431" s="33"/>
      <c r="D431" s="161"/>
      <c r="E431" s="35"/>
      <c r="F431" s="161"/>
      <c r="G431" s="193"/>
      <c r="H431" s="44"/>
      <c r="I431" s="44"/>
      <c r="J431" s="119"/>
    </row>
    <row r="432" spans="1:14" s="1" customFormat="1" ht="15" customHeight="1">
      <c r="A432" s="109"/>
      <c r="B432" s="56"/>
      <c r="C432" s="56"/>
      <c r="D432" s="30"/>
      <c r="E432" s="29"/>
      <c r="F432" s="30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109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3"/>
      <c r="H434" s="44"/>
      <c r="I434" s="44"/>
      <c r="J434" s="119"/>
    </row>
    <row r="435" spans="1:10" s="1" customFormat="1" ht="15" customHeight="1">
      <c r="A435" s="109"/>
      <c r="B435" s="33"/>
      <c r="C435" s="161"/>
      <c r="D435" s="161"/>
      <c r="E435" s="35"/>
      <c r="F435" s="161"/>
      <c r="H435" s="44"/>
      <c r="I435" s="44"/>
      <c r="J435" s="119"/>
    </row>
    <row r="436" spans="1:10" s="1" customFormat="1" ht="15" customHeight="1">
      <c r="A436" s="39"/>
      <c r="B436" s="33"/>
      <c r="C436" s="42"/>
      <c r="D436" s="161"/>
      <c r="E436" s="109"/>
      <c r="F436" s="69"/>
      <c r="H436" s="44"/>
      <c r="I436" s="44"/>
      <c r="J436" s="119"/>
    </row>
    <row r="437" spans="1:10" s="1" customFormat="1" ht="15" customHeight="1">
      <c r="A437" s="92"/>
      <c r="B437" s="39"/>
      <c r="C437" s="163"/>
      <c r="D437" s="161"/>
      <c r="E437" s="109"/>
      <c r="F437" s="68"/>
      <c r="H437" s="44"/>
      <c r="I437" s="44"/>
      <c r="J437" s="119"/>
    </row>
    <row r="438" spans="1:10" s="1" customFormat="1" ht="15" customHeight="1">
      <c r="B438" s="92"/>
      <c r="C438" s="161"/>
      <c r="D438" s="161"/>
      <c r="E438" s="109"/>
      <c r="F438" s="202"/>
      <c r="H438" s="44"/>
      <c r="I438" s="44"/>
      <c r="J438" s="119"/>
    </row>
    <row r="439" spans="1:10" s="1" customFormat="1" ht="15" customHeight="1">
      <c r="A439" s="64" t="str">
        <f>A18</f>
        <v>240-5 Panel (2L3R)</v>
      </c>
      <c r="B439" s="92"/>
      <c r="C439" s="161"/>
      <c r="D439" s="161"/>
      <c r="E439" s="109"/>
      <c r="F439" s="202"/>
      <c r="H439" s="44"/>
      <c r="I439" s="44"/>
      <c r="J439" s="119"/>
    </row>
    <row r="440" spans="1:10" s="1" customFormat="1" ht="15.9" customHeight="1">
      <c r="A440" s="76" t="str">
        <f>A19</f>
        <v xml:space="preserve">Outside Bi Fold Door </v>
      </c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44"/>
      <c r="B442" s="38"/>
      <c r="C442" s="43"/>
      <c r="D442" s="161"/>
      <c r="E442" s="109"/>
      <c r="F442" s="109"/>
      <c r="H442" s="44"/>
      <c r="I442" s="44"/>
      <c r="J442" s="119"/>
    </row>
    <row r="443" spans="1:10" s="1" customFormat="1" ht="15.9" customHeight="1">
      <c r="A443" s="40"/>
      <c r="C443" s="44"/>
      <c r="D443" s="84"/>
      <c r="E443" s="44"/>
      <c r="F443" s="44"/>
      <c r="H443" s="44"/>
      <c r="I443" s="44"/>
      <c r="J443" s="119"/>
    </row>
    <row r="444" spans="1:10" ht="15.6">
      <c r="B444" s="64"/>
      <c r="C444" s="163"/>
      <c r="D444" s="161"/>
      <c r="E444" s="109"/>
      <c r="F444" s="161"/>
      <c r="G444" s="109"/>
      <c r="H444" s="109"/>
    </row>
    <row r="449" spans="1:10" s="1" customFormat="1" ht="15.9" customHeight="1">
      <c r="A449" s="109"/>
      <c r="B449"/>
      <c r="C449"/>
      <c r="D449" s="81"/>
      <c r="E449"/>
      <c r="F449"/>
      <c r="G449"/>
      <c r="H449"/>
      <c r="I449" s="24"/>
      <c r="J449" s="24"/>
    </row>
    <row r="450" spans="1:10" s="1" customFormat="1" ht="15.9" customHeight="1">
      <c r="A450" s="109"/>
      <c r="B450" s="33"/>
      <c r="C450" s="33"/>
      <c r="D450" s="161"/>
      <c r="E450" s="109"/>
      <c r="F450" s="161"/>
      <c r="G450" s="109"/>
      <c r="H450" s="109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44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161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3"/>
      <c r="D455" s="161"/>
      <c r="E455" s="109"/>
      <c r="F455" s="161"/>
      <c r="G455" s="109"/>
      <c r="H455" s="109"/>
      <c r="I455" s="109"/>
      <c r="J455" s="24"/>
    </row>
    <row r="456" spans="1:10" s="1" customFormat="1" ht="15.9" customHeight="1">
      <c r="A456" s="109"/>
      <c r="B456" s="33"/>
      <c r="C456" s="161"/>
      <c r="D456" s="161"/>
      <c r="E456" s="109"/>
      <c r="F456" s="161"/>
      <c r="G456" s="109"/>
      <c r="H456" s="109"/>
      <c r="I456" s="24"/>
      <c r="J456" s="24"/>
    </row>
    <row r="457" spans="1:10" s="1" customFormat="1" ht="15.9" customHeight="1">
      <c r="A457" s="109"/>
      <c r="B457" s="33"/>
      <c r="C457" s="33"/>
      <c r="D457" s="161"/>
      <c r="E457" s="109"/>
      <c r="F457" s="109"/>
      <c r="G457" s="109"/>
      <c r="H457" s="109"/>
      <c r="I457" s="24"/>
      <c r="J457" s="24"/>
    </row>
    <row r="458" spans="1:10" s="1" customFormat="1" ht="15" customHeight="1">
      <c r="A458" s="109"/>
      <c r="B458" s="33"/>
      <c r="C458" s="33"/>
      <c r="D458" s="161"/>
      <c r="E458" s="109"/>
      <c r="F458" s="109"/>
      <c r="G458" s="109"/>
      <c r="H458" s="107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9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23" customFormat="1" ht="15.9" customHeight="1">
      <c r="A476" s="109"/>
      <c r="B476" s="33"/>
      <c r="C476" s="33"/>
      <c r="D476" s="161"/>
      <c r="E476" s="109"/>
      <c r="F476" s="109"/>
      <c r="G476" s="109"/>
      <c r="H476" s="109"/>
      <c r="I476" s="109"/>
      <c r="J476" s="109"/>
    </row>
    <row r="477" spans="1:10" s="1" customFormat="1" ht="15.9" customHeight="1">
      <c r="A477" s="44"/>
      <c r="B477" s="33"/>
      <c r="C477" s="33"/>
      <c r="D477" s="161"/>
      <c r="E477" s="109"/>
      <c r="F477" s="109"/>
      <c r="G477" s="109"/>
      <c r="H477" s="109"/>
      <c r="I477" s="44"/>
      <c r="J477" s="119"/>
    </row>
    <row r="478" spans="1:10" s="1" customFormat="1" ht="15.9" customHeight="1">
      <c r="A478" s="40"/>
      <c r="B478" s="44"/>
      <c r="C478" s="44"/>
      <c r="D478" s="84"/>
      <c r="E478" s="44"/>
      <c r="F478" s="44"/>
      <c r="G478" s="44"/>
      <c r="H478" s="44"/>
      <c r="I478" s="32"/>
      <c r="J478" s="40"/>
    </row>
    <row r="479" spans="1:10" s="1" customFormat="1" ht="15.9" customHeight="1">
      <c r="A479" s="27"/>
      <c r="B479" s="40"/>
      <c r="C479" s="44"/>
      <c r="D479" s="85"/>
      <c r="E479" s="40"/>
      <c r="F479" s="32"/>
      <c r="G479" s="40"/>
      <c r="H479" s="32"/>
      <c r="I479" s="24"/>
      <c r="J479" s="24"/>
    </row>
    <row r="480" spans="1:10" s="1" customFormat="1" ht="15.9" customHeight="1">
      <c r="A480" s="27"/>
      <c r="B480" s="33"/>
      <c r="C480" s="42"/>
      <c r="D480" s="161"/>
      <c r="E480" s="109"/>
      <c r="F480" s="109"/>
      <c r="G480" s="109"/>
      <c r="H480" s="42"/>
      <c r="I480" s="67"/>
      <c r="J480" s="165"/>
    </row>
    <row r="481" spans="1:10" s="1" customFormat="1" ht="15.9" customHeight="1">
      <c r="A481" s="27"/>
      <c r="B481" s="33"/>
      <c r="C481" s="163"/>
      <c r="D481" s="161"/>
      <c r="E481" s="109"/>
      <c r="F481" s="109"/>
      <c r="G481" s="109"/>
      <c r="H481" s="67"/>
      <c r="I481" s="38"/>
      <c r="J481" s="109"/>
    </row>
    <row r="482" spans="1:10" s="1" customFormat="1" ht="15.9" customHeight="1">
      <c r="A482" s="27"/>
      <c r="B482" s="33"/>
      <c r="C482" s="161"/>
      <c r="D482" s="161"/>
      <c r="E482" s="109"/>
      <c r="F482" s="109"/>
      <c r="G482" s="109"/>
      <c r="H482" s="38"/>
      <c r="I482" s="24"/>
      <c r="J482" s="24"/>
    </row>
    <row r="483" spans="1:10" s="1" customFormat="1" ht="15.9" customHeight="1">
      <c r="A483" s="27"/>
      <c r="B483" s="33"/>
      <c r="C483" s="33"/>
      <c r="D483" s="161"/>
      <c r="E483" s="109"/>
      <c r="F483" s="109"/>
      <c r="G483" s="109"/>
      <c r="H483" s="109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46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161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33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B492" s="33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D494" s="161"/>
      <c r="E494" s="109"/>
      <c r="F494" s="109"/>
      <c r="G494" s="33"/>
      <c r="H494" s="33"/>
      <c r="I494" s="24"/>
      <c r="J494" s="24"/>
    </row>
    <row r="495" spans="1:10" s="1" customFormat="1" ht="15.9" customHeight="1">
      <c r="A495" s="27"/>
      <c r="B495" s="33"/>
      <c r="C495" s="33"/>
      <c r="D495" s="161"/>
      <c r="E495" s="109"/>
      <c r="F495" s="109"/>
      <c r="G495" s="109"/>
      <c r="H495" s="109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42"/>
      <c r="I498" s="67"/>
      <c r="J498" s="165"/>
    </row>
    <row r="499" spans="1:10" s="1" customFormat="1" ht="15.9" customHeight="1">
      <c r="A499" s="27"/>
      <c r="B499" s="33"/>
      <c r="C499" s="47"/>
      <c r="D499" s="161"/>
      <c r="E499" s="109"/>
      <c r="F499" s="109"/>
      <c r="G499" s="109"/>
      <c r="H499" s="67"/>
      <c r="I499" s="38"/>
      <c r="J499" s="109"/>
    </row>
    <row r="500" spans="1:10" s="1" customFormat="1" ht="15.9" customHeight="1">
      <c r="A500" s="27"/>
      <c r="B500" s="33"/>
      <c r="C500" s="46"/>
      <c r="D500" s="161"/>
      <c r="E500" s="109"/>
      <c r="F500" s="109"/>
      <c r="G500" s="109"/>
      <c r="H500" s="38"/>
      <c r="I500" s="24"/>
      <c r="J500" s="24"/>
    </row>
    <row r="501" spans="1:10" s="1" customFormat="1" ht="15.9" customHeight="1">
      <c r="A501" s="27"/>
      <c r="B501" s="33"/>
      <c r="C501" s="161"/>
      <c r="D501" s="161"/>
      <c r="E501" s="109"/>
      <c r="F501" s="109"/>
      <c r="G501" s="109"/>
      <c r="H501" s="42"/>
      <c r="I501" s="67"/>
      <c r="J501" s="165"/>
    </row>
    <row r="502" spans="1:10" s="1" customFormat="1" ht="15.9" customHeight="1">
      <c r="A502" s="27"/>
      <c r="B502" s="33"/>
      <c r="C502" s="33"/>
      <c r="D502" s="161"/>
      <c r="E502" s="109"/>
      <c r="F502" s="109"/>
      <c r="G502" s="109"/>
      <c r="H502" s="67"/>
      <c r="I502" s="38"/>
      <c r="J502" s="109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38"/>
      <c r="I503" s="24"/>
      <c r="J503" s="24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109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24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109"/>
      <c r="J512" s="24"/>
    </row>
    <row r="513" spans="1:15" s="1" customFormat="1" ht="15.9" customHeight="1">
      <c r="A513" s="27"/>
      <c r="B513" s="33"/>
      <c r="C513" s="33"/>
      <c r="D513" s="161"/>
      <c r="E513" s="109"/>
      <c r="F513" s="109"/>
      <c r="G513" s="109"/>
      <c r="H513" s="109"/>
      <c r="I513" s="109"/>
      <c r="J513" s="24"/>
    </row>
    <row r="514" spans="1:15" s="1" customFormat="1" ht="15.9" customHeight="1">
      <c r="A514" s="27"/>
      <c r="B514" s="33"/>
      <c r="C514" s="33"/>
      <c r="D514" s="161"/>
      <c r="E514" s="109"/>
      <c r="F514" s="109"/>
      <c r="G514" s="109"/>
      <c r="H514" s="109"/>
      <c r="I514" s="43"/>
      <c r="J514" s="107"/>
    </row>
    <row r="515" spans="1:15" s="1" customFormat="1" ht="15.9" customHeight="1">
      <c r="A515" s="27"/>
      <c r="B515" s="33"/>
      <c r="C515" s="33"/>
      <c r="D515" s="161"/>
      <c r="E515" s="109"/>
      <c r="F515" s="109"/>
      <c r="G515" s="109"/>
      <c r="H515" s="66"/>
      <c r="I515" s="38"/>
      <c r="J515" s="109"/>
    </row>
    <row r="516" spans="1:15" s="1" customFormat="1" ht="15.9" customHeight="1">
      <c r="A516" s="44"/>
      <c r="B516" s="44"/>
      <c r="C516" s="44"/>
      <c r="D516" s="84"/>
      <c r="E516" s="44"/>
      <c r="F516" s="44"/>
      <c r="G516" s="44"/>
      <c r="H516" s="44"/>
      <c r="I516" s="44"/>
      <c r="J516" s="119"/>
    </row>
    <row r="517" spans="1:15" s="1" customFormat="1" ht="15.9" customHeight="1">
      <c r="B517" s="44"/>
      <c r="C517" s="44"/>
      <c r="D517" s="84"/>
      <c r="E517" s="44"/>
      <c r="F517" s="44"/>
      <c r="G517" s="44"/>
      <c r="H517" s="44"/>
    </row>
    <row r="518" spans="1:15" s="1" customFormat="1" ht="15.9" customHeight="1" thickBot="1"/>
    <row r="519" spans="1:15" s="1" customFormat="1" ht="24.9" customHeight="1" thickBot="1">
      <c r="A519" s="502" t="s">
        <v>401</v>
      </c>
      <c r="B519" s="503"/>
      <c r="C519" s="503"/>
      <c r="D519" s="503"/>
      <c r="E519" s="503"/>
      <c r="F519" s="503"/>
      <c r="G519" s="503"/>
      <c r="H519" s="503"/>
      <c r="I519" s="503"/>
      <c r="J519" s="504"/>
    </row>
    <row r="520" spans="1:15" s="1" customFormat="1" ht="35.1" customHeight="1" thickBot="1">
      <c r="A520" s="102" t="s">
        <v>2</v>
      </c>
      <c r="B520" s="103" t="s">
        <v>3</v>
      </c>
      <c r="C520" s="103" t="s">
        <v>3</v>
      </c>
      <c r="D520" s="104" t="s">
        <v>35</v>
      </c>
      <c r="E520" s="103" t="s">
        <v>5</v>
      </c>
      <c r="F520" s="339" t="s">
        <v>27</v>
      </c>
      <c r="G520" s="305"/>
      <c r="H520" s="104" t="s">
        <v>27</v>
      </c>
      <c r="I520" s="104" t="s">
        <v>26</v>
      </c>
      <c r="J520" s="115" t="s">
        <v>6</v>
      </c>
      <c r="N520" s="249" t="s">
        <v>3</v>
      </c>
      <c r="O520" s="249" t="s">
        <v>3</v>
      </c>
    </row>
    <row r="521" spans="1:15" s="1" customFormat="1" ht="15.9" customHeight="1">
      <c r="A521" s="123">
        <f>IF(C521="","",1)</f>
        <v>1</v>
      </c>
      <c r="B521" s="121" t="str">
        <f>IF($D$127=5,N521,IF($D$127=6,N522,IF($D$127=8,N523,IF($D$127=10,N524,IF($D$127=12,N525,IF($D$127=14,N526,IF($D$127=18,N527,IF($D$127=20,N528,IF($D$127=22,N529,)))))))))</f>
        <v>กระจก 6 mm (สูง) (กว้าง)</v>
      </c>
      <c r="C521" s="121" t="str">
        <f>IF($D$127=5,O521,IF($D$127=6,O522,IF($D$127=8,O523,IF($D$127=10,O524,IF($D$127=12,O525,IF($D$127=14,O526,IF($D$127=18,O527,IF($D$127=20,O528,IF($D$127=22,O529,)))))))))</f>
        <v>GLASS thk.6 mm (H) (W)</v>
      </c>
      <c r="D521" s="124">
        <f>$J$123-215</f>
        <v>2185</v>
      </c>
      <c r="E521" s="123" t="s">
        <v>11</v>
      </c>
      <c r="F521" s="527" t="s">
        <v>271</v>
      </c>
      <c r="G521" s="528"/>
      <c r="H521" s="123" t="s">
        <v>405</v>
      </c>
      <c r="I521" s="124">
        <f>(($J$126-185-(113.25*4))/5)-13</f>
        <v>619.4</v>
      </c>
      <c r="J521" s="151">
        <f>$J$120*5</f>
        <v>5</v>
      </c>
      <c r="M521" s="1">
        <f>ROW()</f>
        <v>521</v>
      </c>
      <c r="N521" s="19" t="s">
        <v>194</v>
      </c>
      <c r="O521" s="19" t="s">
        <v>195</v>
      </c>
    </row>
    <row r="522" spans="1:15" s="1" customFormat="1" ht="15.9" customHeight="1">
      <c r="A522" s="346"/>
      <c r="B522" s="295"/>
      <c r="C522" s="295"/>
      <c r="D522" s="296"/>
      <c r="E522" s="238"/>
      <c r="F522" s="251"/>
      <c r="G522" s="297"/>
      <c r="H522" s="238"/>
      <c r="I522" s="298"/>
      <c r="J522" s="299"/>
      <c r="M522" s="1">
        <f>ROW()</f>
        <v>522</v>
      </c>
      <c r="N522" s="19" t="s">
        <v>53</v>
      </c>
      <c r="O522" s="19" t="s">
        <v>54</v>
      </c>
    </row>
    <row r="523" spans="1:15" s="1" customFormat="1" ht="15.9" customHeight="1">
      <c r="A523" s="346"/>
      <c r="B523" s="295"/>
      <c r="C523" s="295"/>
      <c r="D523" s="296"/>
      <c r="E523" s="238"/>
      <c r="F523" s="251"/>
      <c r="G523" s="297"/>
      <c r="H523" s="238"/>
      <c r="I523" s="298"/>
      <c r="J523" s="299"/>
      <c r="M523" s="1">
        <f>ROW()</f>
        <v>523</v>
      </c>
      <c r="N523" s="19" t="s">
        <v>257</v>
      </c>
      <c r="O523" s="19" t="s">
        <v>258</v>
      </c>
    </row>
    <row r="524" spans="1:15" s="1" customFormat="1" ht="15.9" customHeight="1">
      <c r="A524" s="129" t="str">
        <f>IF(B524="","",+#REF!+1)</f>
        <v/>
      </c>
      <c r="B524" s="127"/>
      <c r="C524" s="127"/>
      <c r="D524" s="128"/>
      <c r="E524" s="129"/>
      <c r="F524" s="155"/>
      <c r="G524" s="157"/>
      <c r="H524" s="129"/>
      <c r="I524" s="144"/>
      <c r="J524" s="130"/>
      <c r="M524" s="1">
        <f>ROW()</f>
        <v>524</v>
      </c>
      <c r="N524" s="19" t="s">
        <v>259</v>
      </c>
      <c r="O524" s="19" t="s">
        <v>265</v>
      </c>
    </row>
    <row r="525" spans="1:15" s="1" customFormat="1" ht="15.9" customHeight="1">
      <c r="A525" s="135" t="str">
        <f>IF(B525="","",+A524+1)</f>
        <v/>
      </c>
      <c r="B525" s="133"/>
      <c r="C525" s="133"/>
      <c r="D525" s="134"/>
      <c r="E525" s="135"/>
      <c r="F525" s="158"/>
      <c r="G525" s="159"/>
      <c r="H525" s="135"/>
      <c r="I525" s="145"/>
      <c r="J525" s="136"/>
      <c r="M525" s="1">
        <f>ROW()</f>
        <v>525</v>
      </c>
      <c r="N525" s="19" t="s">
        <v>260</v>
      </c>
      <c r="O525" s="19" t="s">
        <v>266</v>
      </c>
    </row>
    <row r="526" spans="1:15" s="1" customFormat="1" ht="15.9" customHeight="1">
      <c r="A526" s="17"/>
      <c r="B526" s="56"/>
      <c r="C526" s="56"/>
      <c r="D526" s="30"/>
      <c r="E526" s="17"/>
      <c r="F526" s="17"/>
      <c r="G526" s="17"/>
      <c r="H526" s="109"/>
      <c r="I526" s="109"/>
      <c r="J526" s="24"/>
      <c r="M526" s="1">
        <f>ROW()</f>
        <v>526</v>
      </c>
      <c r="N526" s="19" t="s">
        <v>261</v>
      </c>
      <c r="O526" s="19" t="s">
        <v>267</v>
      </c>
    </row>
    <row r="527" spans="1:15">
      <c r="J527" s="99" t="str">
        <f>LEFT($J$111,13)&amp;"-05"</f>
        <v>FG-240-5P2L3R-05</v>
      </c>
      <c r="M527" s="1">
        <f>ROW()</f>
        <v>527</v>
      </c>
      <c r="N527" s="19" t="s">
        <v>262</v>
      </c>
      <c r="O527" s="19" t="s">
        <v>268</v>
      </c>
    </row>
    <row r="528" spans="1:15">
      <c r="M528" s="1">
        <f>ROW()</f>
        <v>528</v>
      </c>
      <c r="N528" s="19" t="s">
        <v>263</v>
      </c>
      <c r="O528" s="19" t="s">
        <v>269</v>
      </c>
    </row>
    <row r="529" spans="13:15">
      <c r="M529" s="1">
        <f>ROW()</f>
        <v>529</v>
      </c>
      <c r="N529" s="19" t="s">
        <v>264</v>
      </c>
      <c r="O529" s="19" t="s">
        <v>270</v>
      </c>
    </row>
  </sheetData>
  <dataConsolidate function="product">
    <dataRefs count="1">
      <dataRef ref="O154:O162" sheet="240_2Panel(L)" r:id="rId1"/>
    </dataRefs>
  </dataConsolidate>
  <mergeCells count="46">
    <mergeCell ref="H171:H172"/>
    <mergeCell ref="A6:J6"/>
    <mergeCell ref="H120:I121"/>
    <mergeCell ref="J120:J121"/>
    <mergeCell ref="A117:J117"/>
    <mergeCell ref="D119:G119"/>
    <mergeCell ref="D121:G121"/>
    <mergeCell ref="I157:J157"/>
    <mergeCell ref="H123:I124"/>
    <mergeCell ref="J123:J124"/>
    <mergeCell ref="A125:B125"/>
    <mergeCell ref="H126:I127"/>
    <mergeCell ref="J126:J127"/>
    <mergeCell ref="D127:G127"/>
    <mergeCell ref="A131:J131"/>
    <mergeCell ref="I154:J154"/>
    <mergeCell ref="I155:J155"/>
    <mergeCell ref="I156:J156"/>
    <mergeCell ref="D129:G129"/>
    <mergeCell ref="D123:G123"/>
    <mergeCell ref="D125:G125"/>
    <mergeCell ref="A173:J173"/>
    <mergeCell ref="I168:J168"/>
    <mergeCell ref="I158:J158"/>
    <mergeCell ref="D159:D160"/>
    <mergeCell ref="H159:H160"/>
    <mergeCell ref="I159:J160"/>
    <mergeCell ref="I161:J161"/>
    <mergeCell ref="I162:J165"/>
    <mergeCell ref="I166:J167"/>
    <mergeCell ref="D161:D162"/>
    <mergeCell ref="D163:D168"/>
    <mergeCell ref="D169:D170"/>
    <mergeCell ref="D171:D172"/>
    <mergeCell ref="H163:H168"/>
    <mergeCell ref="H161:H162"/>
    <mergeCell ref="H169:H170"/>
    <mergeCell ref="F521:G521"/>
    <mergeCell ref="A519:J519"/>
    <mergeCell ref="A427:J427"/>
    <mergeCell ref="A320:J320"/>
    <mergeCell ref="A213:J213"/>
    <mergeCell ref="F331:G331"/>
    <mergeCell ref="F334:G334"/>
    <mergeCell ref="C309:E309"/>
    <mergeCell ref="F330:G330"/>
  </mergeCells>
  <dataValidations count="4">
    <dataValidation type="list" allowBlank="1" showInputMessage="1" showErrorMessage="1" sqref="D127:G127">
      <formula1>$N$120:$N$128</formula1>
    </dataValidation>
    <dataValidation type="list" allowBlank="1" showInputMessage="1" showErrorMessage="1" sqref="C206">
      <formula1>$O$175:$O$193</formula1>
    </dataValidation>
    <dataValidation type="list" allowBlank="1" showInputMessage="1" showErrorMessage="1" sqref="D129:G129">
      <formula1>$O$120</formula1>
    </dataValidation>
    <dataValidation type="list" allowBlank="1" showInputMessage="1" showErrorMessage="1" sqref="D123:G123">
      <formula1>$P$119:$P$128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16383" man="1"/>
    <brk id="421" max="9" man="1"/>
  </rowBreaks>
  <drawing r:id="rId3"/>
  <legacy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>
    <tabColor theme="5" tint="-0.249977111117893"/>
  </sheetPr>
  <dimension ref="A1:X529"/>
  <sheetViews>
    <sheetView showGridLines="0" view="pageBreakPreview" topLeftCell="A127" zoomScale="75" zoomScaleNormal="75" zoomScaleSheetLayoutView="75" workbookViewId="0">
      <selection activeCell="C138" sqref="C138"/>
    </sheetView>
  </sheetViews>
  <sheetFormatPr defaultRowHeight="14.4" outlineLevelRow="1" outlineLevelCol="1"/>
  <cols>
    <col min="1" max="1" width="7" customWidth="1"/>
    <col min="2" max="2" width="40.6640625" customWidth="1"/>
    <col min="3" max="3" width="60.3320312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8.6640625" bestFit="1" customWidth="1"/>
    <col min="9" max="9" width="11.109375" bestFit="1" customWidth="1"/>
    <col min="10" max="10" width="11.6640625" style="112" customWidth="1"/>
    <col min="14" max="14" width="22.5546875" hidden="1" customWidth="1" outlineLevel="1"/>
    <col min="15" max="15" width="26" hidden="1" customWidth="1" outlineLevel="1"/>
    <col min="16" max="16" width="35.44140625" hidden="1" customWidth="1" outlineLevel="1"/>
    <col min="17" max="17" width="9.5546875" hidden="1" customWidth="1" outlineLevel="1"/>
    <col min="18" max="18" width="14.33203125" hidden="1" customWidth="1" outlineLevel="1"/>
    <col min="19" max="19" width="18.109375" hidden="1" customWidth="1" outlineLevel="1"/>
    <col min="20" max="20" width="15.44140625" hidden="1" customWidth="1" outlineLevel="1"/>
    <col min="21" max="21" width="24.109375" hidden="1" customWidth="1" outlineLevel="1"/>
    <col min="22" max="22" width="11" hidden="1" customWidth="1" outlineLevel="1"/>
    <col min="23" max="23" width="10.88671875" hidden="1" customWidth="1" outlineLevel="1"/>
    <col min="24" max="24" width="9.109375" collapsed="1"/>
  </cols>
  <sheetData>
    <row r="1" spans="1:14" ht="12.75" customHeight="1"/>
    <row r="2" spans="1:14" ht="30" customHeight="1">
      <c r="B2" s="205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05"/>
      <c r="E3" s="205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146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>
      <c r="G45" s="10"/>
    </row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/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4" ht="15" customHeight="1"/>
    <row r="98" spans="7:14" ht="15" customHeight="1"/>
    <row r="99" spans="7:14" ht="15" customHeight="1"/>
    <row r="100" spans="7:14" ht="15" customHeight="1"/>
    <row r="101" spans="7:14" ht="15" customHeight="1"/>
    <row r="102" spans="7:14" ht="15" customHeight="1"/>
    <row r="103" spans="7:14" ht="15" customHeight="1"/>
    <row r="104" spans="7:14" ht="15" customHeight="1"/>
    <row r="105" spans="7:14" ht="15" customHeight="1"/>
    <row r="106" spans="7:14" ht="15" customHeight="1"/>
    <row r="107" spans="7:14" ht="15" customHeight="1"/>
    <row r="108" spans="7:14" ht="15" customHeight="1"/>
    <row r="109" spans="7:14" ht="15" customHeight="1"/>
    <row r="110" spans="7:14" ht="15" customHeight="1">
      <c r="N110" s="214"/>
    </row>
    <row r="111" spans="7:14" ht="15" customHeight="1">
      <c r="J111" s="99" t="s">
        <v>336</v>
      </c>
      <c r="K111" s="70"/>
    </row>
    <row r="112" spans="7:14" ht="15" customHeight="1">
      <c r="G112" s="10"/>
      <c r="H112" s="10"/>
      <c r="I112" s="70"/>
      <c r="L112" s="10"/>
    </row>
    <row r="113" spans="1:16" ht="30" customHeight="1">
      <c r="B113" s="205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05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5.6">
      <c r="A118" s="12"/>
      <c r="C118" s="8"/>
      <c r="D118" s="15"/>
      <c r="E118" s="13"/>
      <c r="J118" s="204"/>
      <c r="K118" s="11"/>
      <c r="L118" s="56"/>
      <c r="M118" s="56"/>
      <c r="N118" s="56"/>
    </row>
    <row r="119" spans="1:16" s="1" customFormat="1" ht="15" customHeight="1">
      <c r="A119" s="12"/>
      <c r="C119" s="110" t="s">
        <v>635</v>
      </c>
      <c r="D119" s="524"/>
      <c r="E119" s="525"/>
      <c r="F119" s="525"/>
      <c r="G119" s="526"/>
      <c r="I119" s="16"/>
      <c r="J119" s="12"/>
      <c r="N119" s="243" t="s">
        <v>191</v>
      </c>
      <c r="O119" s="12" t="s">
        <v>227</v>
      </c>
      <c r="P119" s="247" t="s">
        <v>16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4">
        <v>5</v>
      </c>
      <c r="O120" s="12" t="s">
        <v>243</v>
      </c>
      <c r="P120" s="335" t="s">
        <v>389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6</v>
      </c>
      <c r="O121" s="12" t="s">
        <v>244</v>
      </c>
      <c r="P121" s="336" t="s">
        <v>390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8</v>
      </c>
      <c r="P122" s="336" t="s">
        <v>391</v>
      </c>
    </row>
    <row r="123" spans="1:16" s="1" customFormat="1" ht="15" customHeight="1">
      <c r="A123" s="12"/>
      <c r="C123" s="110" t="s">
        <v>629</v>
      </c>
      <c r="D123" s="524" t="s">
        <v>15</v>
      </c>
      <c r="E123" s="525"/>
      <c r="F123" s="525"/>
      <c r="G123" s="526"/>
      <c r="H123" s="519" t="s">
        <v>638</v>
      </c>
      <c r="I123" s="520"/>
      <c r="J123" s="517">
        <v>2355</v>
      </c>
      <c r="N123" s="245">
        <v>10</v>
      </c>
      <c r="P123" s="336" t="s">
        <v>392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12</v>
      </c>
      <c r="P124" s="335" t="s">
        <v>393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202"/>
      <c r="L125" s="77"/>
      <c r="N125" s="245">
        <v>14</v>
      </c>
      <c r="P125" s="335" t="s">
        <v>394</v>
      </c>
    </row>
    <row r="126" spans="1:16" s="1" customFormat="1" ht="15" customHeight="1">
      <c r="A126" s="204"/>
      <c r="B126" s="204"/>
      <c r="C126" s="423" t="s">
        <v>631</v>
      </c>
      <c r="D126" s="15"/>
      <c r="H126" s="519" t="s">
        <v>639</v>
      </c>
      <c r="I126" s="520"/>
      <c r="J126" s="517">
        <v>2795</v>
      </c>
      <c r="K126" s="202"/>
      <c r="L126" s="77"/>
      <c r="N126" s="245">
        <v>18</v>
      </c>
      <c r="P126" s="335" t="s">
        <v>395</v>
      </c>
    </row>
    <row r="127" spans="1:16" s="1" customFormat="1" ht="15" customHeight="1">
      <c r="A127" s="204"/>
      <c r="B127" s="204"/>
      <c r="C127" s="110" t="s">
        <v>633</v>
      </c>
      <c r="D127" s="534">
        <v>6</v>
      </c>
      <c r="E127" s="535"/>
      <c r="F127" s="535"/>
      <c r="G127" s="536"/>
      <c r="H127" s="520"/>
      <c r="I127" s="520"/>
      <c r="J127" s="518"/>
      <c r="N127" s="245">
        <v>20</v>
      </c>
      <c r="P127" s="335" t="s">
        <v>396</v>
      </c>
    </row>
    <row r="128" spans="1:16" s="1" customFormat="1" ht="18.75" customHeight="1">
      <c r="C128" s="423" t="s">
        <v>632</v>
      </c>
      <c r="I128" s="12"/>
      <c r="J128" s="12"/>
      <c r="N128" s="245">
        <v>22</v>
      </c>
      <c r="P128" s="335" t="s">
        <v>397</v>
      </c>
    </row>
    <row r="129" spans="1:23" s="1" customFormat="1" ht="15" customHeight="1">
      <c r="A129" s="88" t="str">
        <f>A18</f>
        <v>240-5 Panel (3L2R)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2735</v>
      </c>
      <c r="J133" s="125">
        <f t="shared" ref="J133:J153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10</v>
      </c>
      <c r="U133" s="283" t="s">
        <v>296</v>
      </c>
      <c r="V133" s="285">
        <f>($J$126-185-(113.25*4))/5</f>
        <v>431.4</v>
      </c>
      <c r="W133" s="286">
        <f>$J$121*T133</f>
        <v>0</v>
      </c>
    </row>
    <row r="134" spans="1:23" s="1" customFormat="1" ht="18" customHeight="1">
      <c r="A134" s="143">
        <f t="shared" ref="A134:A153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2709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10</v>
      </c>
      <c r="U134" s="129" t="s">
        <v>296</v>
      </c>
      <c r="V134" s="285">
        <f t="shared" ref="V134:V135" si="2">($J$126-185-(113.25*4))/5</f>
        <v>431.4</v>
      </c>
      <c r="W134" s="131">
        <f t="shared" ref="W134:W135" si="3">$J$121*T134</f>
        <v>0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2735</v>
      </c>
      <c r="J135" s="131">
        <f t="shared" ref="J135:J139" si="4">$J$120*G135</f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10</v>
      </c>
      <c r="U135" s="135" t="s">
        <v>296</v>
      </c>
      <c r="V135" s="285">
        <f t="shared" si="2"/>
        <v>431.4</v>
      </c>
      <c r="W135" s="293">
        <f t="shared" si="3"/>
        <v>0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2735</v>
      </c>
      <c r="J136" s="131">
        <f t="shared" si="4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10</v>
      </c>
      <c r="U136" s="283" t="s">
        <v>64</v>
      </c>
      <c r="V136" s="288">
        <f>$J$123-242</f>
        <v>2113</v>
      </c>
      <c r="W136" s="286">
        <f>$J$121*T136</f>
        <v>0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2355</v>
      </c>
      <c r="J137" s="131">
        <f t="shared" si="4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10</v>
      </c>
      <c r="U137" s="129" t="s">
        <v>64</v>
      </c>
      <c r="V137" s="130">
        <f>$J$123-242</f>
        <v>2113</v>
      </c>
      <c r="W137" s="131">
        <f t="shared" ref="W137:W138" si="5">$J$121*T137</f>
        <v>0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2355</v>
      </c>
      <c r="J138" s="131">
        <f t="shared" si="4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10</v>
      </c>
      <c r="U138" s="135" t="s">
        <v>64</v>
      </c>
      <c r="V138" s="136">
        <f>$J$123-242</f>
        <v>2113</v>
      </c>
      <c r="W138" s="293">
        <f t="shared" si="5"/>
        <v>0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2259</v>
      </c>
      <c r="J139" s="131">
        <f t="shared" si="4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2259</v>
      </c>
      <c r="J140" s="131">
        <f t="shared" ref="J140" si="6">$J$120*G140</f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5</v>
      </c>
      <c r="H141" s="143" t="s">
        <v>296</v>
      </c>
      <c r="I141" s="178">
        <f>($J$126-185-(113.25*4))/5</f>
        <v>431.4</v>
      </c>
      <c r="J141" s="131">
        <f t="shared" ref="J141:J150" si="7">$J$120*G141</f>
        <v>5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5</v>
      </c>
      <c r="H142" s="143" t="s">
        <v>296</v>
      </c>
      <c r="I142" s="178">
        <f>($J$126-185-(113.25*4))/5</f>
        <v>431.4</v>
      </c>
      <c r="J142" s="131">
        <f t="shared" si="7"/>
        <v>5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7</v>
      </c>
      <c r="H143" s="143" t="s">
        <v>63</v>
      </c>
      <c r="I143" s="130">
        <f>$J$123-92</f>
        <v>2263</v>
      </c>
      <c r="J143" s="131">
        <f t="shared" si="7"/>
        <v>7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1</v>
      </c>
      <c r="H144" s="143" t="s">
        <v>63</v>
      </c>
      <c r="I144" s="130">
        <f t="shared" ref="I144:I146" si="8">$J$123-92</f>
        <v>2263</v>
      </c>
      <c r="J144" s="131">
        <f t="shared" si="7"/>
        <v>1</v>
      </c>
      <c r="N144" s="98"/>
    </row>
    <row r="145" spans="1:14" s="1" customFormat="1" ht="18" customHeight="1">
      <c r="A145" s="143">
        <f t="shared" si="1"/>
        <v>13</v>
      </c>
      <c r="B145" s="140" t="s">
        <v>8</v>
      </c>
      <c r="C145" s="140" t="s">
        <v>151</v>
      </c>
      <c r="D145" s="139" t="s">
        <v>50</v>
      </c>
      <c r="E145" s="143">
        <v>1.1060000000000001</v>
      </c>
      <c r="F145" s="139" t="s">
        <v>496</v>
      </c>
      <c r="G145" s="143">
        <v>1</v>
      </c>
      <c r="H145" s="143" t="s">
        <v>63</v>
      </c>
      <c r="I145" s="130">
        <f t="shared" si="8"/>
        <v>2263</v>
      </c>
      <c r="J145" s="131">
        <f t="shared" si="7"/>
        <v>1</v>
      </c>
      <c r="N145" s="98"/>
    </row>
    <row r="146" spans="1:14" s="1" customFormat="1" ht="18" customHeight="1">
      <c r="A146" s="143">
        <f t="shared" si="1"/>
        <v>14</v>
      </c>
      <c r="B146" s="140" t="s">
        <v>116</v>
      </c>
      <c r="C146" s="140" t="s">
        <v>99</v>
      </c>
      <c r="D146" s="139" t="s">
        <v>50</v>
      </c>
      <c r="E146" s="143">
        <v>1.1060000000000001</v>
      </c>
      <c r="F146" s="241" t="s">
        <v>506</v>
      </c>
      <c r="G146" s="143">
        <v>1</v>
      </c>
      <c r="H146" s="143" t="s">
        <v>63</v>
      </c>
      <c r="I146" s="130">
        <f t="shared" si="8"/>
        <v>2263</v>
      </c>
      <c r="J146" s="131">
        <f t="shared" si="7"/>
        <v>1</v>
      </c>
      <c r="N146" s="98"/>
    </row>
    <row r="147" spans="1:14" s="1" customFormat="1" ht="18" customHeight="1">
      <c r="A147" s="143">
        <f t="shared" si="1"/>
        <v>15</v>
      </c>
      <c r="B147" s="127" t="str">
        <f t="shared" ref="B147:I147" si="9">IF($D$127=5,O133,IF($D$127=6,O133,IF($D$127=8,O134,IF($D$127=10,O134,IF($D$127=12,O134,IF($D$127=14,O135,IF($D$127=18,O135,IF($D$127=20,O135,IF($D$127=22,O135,)))))))))</f>
        <v>5-6mm คิ้วตบกระจกแนวนอน</v>
      </c>
      <c r="C147" s="127" t="str">
        <f t="shared" si="9"/>
        <v>5-6mm GLAZING BEAD HORIZONTAL</v>
      </c>
      <c r="D147" s="127" t="str">
        <f t="shared" si="9"/>
        <v>B24008</v>
      </c>
      <c r="E147" s="127">
        <f t="shared" si="9"/>
        <v>0.23100000000000001</v>
      </c>
      <c r="F147" s="127" t="str">
        <f t="shared" si="9"/>
        <v>B24008-001</v>
      </c>
      <c r="G147" s="129">
        <f t="shared" si="9"/>
        <v>10</v>
      </c>
      <c r="H147" s="129" t="str">
        <f t="shared" si="9"/>
        <v>(W-185-(113.25 × 4))/5</v>
      </c>
      <c r="I147" s="178">
        <f t="shared" si="9"/>
        <v>431.4</v>
      </c>
      <c r="J147" s="131">
        <f t="shared" si="7"/>
        <v>10</v>
      </c>
      <c r="N147" s="98"/>
    </row>
    <row r="148" spans="1:14" s="1" customFormat="1" ht="18" customHeight="1">
      <c r="A148" s="143">
        <f t="shared" si="1"/>
        <v>16</v>
      </c>
      <c r="B148" s="127" t="str">
        <f t="shared" ref="B148:I148" si="10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27" t="str">
        <f t="shared" si="10"/>
        <v>5-6mm GLAZING BEAD VERTICAL</v>
      </c>
      <c r="D148" s="127" t="str">
        <f t="shared" si="10"/>
        <v>B24008</v>
      </c>
      <c r="E148" s="127">
        <f t="shared" si="10"/>
        <v>0.23100000000000001</v>
      </c>
      <c r="F148" s="127" t="str">
        <f t="shared" si="10"/>
        <v>B24008-002</v>
      </c>
      <c r="G148" s="129">
        <f t="shared" si="10"/>
        <v>10</v>
      </c>
      <c r="H148" s="129" t="str">
        <f t="shared" si="10"/>
        <v>H-242</v>
      </c>
      <c r="I148" s="144">
        <f t="shared" si="10"/>
        <v>2113</v>
      </c>
      <c r="J148" s="131">
        <f t="shared" si="7"/>
        <v>10</v>
      </c>
      <c r="N148" s="98"/>
    </row>
    <row r="149" spans="1:14" s="1" customFormat="1" ht="18" customHeight="1">
      <c r="A149" s="143">
        <f t="shared" si="1"/>
        <v>17</v>
      </c>
      <c r="B149" s="140" t="s">
        <v>125</v>
      </c>
      <c r="C149" s="140" t="s">
        <v>152</v>
      </c>
      <c r="D149" s="139" t="s">
        <v>123</v>
      </c>
      <c r="E149" s="143"/>
      <c r="F149" s="139" t="s">
        <v>362</v>
      </c>
      <c r="G149" s="143">
        <v>1</v>
      </c>
      <c r="H149" s="143" t="s">
        <v>63</v>
      </c>
      <c r="I149" s="130">
        <f>$J$123-92</f>
        <v>2263</v>
      </c>
      <c r="J149" s="131">
        <f t="shared" si="7"/>
        <v>1</v>
      </c>
      <c r="N149" s="98"/>
    </row>
    <row r="150" spans="1:14" s="1" customFormat="1" ht="18" customHeight="1">
      <c r="A150" s="143">
        <f t="shared" si="1"/>
        <v>18</v>
      </c>
      <c r="B150" s="140" t="s">
        <v>125</v>
      </c>
      <c r="C150" s="140" t="s">
        <v>124</v>
      </c>
      <c r="D150" s="139" t="s">
        <v>123</v>
      </c>
      <c r="E150" s="143"/>
      <c r="F150" s="139" t="s">
        <v>363</v>
      </c>
      <c r="G150" s="143">
        <v>1</v>
      </c>
      <c r="H150" s="143" t="s">
        <v>63</v>
      </c>
      <c r="I150" s="130">
        <f>$J$123-92</f>
        <v>2263</v>
      </c>
      <c r="J150" s="131">
        <f t="shared" si="7"/>
        <v>1</v>
      </c>
      <c r="N150" s="98"/>
    </row>
    <row r="151" spans="1:14" s="1" customFormat="1" ht="18" customHeight="1">
      <c r="A151" s="143" t="str">
        <f t="shared" si="1"/>
        <v/>
      </c>
      <c r="B151" s="140"/>
      <c r="C151" s="140"/>
      <c r="D151" s="139"/>
      <c r="E151" s="143"/>
      <c r="F151" s="139"/>
      <c r="G151" s="143"/>
      <c r="H151" s="143"/>
      <c r="I151" s="130"/>
      <c r="J151" s="131"/>
      <c r="N151" s="98"/>
    </row>
    <row r="152" spans="1:14" s="1" customFormat="1" ht="18" customHeight="1">
      <c r="A152" s="143" t="str">
        <f t="shared" si="1"/>
        <v/>
      </c>
      <c r="B152" s="140"/>
      <c r="C152" s="140"/>
      <c r="D152" s="139"/>
      <c r="E152" s="143"/>
      <c r="F152" s="139"/>
      <c r="G152" s="143"/>
      <c r="H152" s="143"/>
      <c r="I152" s="144"/>
      <c r="J152" s="131">
        <f t="shared" si="0"/>
        <v>0</v>
      </c>
      <c r="N152" s="98"/>
    </row>
    <row r="153" spans="1:14" s="1" customFormat="1" ht="18" customHeight="1" thickBot="1">
      <c r="A153" s="143" t="str">
        <f t="shared" si="1"/>
        <v/>
      </c>
      <c r="B153" s="167"/>
      <c r="C153" s="167"/>
      <c r="D153" s="168"/>
      <c r="E153" s="166"/>
      <c r="F153" s="168"/>
      <c r="G153" s="166"/>
      <c r="H153" s="166"/>
      <c r="I153" s="171"/>
      <c r="J153" s="172">
        <f t="shared" si="0"/>
        <v>0</v>
      </c>
    </row>
    <row r="154" spans="1:14" s="1" customFormat="1" ht="27" outlineLevel="1" thickBot="1">
      <c r="A154" s="169" t="s">
        <v>2</v>
      </c>
      <c r="B154" s="169" t="s">
        <v>29</v>
      </c>
      <c r="C154" s="169" t="s">
        <v>3</v>
      </c>
      <c r="D154" s="169" t="s">
        <v>4</v>
      </c>
      <c r="E154" s="169" t="s">
        <v>5</v>
      </c>
      <c r="F154" s="177" t="s">
        <v>85</v>
      </c>
      <c r="G154" s="169" t="s">
        <v>22</v>
      </c>
      <c r="H154" s="170" t="s">
        <v>23</v>
      </c>
      <c r="I154" s="540"/>
      <c r="J154" s="541"/>
    </row>
    <row r="155" spans="1:14" s="1" customFormat="1" ht="15" customHeight="1" outlineLevel="1">
      <c r="A155" s="21">
        <f>IF(B155="","",1)</f>
        <v>1</v>
      </c>
      <c r="B155" s="173" t="str">
        <f t="shared" ref="B155:C161" si="11">B133</f>
        <v>เฟรมบน</v>
      </c>
      <c r="C155" s="173" t="str">
        <f t="shared" si="11"/>
        <v>HEAD</v>
      </c>
      <c r="D155" s="174" t="str">
        <f>VLOOKUP(C155,$C$133:$H$153,2,0)</f>
        <v>B24001</v>
      </c>
      <c r="E155" s="175">
        <f t="shared" ref="E155:E161" si="12">VLOOKUP(C155,$C$133:$H$153,3,0)</f>
        <v>1.603</v>
      </c>
      <c r="F155" s="353">
        <f>VLOOKUP(C155,$C$133:$J$153,7,0)</f>
        <v>2735</v>
      </c>
      <c r="G155" s="175">
        <f t="shared" ref="G155:G161" si="13">VLOOKUP(C155,$C$133:$J$153,8,0)</f>
        <v>1</v>
      </c>
      <c r="H155" s="191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ref="A156" si="14">IF(B156="","",+A155+1)</f>
        <v>2</v>
      </c>
      <c r="B156" s="173" t="str">
        <f t="shared" si="11"/>
        <v>บังใบบน</v>
      </c>
      <c r="C156" s="173" t="str">
        <f t="shared" si="11"/>
        <v>DOOR STOP HEAD</v>
      </c>
      <c r="D156" s="174" t="str">
        <f>VLOOKUP(C156,$C$133:$H$153,2,0)</f>
        <v>B24002</v>
      </c>
      <c r="E156" s="175">
        <f t="shared" si="12"/>
        <v>0.27800000000000002</v>
      </c>
      <c r="F156" s="353">
        <f t="shared" ref="F156:F161" si="15">VLOOKUP(C156,$C$133:$I$153,7,0)</f>
        <v>2709</v>
      </c>
      <c r="G156" s="175">
        <f t="shared" si="13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ref="A157:A161" si="16">IF(B157="","",+A156+1)</f>
        <v>3</v>
      </c>
      <c r="B157" s="173" t="str">
        <f t="shared" si="11"/>
        <v xml:space="preserve">เฟรมล่าง </v>
      </c>
      <c r="C157" s="173" t="str">
        <f t="shared" si="11"/>
        <v>SILL</v>
      </c>
      <c r="D157" s="174" t="str">
        <f>VLOOKUP(C157,$C$133:$H$153,2,0)</f>
        <v>B24003</v>
      </c>
      <c r="E157" s="175">
        <f t="shared" si="12"/>
        <v>1.603</v>
      </c>
      <c r="F157" s="353">
        <f t="shared" si="15"/>
        <v>2735</v>
      </c>
      <c r="G157" s="175">
        <f t="shared" si="13"/>
        <v>1</v>
      </c>
      <c r="H157" s="192">
        <f t="shared" ref="H157:H158" si="17">ROUNDUP((F157*G157)/6400,0)</f>
        <v>1</v>
      </c>
      <c r="I157" s="501"/>
      <c r="J157" s="501"/>
    </row>
    <row r="158" spans="1:14" s="1" customFormat="1" ht="15" customHeight="1" outlineLevel="1">
      <c r="A158" s="18">
        <f t="shared" si="16"/>
        <v>4</v>
      </c>
      <c r="B158" s="173" t="str">
        <f t="shared" si="11"/>
        <v>ตัวตับธรณี</v>
      </c>
      <c r="C158" s="173" t="str">
        <f t="shared" si="11"/>
        <v>DOOR STOP SILL</v>
      </c>
      <c r="D158" s="174" t="str">
        <f>VLOOKUP(C158,$C$133:$H$153,2,0)</f>
        <v>B24004</v>
      </c>
      <c r="E158" s="175">
        <f t="shared" si="12"/>
        <v>0.51600000000000001</v>
      </c>
      <c r="F158" s="353">
        <f t="shared" si="15"/>
        <v>2735</v>
      </c>
      <c r="G158" s="175">
        <f t="shared" si="13"/>
        <v>1</v>
      </c>
      <c r="H158" s="192">
        <f t="shared" si="17"/>
        <v>1</v>
      </c>
      <c r="I158" s="501"/>
      <c r="J158" s="501"/>
    </row>
    <row r="159" spans="1:14" s="1" customFormat="1" ht="15" customHeight="1" outlineLevel="1">
      <c r="A159" s="18">
        <f t="shared" si="16"/>
        <v>5</v>
      </c>
      <c r="B159" s="173" t="str">
        <f t="shared" si="11"/>
        <v>เฟรมข้าง (ซ้าย)</v>
      </c>
      <c r="C159" s="173" t="str">
        <f t="shared" si="11"/>
        <v>JAMB (L)</v>
      </c>
      <c r="D159" s="508" t="str">
        <f>VLOOKUP(C159,$C$133:$H$153,2,0)</f>
        <v>B24005</v>
      </c>
      <c r="E159" s="175">
        <f t="shared" si="12"/>
        <v>0.89300000000000002</v>
      </c>
      <c r="F159" s="353">
        <f t="shared" si="15"/>
        <v>2355</v>
      </c>
      <c r="G159" s="175">
        <f t="shared" si="13"/>
        <v>1</v>
      </c>
      <c r="H159" s="516">
        <f>ROUNDUP(((F159*G159)+(F160*G160))/6400,0)</f>
        <v>1</v>
      </c>
      <c r="I159" s="506"/>
      <c r="J159" s="506"/>
    </row>
    <row r="160" spans="1:14" s="1" customFormat="1" ht="15" customHeight="1" outlineLevel="1">
      <c r="A160" s="18">
        <f t="shared" si="16"/>
        <v>6</v>
      </c>
      <c r="B160" s="173" t="str">
        <f t="shared" si="11"/>
        <v>เฟรมข้าง (ขวา)</v>
      </c>
      <c r="C160" s="173" t="str">
        <f t="shared" si="11"/>
        <v>JAMB (R)</v>
      </c>
      <c r="D160" s="509"/>
      <c r="E160" s="175">
        <f t="shared" si="12"/>
        <v>0.89300000000000002</v>
      </c>
      <c r="F160" s="353">
        <f t="shared" si="15"/>
        <v>2355</v>
      </c>
      <c r="G160" s="175">
        <f t="shared" si="13"/>
        <v>1</v>
      </c>
      <c r="H160" s="516"/>
      <c r="I160" s="506"/>
      <c r="J160" s="506"/>
    </row>
    <row r="161" spans="1:23" s="1" customFormat="1" ht="15" customHeight="1" outlineLevel="1">
      <c r="A161" s="18">
        <f t="shared" si="16"/>
        <v>7</v>
      </c>
      <c r="B161" s="173" t="str">
        <f>B139</f>
        <v>บังใบข้าง (ซ้าย)</v>
      </c>
      <c r="C161" s="173" t="str">
        <f t="shared" si="11"/>
        <v>DOOR STOP JAMB (L)</v>
      </c>
      <c r="D161" s="508" t="str">
        <f>VLOOKUP(C161,$C$133:$H$153,2,0)</f>
        <v>B24006</v>
      </c>
      <c r="E161" s="175">
        <f t="shared" si="12"/>
        <v>0.23499999999999999</v>
      </c>
      <c r="F161" s="353">
        <f t="shared" si="15"/>
        <v>2259</v>
      </c>
      <c r="G161" s="175">
        <f t="shared" si="13"/>
        <v>1</v>
      </c>
      <c r="H161" s="516">
        <f>ROUNDUP(((F161*G161)+(F162*G162))/6400,0)</f>
        <v>1</v>
      </c>
      <c r="I161" s="501"/>
      <c r="J161" s="501"/>
    </row>
    <row r="162" spans="1:23" s="1" customFormat="1" ht="15" customHeight="1" outlineLevel="1">
      <c r="A162" s="18">
        <f t="shared" ref="A162:A172" si="18">IF(B162="","",+A161+1)</f>
        <v>8</v>
      </c>
      <c r="B162" s="173" t="str">
        <f t="shared" ref="B162:C162" si="19">B140</f>
        <v>บังใบข้าง (ขวา)</v>
      </c>
      <c r="C162" s="173" t="str">
        <f t="shared" si="19"/>
        <v>DOOR STOP JAMB (R)</v>
      </c>
      <c r="D162" s="509"/>
      <c r="E162" s="175">
        <f t="shared" ref="E162:E172" si="20">VLOOKUP(C162,$C$133:$H$153,3,0)</f>
        <v>0.23499999999999999</v>
      </c>
      <c r="F162" s="353">
        <f t="shared" ref="F162:F172" si="21">VLOOKUP(C162,$C$133:$I$153,7,0)</f>
        <v>2259</v>
      </c>
      <c r="G162" s="175">
        <f t="shared" ref="G162:G172" si="22">VLOOKUP(C162,$C$133:$J$153,8,0)</f>
        <v>1</v>
      </c>
      <c r="H162" s="516"/>
      <c r="I162" s="506"/>
      <c r="J162" s="506"/>
    </row>
    <row r="163" spans="1:23" s="1" customFormat="1" ht="13.8" outlineLevel="1">
      <c r="A163" s="18">
        <f t="shared" si="18"/>
        <v>9</v>
      </c>
      <c r="B163" s="173" t="str">
        <f t="shared" ref="B163:C163" si="23">B141</f>
        <v>ขวางบน</v>
      </c>
      <c r="C163" s="173" t="str">
        <f t="shared" si="23"/>
        <v>SASH (Hor) (T)</v>
      </c>
      <c r="D163" s="508" t="str">
        <f t="shared" ref="D163:D171" si="24">VLOOKUP(C163,$C$133:$H$153,2,0)</f>
        <v>B24007</v>
      </c>
      <c r="E163" s="175">
        <f t="shared" si="20"/>
        <v>1.1060000000000001</v>
      </c>
      <c r="F163" s="353">
        <f t="shared" si="21"/>
        <v>431.4</v>
      </c>
      <c r="G163" s="175">
        <f t="shared" si="22"/>
        <v>5</v>
      </c>
      <c r="H163" s="512">
        <f>ROUNDUP(((F163*G163)+(F164*G164)+(F165*G165)+(F166*G166)+(F167*G167)+(F168*G168))/6400,0)</f>
        <v>5</v>
      </c>
      <c r="I163" s="506"/>
      <c r="J163" s="506"/>
    </row>
    <row r="164" spans="1:23" s="1" customFormat="1" ht="13.8" outlineLevel="1">
      <c r="A164" s="18">
        <f t="shared" si="18"/>
        <v>10</v>
      </c>
      <c r="B164" s="173" t="str">
        <f t="shared" ref="B164:C164" si="25">B142</f>
        <v>ขวางล่าง</v>
      </c>
      <c r="C164" s="173" t="str">
        <f t="shared" si="25"/>
        <v>SASH (Hor) (B)</v>
      </c>
      <c r="D164" s="510"/>
      <c r="E164" s="175">
        <f t="shared" si="20"/>
        <v>1.1060000000000001</v>
      </c>
      <c r="F164" s="353">
        <f t="shared" si="21"/>
        <v>431.4</v>
      </c>
      <c r="G164" s="175">
        <f t="shared" si="22"/>
        <v>5</v>
      </c>
      <c r="H164" s="514"/>
      <c r="I164" s="506"/>
      <c r="J164" s="506"/>
    </row>
    <row r="165" spans="1:23" s="1" customFormat="1" ht="13.8" outlineLevel="1">
      <c r="A165" s="18">
        <f t="shared" si="18"/>
        <v>11</v>
      </c>
      <c r="B165" s="173" t="str">
        <f t="shared" ref="B165:C165" si="26">B143</f>
        <v>เสา</v>
      </c>
      <c r="C165" s="173" t="str">
        <f t="shared" si="26"/>
        <v xml:space="preserve">SASH (Ver) </v>
      </c>
      <c r="D165" s="510"/>
      <c r="E165" s="175">
        <f t="shared" si="20"/>
        <v>1.1060000000000001</v>
      </c>
      <c r="F165" s="353">
        <f t="shared" si="21"/>
        <v>2263</v>
      </c>
      <c r="G165" s="175">
        <f t="shared" si="22"/>
        <v>7</v>
      </c>
      <c r="H165" s="514"/>
      <c r="I165" s="506"/>
      <c r="J165" s="506"/>
    </row>
    <row r="166" spans="1:23" s="1" customFormat="1" ht="13.8" outlineLevel="1">
      <c r="A166" s="18">
        <f t="shared" si="18"/>
        <v>12</v>
      </c>
      <c r="B166" s="173" t="str">
        <f t="shared" ref="B166:C166" si="27">B144</f>
        <v>เสากุญแจ</v>
      </c>
      <c r="C166" s="173" t="str">
        <f t="shared" si="27"/>
        <v xml:space="preserve">SASH (Ver) LOCK </v>
      </c>
      <c r="D166" s="510"/>
      <c r="E166" s="175">
        <f t="shared" si="20"/>
        <v>1.1060000000000001</v>
      </c>
      <c r="F166" s="353">
        <f t="shared" si="21"/>
        <v>2263</v>
      </c>
      <c r="G166" s="175">
        <f t="shared" si="22"/>
        <v>1</v>
      </c>
      <c r="H166" s="514"/>
      <c r="I166" s="506"/>
      <c r="J166" s="506"/>
    </row>
    <row r="167" spans="1:23" s="1" customFormat="1" ht="13.8" outlineLevel="1">
      <c r="A167" s="18">
        <f t="shared" si="18"/>
        <v>13</v>
      </c>
      <c r="B167" s="173" t="str">
        <f t="shared" ref="B167:C167" si="28">B145</f>
        <v>เสากุญแจ</v>
      </c>
      <c r="C167" s="173" t="str">
        <f t="shared" si="28"/>
        <v xml:space="preserve">SASH (Ver) LOCK  </v>
      </c>
      <c r="D167" s="510"/>
      <c r="E167" s="175">
        <f t="shared" si="20"/>
        <v>1.1060000000000001</v>
      </c>
      <c r="F167" s="353">
        <f t="shared" si="21"/>
        <v>2263</v>
      </c>
      <c r="G167" s="175">
        <f t="shared" si="22"/>
        <v>1</v>
      </c>
      <c r="H167" s="514"/>
      <c r="I167" s="506"/>
      <c r="J167" s="506"/>
    </row>
    <row r="168" spans="1:23" s="1" customFormat="1" ht="15" customHeight="1" outlineLevel="1">
      <c r="A168" s="18">
        <f t="shared" si="18"/>
        <v>14</v>
      </c>
      <c r="B168" s="173" t="str">
        <f t="shared" ref="B168:C168" si="29">B146</f>
        <v>เสากุญแจมือจับ</v>
      </c>
      <c r="C168" s="173" t="str">
        <f t="shared" si="29"/>
        <v>SASH (Ver) LOCK HANDLE</v>
      </c>
      <c r="D168" s="509"/>
      <c r="E168" s="175">
        <f t="shared" si="20"/>
        <v>1.1060000000000001</v>
      </c>
      <c r="F168" s="353">
        <f t="shared" si="21"/>
        <v>2263</v>
      </c>
      <c r="G168" s="175">
        <f t="shared" si="22"/>
        <v>1</v>
      </c>
      <c r="H168" s="515"/>
      <c r="I168" s="501"/>
      <c r="J168" s="501"/>
    </row>
    <row r="169" spans="1:23" s="1" customFormat="1" ht="15" customHeight="1" outlineLevel="1">
      <c r="A169" s="18">
        <f t="shared" si="18"/>
        <v>15</v>
      </c>
      <c r="B169" s="173" t="str">
        <f t="shared" ref="B169:C169" si="30">B147</f>
        <v>5-6mm คิ้วตบกระจกแนวนอน</v>
      </c>
      <c r="C169" s="173" t="str">
        <f t="shared" si="30"/>
        <v>5-6mm GLAZING BEAD HORIZONTAL</v>
      </c>
      <c r="D169" s="508" t="str">
        <f t="shared" si="24"/>
        <v>B24008</v>
      </c>
      <c r="E169" s="175">
        <f t="shared" si="20"/>
        <v>0.23100000000000001</v>
      </c>
      <c r="F169" s="353">
        <f t="shared" si="21"/>
        <v>431.4</v>
      </c>
      <c r="G169" s="175">
        <f t="shared" si="22"/>
        <v>10</v>
      </c>
      <c r="H169" s="516">
        <f>ROUNDUP(((F169*G169)+(F170*G170))/6400,0)</f>
        <v>4</v>
      </c>
      <c r="I169" s="206"/>
      <c r="J169" s="206"/>
    </row>
    <row r="170" spans="1:23" s="1" customFormat="1" ht="15" customHeight="1" outlineLevel="1">
      <c r="A170" s="18">
        <f t="shared" si="18"/>
        <v>16</v>
      </c>
      <c r="B170" s="173" t="str">
        <f t="shared" ref="B170:C170" si="31">B148</f>
        <v>5-6mm คิ้วตบกระจกแนวตั้ง</v>
      </c>
      <c r="C170" s="173" t="str">
        <f t="shared" si="31"/>
        <v>5-6mm GLAZING BEAD VERTICAL</v>
      </c>
      <c r="D170" s="509"/>
      <c r="E170" s="175">
        <f t="shared" si="20"/>
        <v>0.23100000000000001</v>
      </c>
      <c r="F170" s="353">
        <f t="shared" si="21"/>
        <v>2113</v>
      </c>
      <c r="G170" s="175">
        <f t="shared" si="22"/>
        <v>10</v>
      </c>
      <c r="H170" s="516"/>
      <c r="I170" s="206"/>
      <c r="J170" s="206"/>
    </row>
    <row r="171" spans="1:23" s="1" customFormat="1" ht="13.8" outlineLevel="1">
      <c r="A171" s="18">
        <f t="shared" si="18"/>
        <v>17</v>
      </c>
      <c r="B171" s="173" t="str">
        <f t="shared" ref="B171:C171" si="32">B149</f>
        <v>บังใบ</v>
      </c>
      <c r="C171" s="173" t="str">
        <f t="shared" si="32"/>
        <v xml:space="preserve">SASH STOP </v>
      </c>
      <c r="D171" s="508" t="str">
        <f t="shared" si="24"/>
        <v>B24009</v>
      </c>
      <c r="E171" s="175">
        <f t="shared" si="20"/>
        <v>0</v>
      </c>
      <c r="F171" s="353">
        <f t="shared" si="21"/>
        <v>2263</v>
      </c>
      <c r="G171" s="175">
        <f t="shared" si="22"/>
        <v>1</v>
      </c>
      <c r="H171" s="516">
        <f>ROUNDUP(((F171*G171)+(F172*G172))/6400,0)</f>
        <v>1</v>
      </c>
      <c r="I171" s="206"/>
      <c r="J171" s="206"/>
    </row>
    <row r="172" spans="1:23" s="1" customFormat="1" outlineLevel="1" thickBot="1">
      <c r="A172" s="18">
        <f t="shared" si="18"/>
        <v>18</v>
      </c>
      <c r="B172" s="173" t="str">
        <f t="shared" ref="B172:C172" si="33">B150</f>
        <v>บังใบ</v>
      </c>
      <c r="C172" s="173" t="str">
        <f t="shared" si="33"/>
        <v>SASH STOP</v>
      </c>
      <c r="D172" s="511"/>
      <c r="E172" s="175">
        <f t="shared" si="20"/>
        <v>0</v>
      </c>
      <c r="F172" s="353">
        <f t="shared" si="21"/>
        <v>2263</v>
      </c>
      <c r="G172" s="175">
        <f t="shared" si="22"/>
        <v>1</v>
      </c>
      <c r="H172" s="516"/>
      <c r="I172" s="206"/>
      <c r="J172" s="206"/>
    </row>
    <row r="173" spans="1:23" s="1" customFormat="1" ht="24.9" customHeight="1" thickBot="1">
      <c r="A173" s="529" t="s">
        <v>9</v>
      </c>
      <c r="B173" s="530"/>
      <c r="C173" s="530"/>
      <c r="D173" s="530"/>
      <c r="E173" s="530"/>
      <c r="F173" s="530"/>
      <c r="G173" s="530"/>
      <c r="H173" s="530"/>
      <c r="I173" s="530"/>
      <c r="J173" s="531"/>
    </row>
    <row r="174" spans="1:23" s="1" customFormat="1" ht="35.1" customHeight="1" thickBot="1">
      <c r="A174" s="102" t="s">
        <v>2</v>
      </c>
      <c r="B174" s="103" t="s">
        <v>29</v>
      </c>
      <c r="C174" s="103" t="s">
        <v>3</v>
      </c>
      <c r="D174" s="103" t="s">
        <v>199</v>
      </c>
      <c r="E174" s="103" t="s">
        <v>5</v>
      </c>
      <c r="F174" s="104" t="s">
        <v>28</v>
      </c>
      <c r="G174" s="103" t="s">
        <v>19</v>
      </c>
      <c r="H174" s="104" t="s">
        <v>200</v>
      </c>
      <c r="I174" s="104" t="s">
        <v>20</v>
      </c>
      <c r="J174" s="115" t="s">
        <v>201</v>
      </c>
      <c r="N174" s="101" t="s">
        <v>191</v>
      </c>
      <c r="O174" s="246" t="s">
        <v>29</v>
      </c>
      <c r="P174" s="246" t="s">
        <v>3</v>
      </c>
      <c r="Q174" s="246" t="s">
        <v>199</v>
      </c>
      <c r="R174" s="246" t="s">
        <v>5</v>
      </c>
      <c r="S174" s="246" t="s">
        <v>28</v>
      </c>
      <c r="T174" s="246" t="s">
        <v>19</v>
      </c>
      <c r="U174" s="246" t="s">
        <v>200</v>
      </c>
      <c r="V174" s="246" t="s">
        <v>20</v>
      </c>
      <c r="W174" s="246" t="s">
        <v>201</v>
      </c>
    </row>
    <row r="175" spans="1:23" s="1" customFormat="1" ht="18" customHeight="1">
      <c r="A175" s="200">
        <f>IF(B175="","",1)</f>
        <v>1</v>
      </c>
      <c r="B175" s="140" t="s">
        <v>111</v>
      </c>
      <c r="C175" s="140" t="s">
        <v>67</v>
      </c>
      <c r="D175" s="139" t="s">
        <v>74</v>
      </c>
      <c r="E175" s="143"/>
      <c r="F175" s="143" t="s">
        <v>74</v>
      </c>
      <c r="G175" s="143" t="s">
        <v>202</v>
      </c>
      <c r="H175" s="143">
        <v>10</v>
      </c>
      <c r="I175" s="130"/>
      <c r="J175" s="131">
        <f t="shared" ref="J175:J198" si="34">$J$120*H175</f>
        <v>10</v>
      </c>
      <c r="N175" s="101" t="s">
        <v>226</v>
      </c>
      <c r="O175" s="280" t="s">
        <v>252</v>
      </c>
      <c r="P175" s="290" t="s">
        <v>248</v>
      </c>
      <c r="Q175" s="280" t="s">
        <v>69</v>
      </c>
      <c r="R175" s="213"/>
      <c r="S175" s="213" t="s">
        <v>69</v>
      </c>
      <c r="T175" s="213" t="s">
        <v>198</v>
      </c>
      <c r="U175" s="291">
        <f>((($I$141*$G$141)+($I$142*$G$142)+($I$143*$G$143)+($I$144*$G$144)+($I$145*$G$145)+($I$146*$G$146))/1000)*$J$120</f>
        <v>26.943999999999999</v>
      </c>
      <c r="V175" s="291">
        <v>100</v>
      </c>
      <c r="W175" s="292">
        <f>ROUNDUP((U175)/100,0)</f>
        <v>1</v>
      </c>
    </row>
    <row r="176" spans="1:23" s="1" customFormat="1" ht="18" customHeight="1">
      <c r="A176" s="201">
        <f>IF(B176="","",+A175+1)</f>
        <v>2</v>
      </c>
      <c r="B176" s="140" t="s">
        <v>106</v>
      </c>
      <c r="C176" s="140" t="s">
        <v>503</v>
      </c>
      <c r="D176" s="139" t="s">
        <v>75</v>
      </c>
      <c r="E176" s="143"/>
      <c r="F176" s="143" t="s">
        <v>75</v>
      </c>
      <c r="G176" s="143" t="s">
        <v>202</v>
      </c>
      <c r="H176" s="143">
        <v>2</v>
      </c>
      <c r="I176" s="130"/>
      <c r="J176" s="131">
        <f t="shared" si="34"/>
        <v>2</v>
      </c>
      <c r="N176" s="101" t="s">
        <v>230</v>
      </c>
      <c r="O176" s="280" t="s">
        <v>253</v>
      </c>
      <c r="P176" s="290" t="s">
        <v>249</v>
      </c>
      <c r="Q176" s="280" t="s">
        <v>188</v>
      </c>
      <c r="R176" s="213"/>
      <c r="S176" s="213" t="s">
        <v>188</v>
      </c>
      <c r="T176" s="213" t="s">
        <v>198</v>
      </c>
      <c r="U176" s="291">
        <f>((($I$141*$G$141)+($I$142*$G$142)+($I$143*$G$143)+($I$144*$G$144)+($I$145*$G$145)+($I$146*$G$146))/1000)*$J$120</f>
        <v>26.943999999999999</v>
      </c>
      <c r="V176" s="291">
        <v>100</v>
      </c>
      <c r="W176" s="292">
        <f t="shared" ref="W176:W178" si="35">ROUNDUP((U176)/100,0)</f>
        <v>1</v>
      </c>
    </row>
    <row r="177" spans="1:23" s="1" customFormat="1" ht="18" customHeight="1">
      <c r="A177" s="201">
        <f t="shared" ref="A177:A204" si="36">IF(B177="","",+A176+1)</f>
        <v>3</v>
      </c>
      <c r="B177" s="140" t="s">
        <v>107</v>
      </c>
      <c r="C177" s="140" t="s">
        <v>504</v>
      </c>
      <c r="D177" s="139" t="s">
        <v>76</v>
      </c>
      <c r="E177" s="143"/>
      <c r="F177" s="143" t="s">
        <v>76</v>
      </c>
      <c r="G177" s="143" t="s">
        <v>202</v>
      </c>
      <c r="H177" s="143">
        <v>2</v>
      </c>
      <c r="I177" s="130"/>
      <c r="J177" s="131">
        <f t="shared" si="34"/>
        <v>2</v>
      </c>
      <c r="N177" s="101" t="s">
        <v>229</v>
      </c>
      <c r="O177" s="290" t="s">
        <v>254</v>
      </c>
      <c r="P177" s="290" t="s">
        <v>250</v>
      </c>
      <c r="Q177" s="280" t="s">
        <v>70</v>
      </c>
      <c r="R177" s="213"/>
      <c r="S177" s="213" t="s">
        <v>70</v>
      </c>
      <c r="T177" s="213" t="s">
        <v>198</v>
      </c>
      <c r="U177" s="291">
        <f>((($I$141*$G$141)+($I$142*$G$142)+($I$143*$G$143)+($I$144*$G$144)+($I$145*$G$145)+($I$146*$G$146))/1000)*$J$120</f>
        <v>26.943999999999999</v>
      </c>
      <c r="V177" s="291">
        <v>100</v>
      </c>
      <c r="W177" s="292">
        <f t="shared" si="35"/>
        <v>1</v>
      </c>
    </row>
    <row r="178" spans="1:23" s="1" customFormat="1" ht="18" customHeight="1">
      <c r="A178" s="201">
        <f t="shared" si="36"/>
        <v>4</v>
      </c>
      <c r="B178" s="140" t="s">
        <v>110</v>
      </c>
      <c r="C178" s="140" t="s">
        <v>66</v>
      </c>
      <c r="D178" s="139" t="s">
        <v>73</v>
      </c>
      <c r="E178" s="143"/>
      <c r="F178" s="143" t="s">
        <v>73</v>
      </c>
      <c r="G178" s="143" t="s">
        <v>202</v>
      </c>
      <c r="H178" s="143">
        <v>2</v>
      </c>
      <c r="I178" s="130"/>
      <c r="J178" s="131">
        <f t="shared" si="34"/>
        <v>2</v>
      </c>
      <c r="N178" s="101" t="s">
        <v>231</v>
      </c>
      <c r="O178" s="290" t="s">
        <v>255</v>
      </c>
      <c r="P178" s="290" t="s">
        <v>251</v>
      </c>
      <c r="Q178" s="280" t="s">
        <v>189</v>
      </c>
      <c r="R178" s="213"/>
      <c r="S178" s="213" t="s">
        <v>189</v>
      </c>
      <c r="T178" s="213" t="s">
        <v>198</v>
      </c>
      <c r="U178" s="291">
        <f>((($I$141*$G$141)+($I$142*$G$142)+($I$143*$G$143)+($I$144*$G$144)+($I$145*$G$145)+($I$146*$G$146))/1000)*$J$120</f>
        <v>26.943999999999999</v>
      </c>
      <c r="V178" s="291">
        <v>100</v>
      </c>
      <c r="W178" s="292">
        <f t="shared" si="35"/>
        <v>1</v>
      </c>
    </row>
    <row r="179" spans="1:23" s="1" customFormat="1" ht="18" customHeight="1">
      <c r="A179" s="201">
        <f t="shared" si="36"/>
        <v>5</v>
      </c>
      <c r="B179" s="140" t="s">
        <v>108</v>
      </c>
      <c r="C179" s="140" t="s">
        <v>10</v>
      </c>
      <c r="D179" s="139">
        <v>9</v>
      </c>
      <c r="E179" s="143"/>
      <c r="F179" s="143">
        <v>9</v>
      </c>
      <c r="G179" s="143" t="s">
        <v>202</v>
      </c>
      <c r="H179" s="143">
        <v>8</v>
      </c>
      <c r="I179" s="130"/>
      <c r="J179" s="131">
        <f t="shared" si="34"/>
        <v>8</v>
      </c>
      <c r="N179" s="101" t="s">
        <v>232</v>
      </c>
      <c r="O179" s="290" t="s">
        <v>256</v>
      </c>
      <c r="P179" s="290" t="s">
        <v>247</v>
      </c>
      <c r="Q179" s="280" t="s">
        <v>233</v>
      </c>
      <c r="R179" s="213"/>
      <c r="S179" s="213" t="s">
        <v>233</v>
      </c>
      <c r="T179" s="213" t="s">
        <v>198</v>
      </c>
      <c r="U179" s="291">
        <f>((($I$141*$G$141)+($I$142*$G$142)+($I$143*$G$143)+($I$144*$G$144)+($I$145*$G$145)+($I$146*$G$146))/1000)*$J$120</f>
        <v>26.943999999999999</v>
      </c>
      <c r="V179" s="291">
        <v>100</v>
      </c>
      <c r="W179" s="292">
        <f>ROUNDUP((U179)/100,0)</f>
        <v>1</v>
      </c>
    </row>
    <row r="180" spans="1:23" s="1" customFormat="1" ht="18" customHeight="1">
      <c r="A180" s="201">
        <f t="shared" si="36"/>
        <v>6</v>
      </c>
      <c r="B180" s="140" t="s">
        <v>109</v>
      </c>
      <c r="C180" s="140" t="s">
        <v>68</v>
      </c>
      <c r="D180" s="139">
        <v>9</v>
      </c>
      <c r="E180" s="143"/>
      <c r="F180" s="143">
        <v>9</v>
      </c>
      <c r="G180" s="143" t="s">
        <v>202</v>
      </c>
      <c r="H180" s="143">
        <v>110</v>
      </c>
      <c r="I180" s="130"/>
      <c r="J180" s="131">
        <f t="shared" si="34"/>
        <v>110</v>
      </c>
    </row>
    <row r="181" spans="1:23" s="1" customFormat="1" ht="18" customHeight="1">
      <c r="A181" s="201">
        <f t="shared" si="36"/>
        <v>7</v>
      </c>
      <c r="B181" s="140" t="s">
        <v>118</v>
      </c>
      <c r="C181" s="140" t="s">
        <v>77</v>
      </c>
      <c r="D181" s="139" t="s">
        <v>80</v>
      </c>
      <c r="E181" s="143"/>
      <c r="F181" s="143" t="s">
        <v>80</v>
      </c>
      <c r="G181" s="143" t="s">
        <v>185</v>
      </c>
      <c r="H181" s="143">
        <v>1</v>
      </c>
      <c r="I181" s="130"/>
      <c r="J181" s="131">
        <f t="shared" si="34"/>
        <v>1</v>
      </c>
    </row>
    <row r="182" spans="1:23" s="1" customFormat="1" ht="18" customHeight="1">
      <c r="A182" s="201">
        <f t="shared" si="36"/>
        <v>8</v>
      </c>
      <c r="B182" s="140" t="s">
        <v>120</v>
      </c>
      <c r="C182" s="140" t="s">
        <v>94</v>
      </c>
      <c r="D182" s="139" t="s">
        <v>96</v>
      </c>
      <c r="E182" s="143"/>
      <c r="F182" s="143" t="s">
        <v>96</v>
      </c>
      <c r="G182" s="143" t="s">
        <v>185</v>
      </c>
      <c r="H182" s="143">
        <v>1</v>
      </c>
      <c r="I182" s="130"/>
      <c r="J182" s="131">
        <f t="shared" si="34"/>
        <v>1</v>
      </c>
    </row>
    <row r="183" spans="1:23" s="1" customFormat="1" ht="18" customHeight="1">
      <c r="A183" s="201">
        <f t="shared" si="36"/>
        <v>9</v>
      </c>
      <c r="B183" s="140" t="s">
        <v>119</v>
      </c>
      <c r="C183" s="140" t="s">
        <v>95</v>
      </c>
      <c r="D183" s="139" t="s">
        <v>97</v>
      </c>
      <c r="E183" s="143"/>
      <c r="F183" s="143" t="s">
        <v>97</v>
      </c>
      <c r="G183" s="143" t="s">
        <v>185</v>
      </c>
      <c r="H183" s="143">
        <v>1</v>
      </c>
      <c r="I183" s="130"/>
      <c r="J183" s="131">
        <f t="shared" si="34"/>
        <v>1</v>
      </c>
    </row>
    <row r="184" spans="1:23" s="1" customFormat="1" ht="18" customHeight="1">
      <c r="A184" s="201">
        <f t="shared" si="36"/>
        <v>10</v>
      </c>
      <c r="B184" s="140" t="s">
        <v>131</v>
      </c>
      <c r="C184" s="140" t="s">
        <v>100</v>
      </c>
      <c r="D184" s="139" t="s">
        <v>102</v>
      </c>
      <c r="E184" s="143"/>
      <c r="F184" s="143" t="s">
        <v>102</v>
      </c>
      <c r="G184" s="143" t="s">
        <v>185</v>
      </c>
      <c r="H184" s="143">
        <v>1</v>
      </c>
      <c r="I184" s="144"/>
      <c r="J184" s="131">
        <f t="shared" si="34"/>
        <v>1</v>
      </c>
      <c r="N184" s="56"/>
      <c r="O184" s="56"/>
      <c r="P184" s="56"/>
      <c r="Q184" s="289"/>
      <c r="R184" s="289"/>
      <c r="S184" s="289"/>
      <c r="T184" s="17"/>
      <c r="U184" s="17"/>
      <c r="V184" s="17"/>
      <c r="W184" s="56"/>
    </row>
    <row r="185" spans="1:23" s="1" customFormat="1" ht="18" customHeight="1">
      <c r="A185" s="201">
        <f t="shared" si="36"/>
        <v>11</v>
      </c>
      <c r="B185" s="140" t="s">
        <v>117</v>
      </c>
      <c r="C185" s="140" t="s">
        <v>79</v>
      </c>
      <c r="D185" s="139" t="s">
        <v>82</v>
      </c>
      <c r="E185" s="143"/>
      <c r="F185" s="143" t="s">
        <v>82</v>
      </c>
      <c r="G185" s="143" t="s">
        <v>185</v>
      </c>
      <c r="H185" s="143">
        <v>1</v>
      </c>
      <c r="I185" s="144"/>
      <c r="J185" s="131">
        <f t="shared" si="34"/>
        <v>1</v>
      </c>
      <c r="N185" s="101" t="s">
        <v>227</v>
      </c>
      <c r="O185" s="246" t="s">
        <v>29</v>
      </c>
      <c r="P185" s="246" t="s">
        <v>3</v>
      </c>
      <c r="Q185" s="246" t="s">
        <v>199</v>
      </c>
      <c r="R185" s="246" t="s">
        <v>5</v>
      </c>
      <c r="S185" s="246" t="s">
        <v>28</v>
      </c>
      <c r="T185" s="246" t="s">
        <v>19</v>
      </c>
      <c r="U185" s="246" t="s">
        <v>200</v>
      </c>
      <c r="V185" s="246" t="s">
        <v>20</v>
      </c>
      <c r="W185" s="246" t="s">
        <v>201</v>
      </c>
    </row>
    <row r="186" spans="1:23" s="1" customFormat="1" ht="18" customHeight="1">
      <c r="A186" s="201">
        <f t="shared" si="36"/>
        <v>12</v>
      </c>
      <c r="B186" s="140" t="s">
        <v>143</v>
      </c>
      <c r="C186" s="140" t="s">
        <v>121</v>
      </c>
      <c r="D186" s="139" t="s">
        <v>103</v>
      </c>
      <c r="E186" s="143"/>
      <c r="F186" s="143" t="s">
        <v>103</v>
      </c>
      <c r="G186" s="143" t="s">
        <v>185</v>
      </c>
      <c r="H186" s="143">
        <v>1</v>
      </c>
      <c r="I186" s="144"/>
      <c r="J186" s="131">
        <f t="shared" si="34"/>
        <v>1</v>
      </c>
      <c r="N186" s="101" t="s">
        <v>240</v>
      </c>
      <c r="O186" s="290" t="s">
        <v>234</v>
      </c>
      <c r="P186" s="290" t="s">
        <v>236</v>
      </c>
      <c r="Q186" s="280" t="s">
        <v>190</v>
      </c>
      <c r="R186" s="213"/>
      <c r="S186" s="213" t="s">
        <v>190</v>
      </c>
      <c r="T186" s="213" t="s">
        <v>198</v>
      </c>
      <c r="U186" s="291">
        <f>((($I$134*$G$134)+($I$136*$G$136)+($I$139*$G$139))/1000)*$J$120</f>
        <v>7.7030000000000003</v>
      </c>
      <c r="V186" s="291">
        <v>300</v>
      </c>
      <c r="W186" s="292">
        <f>ROUNDUP((U186)/V186,0)</f>
        <v>1</v>
      </c>
    </row>
    <row r="187" spans="1:23" s="1" customFormat="1" ht="18" customHeight="1">
      <c r="A187" s="201">
        <f t="shared" si="36"/>
        <v>13</v>
      </c>
      <c r="B187" s="140" t="s">
        <v>113</v>
      </c>
      <c r="C187" s="140" t="s">
        <v>502</v>
      </c>
      <c r="D187" s="139" t="s">
        <v>83</v>
      </c>
      <c r="E187" s="143"/>
      <c r="F187" s="143" t="s">
        <v>83</v>
      </c>
      <c r="G187" s="143" t="s">
        <v>185</v>
      </c>
      <c r="H187" s="143">
        <v>2</v>
      </c>
      <c r="I187" s="144"/>
      <c r="J187" s="131">
        <f t="shared" si="34"/>
        <v>2</v>
      </c>
      <c r="N187" s="101" t="s">
        <v>241</v>
      </c>
      <c r="O187" s="290" t="s">
        <v>235</v>
      </c>
      <c r="P187" s="290" t="s">
        <v>238</v>
      </c>
      <c r="Q187" s="280" t="s">
        <v>71</v>
      </c>
      <c r="R187" s="213"/>
      <c r="S187" s="213" t="s">
        <v>71</v>
      </c>
      <c r="T187" s="213" t="s">
        <v>198</v>
      </c>
      <c r="U187" s="291">
        <f>((($I$134*$G$134)+($I$136*$G$136)+($I$139*$G$139))/1000)*$J$120</f>
        <v>7.7030000000000003</v>
      </c>
      <c r="V187" s="291">
        <v>100</v>
      </c>
      <c r="W187" s="292">
        <f t="shared" ref="W187:W189" si="37">ROUNDUP((U187)/V187,0)</f>
        <v>1</v>
      </c>
    </row>
    <row r="188" spans="1:23" s="1" customFormat="1" ht="18" customHeight="1">
      <c r="A188" s="201">
        <f t="shared" si="36"/>
        <v>14</v>
      </c>
      <c r="B188" s="140" t="s">
        <v>122</v>
      </c>
      <c r="C188" s="140" t="s">
        <v>101</v>
      </c>
      <c r="D188" s="139" t="s">
        <v>104</v>
      </c>
      <c r="E188" s="143"/>
      <c r="F188" s="143" t="s">
        <v>104</v>
      </c>
      <c r="G188" s="143" t="s">
        <v>185</v>
      </c>
      <c r="H188" s="143">
        <v>1</v>
      </c>
      <c r="I188" s="130"/>
      <c r="J188" s="131">
        <f t="shared" si="34"/>
        <v>1</v>
      </c>
      <c r="N188" s="101" t="s">
        <v>240</v>
      </c>
      <c r="O188" s="290" t="s">
        <v>245</v>
      </c>
      <c r="P188" s="290" t="s">
        <v>237</v>
      </c>
      <c r="Q188" s="280" t="s">
        <v>72</v>
      </c>
      <c r="R188" s="213"/>
      <c r="S188" s="213" t="s">
        <v>72</v>
      </c>
      <c r="T188" s="213" t="s">
        <v>198</v>
      </c>
      <c r="U188" s="291">
        <f>((($I$141*$G$141*2)+($I$143*$G$143*2)+($I$144*$G$144*2))/1000)*$J$120</f>
        <v>40.521999999999998</v>
      </c>
      <c r="V188" s="291">
        <v>350</v>
      </c>
      <c r="W188" s="292">
        <f t="shared" si="37"/>
        <v>1</v>
      </c>
    </row>
    <row r="189" spans="1:23" s="1" customFormat="1" ht="18" customHeight="1">
      <c r="A189" s="201">
        <f t="shared" si="36"/>
        <v>15</v>
      </c>
      <c r="B189" s="140" t="s">
        <v>112</v>
      </c>
      <c r="C189" s="140" t="s">
        <v>114</v>
      </c>
      <c r="D189" s="128" t="s">
        <v>520</v>
      </c>
      <c r="E189" s="129"/>
      <c r="F189" s="129" t="s">
        <v>520</v>
      </c>
      <c r="G189" s="143" t="s">
        <v>202</v>
      </c>
      <c r="H189" s="143">
        <v>4</v>
      </c>
      <c r="I189" s="130"/>
      <c r="J189" s="131">
        <f t="shared" si="34"/>
        <v>4</v>
      </c>
      <c r="N189" s="101" t="s">
        <v>241</v>
      </c>
      <c r="O189" s="290" t="s">
        <v>246</v>
      </c>
      <c r="P189" s="290" t="s">
        <v>239</v>
      </c>
      <c r="Q189" s="280" t="s">
        <v>193</v>
      </c>
      <c r="R189" s="213"/>
      <c r="S189" s="213" t="s">
        <v>193</v>
      </c>
      <c r="T189" s="213" t="s">
        <v>198</v>
      </c>
      <c r="U189" s="291">
        <f>((($I$141*$G$141*2)+($I$143*$G$143*2)+($I$144*$G$144*2))/1000)*$J$120</f>
        <v>40.521999999999998</v>
      </c>
      <c r="V189" s="291">
        <v>100</v>
      </c>
      <c r="W189" s="292">
        <f t="shared" si="37"/>
        <v>1</v>
      </c>
    </row>
    <row r="190" spans="1:23" s="1" customFormat="1" ht="18" customHeight="1">
      <c r="A190" s="201">
        <f t="shared" si="36"/>
        <v>16</v>
      </c>
      <c r="B190" s="140" t="s">
        <v>115</v>
      </c>
      <c r="C190" s="140" t="s">
        <v>45</v>
      </c>
      <c r="D190" s="139" t="s">
        <v>84</v>
      </c>
      <c r="E190" s="143"/>
      <c r="F190" s="143" t="s">
        <v>84</v>
      </c>
      <c r="G190" s="143" t="s">
        <v>202</v>
      </c>
      <c r="H190" s="143">
        <v>1</v>
      </c>
      <c r="I190" s="130"/>
      <c r="J190" s="131">
        <f t="shared" si="34"/>
        <v>1</v>
      </c>
    </row>
    <row r="191" spans="1:23" s="1" customFormat="1" ht="18" customHeight="1">
      <c r="A191" s="201">
        <f t="shared" si="36"/>
        <v>17</v>
      </c>
      <c r="B191" s="140" t="s">
        <v>512</v>
      </c>
      <c r="C191" s="140" t="s">
        <v>135</v>
      </c>
      <c r="D191" s="139" t="s">
        <v>137</v>
      </c>
      <c r="E191" s="139" t="s">
        <v>366</v>
      </c>
      <c r="F191" s="143" t="s">
        <v>367</v>
      </c>
      <c r="G191" s="143" t="s">
        <v>198</v>
      </c>
      <c r="H191" s="261">
        <f>((($I$149*$G$149)+($I$150*$G$150))/1000)*$J$120</f>
        <v>4.5259999999999998</v>
      </c>
      <c r="I191" s="258">
        <v>100</v>
      </c>
      <c r="J191" s="267">
        <f t="shared" ref="J191:J196" si="38">ROUNDUP((H191)/100,0)</f>
        <v>1</v>
      </c>
    </row>
    <row r="192" spans="1:23" s="1" customFormat="1" ht="18" customHeight="1">
      <c r="A192" s="201">
        <f t="shared" si="36"/>
        <v>18</v>
      </c>
      <c r="B192" s="140" t="s">
        <v>513</v>
      </c>
      <c r="C192" s="140" t="s">
        <v>136</v>
      </c>
      <c r="D192" s="139" t="s">
        <v>138</v>
      </c>
      <c r="E192" s="143"/>
      <c r="F192" s="143" t="s">
        <v>138</v>
      </c>
      <c r="G192" s="143" t="s">
        <v>198</v>
      </c>
      <c r="H192" s="261">
        <f>(((I145*G145)+($I$146*$G$146))/1000)*$J$120</f>
        <v>4.5259999999999998</v>
      </c>
      <c r="I192" s="258">
        <v>100</v>
      </c>
      <c r="J192" s="267">
        <f t="shared" si="38"/>
        <v>1</v>
      </c>
    </row>
    <row r="193" spans="1:24" s="1" customFormat="1" ht="18" customHeight="1">
      <c r="A193" s="201">
        <f t="shared" si="36"/>
        <v>19</v>
      </c>
      <c r="B193" s="139" t="str">
        <f>IF($D$129="Standard",$O$186,IF($D$129="Soumdproof",$O$187,))</f>
        <v>ยางเฟรมกันน้ำ (ธรรมดา)</v>
      </c>
      <c r="C193" s="139" t="str">
        <f>IF($D$129="Standard",$P$186,IF($D$129="Soumdproof",$P$187,))</f>
        <v>FRAME SEAL (Standard)</v>
      </c>
      <c r="D193" s="139" t="str">
        <f>IF($D$129="Standard",$Q$186,IF($D$129="Soumdproof",$Q$187,))</f>
        <v>02-026</v>
      </c>
      <c r="E193" s="143">
        <f>IF($D$129="Standard",R191,IF($D$129="Soumdproof",R192,))</f>
        <v>0</v>
      </c>
      <c r="F193" s="143" t="str">
        <f>IF($D$129="Standard",$S$186,IF($D$129="Soumdproof",$S$187,))</f>
        <v>02-026</v>
      </c>
      <c r="G193" s="143" t="str">
        <f>IF($D$129="Standard",$T$186,IF($D$129="Soumdproof",$T$187,))</f>
        <v>M</v>
      </c>
      <c r="H193" s="261">
        <f>IF($D$129="Standard",$U$186,IF($D$129="Soumdproof",$U$187,))</f>
        <v>7.7030000000000003</v>
      </c>
      <c r="I193" s="258">
        <f>IF($D$129="Standard",$V$186,IF($D$129="Soumdproof",$V$187,))</f>
        <v>300</v>
      </c>
      <c r="J193" s="267">
        <f t="shared" si="38"/>
        <v>1</v>
      </c>
    </row>
    <row r="194" spans="1:24" s="1" customFormat="1" ht="18" customHeight="1">
      <c r="A194" s="201">
        <f t="shared" si="36"/>
        <v>20</v>
      </c>
      <c r="B194" s="139" t="str">
        <f>IF($D$129="Standard",$O$188,IF($D$129="Soumdproof",$O$189,))</f>
        <v>ยางแซชกันน้ำ (ธรรมดา)</v>
      </c>
      <c r="C194" s="139" t="str">
        <f>IF($D$129="Standard",$P$188,IF($D$129="Soumdproof",$P$189,))</f>
        <v>SASH SEAL FOAM (Standard)</v>
      </c>
      <c r="D194" s="139" t="str">
        <f>IF($D$129="Standard",$Q$188,IF($D$129="Soumdproof",$Q$189,))</f>
        <v>02-031</v>
      </c>
      <c r="E194" s="143">
        <f>IF($D$129="Standard",R193,IF($D$129="Soumdproof",R194,))</f>
        <v>0</v>
      </c>
      <c r="F194" s="143" t="str">
        <f>IF($D$129="Standard",$S$188,IF($D$129="Soumdproof",$S$189,))</f>
        <v>02-031</v>
      </c>
      <c r="G194" s="143" t="str">
        <f>IF($D$129="Standard",$T$188,IF($D$129="Soumdproof",$T$189,))</f>
        <v>M</v>
      </c>
      <c r="H194" s="261">
        <f>IF($D$129="Standard",$U$188,IF($D$129="Soumdproof",$U$189,))</f>
        <v>40.521999999999998</v>
      </c>
      <c r="I194" s="258">
        <f>IF($D$129="Standard",$V$188,IF($D$129="Soumdproof",$V$189,))</f>
        <v>350</v>
      </c>
      <c r="J194" s="267">
        <f t="shared" si="38"/>
        <v>1</v>
      </c>
    </row>
    <row r="195" spans="1:24" ht="18" customHeight="1">
      <c r="A195" s="201">
        <f t="shared" si="36"/>
        <v>21</v>
      </c>
      <c r="B195" s="241" t="str">
        <f>IF($D$127=5,$O$177,IF($D$127=6,$O$178,IF($D$127=8,$O$179,IF($D$127=10,$O$177,IF($D$127=12,$O$177,IF($D$127=14,$O$179,IF($D$127=18,$O$177,IF($D$127=20,$O$178,IF($D$127=22,"")))))))))</f>
        <v>6,20 mm ยางอัดกระจก</v>
      </c>
      <c r="C195" s="241" t="str">
        <f>IF($D$127=5,$P$177,IF($D$127=6,$P$178,IF($D$127=8,$P$179,IF($D$127=10,$P$177,IF($D$127=12,$P$177,IF($D$127=14,$P$179,IF($D$127=18,$P$177,IF($D$127=20,$P$178,IF($D$127=22,"")))))))))</f>
        <v>6,20 mm ROLL IN WEDGE</v>
      </c>
      <c r="D195" s="241" t="str">
        <f>IF($D$127=5,$Q$177,IF($D$127=6,$Q$178,IF($D$127=8,$Q$179,IF($D$127=10,$Q$177,IF($D$127=12,$Q$177,IF($D$127=14,$Q$179,IF($D$127=18,$Q$177,IF($D$127=20,$Q$178,IF($D$127=22,"")))))))))</f>
        <v>02-034</v>
      </c>
      <c r="E195" s="241">
        <f>IF($D$127=5,R182,IF($D$127=6,R183,IF($D$127=8,R184,IF($D$127=10,R182,IF($D$127=12,R182,IF($D$127=14,R184,IF($D$127=18,R182,IF($D$127=20,R183,IF($D$127=22,"",)))))))))</f>
        <v>0</v>
      </c>
      <c r="F195" s="242" t="str">
        <f>IF($D$127=5,$S$177,IF($D$127=6,$S$178,IF($D$127=8,$S$179,IF($D$127=10,$S$177,IF($D$127=12,$S$177,IF($D$127=14,$S$179,IF($D$127=18,$S$177,IF($D$127=20,$S$178,IF($D$127=22,"")))))))))</f>
        <v>02-034</v>
      </c>
      <c r="G195" s="242" t="str">
        <f>IF($D$127=5,$T$177,IF($D$127=6,$T$178,IF($D$127=8,$T$179,IF($D$127=10,$T$177,IF($D$127=12,$T$177,IF($D$127=14,$T$179,IF($D$127=18,$T$177,IF($D$127=20,$T$178,IF($D$127=22,"")))))))))</f>
        <v>M</v>
      </c>
      <c r="H195" s="261">
        <f>IF($D$127=5,$U$177,IF($D$127=6,$U$178,IF($D$127=8,$U$179,IF($D$127=10,$U$177*2,IF($D$127=12,$U$177,IF($D$127=14,$U$179*2,IF($D$127=18,$U$177,IF($D$127=20,$U$178,IF($D$127=22,"")))))))))</f>
        <v>26.943999999999999</v>
      </c>
      <c r="I195" s="258">
        <f>IF($D$127=5,$V$177,IF($D$127=6,$V$178,IF($D$127=8,$V$179,IF($D$127=10,$V$177,IF($D$127=12,$V$177,IF($D$127=14,$V$179,IF($D$127=18,$V$177,IF($D$127=20,$V$178,IF($D$127=22,"")))))))))</f>
        <v>100</v>
      </c>
      <c r="J195" s="267">
        <f t="shared" si="38"/>
        <v>1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s="1" customFormat="1" ht="18" customHeight="1">
      <c r="A196" s="201">
        <f t="shared" si="36"/>
        <v>22</v>
      </c>
      <c r="B196" s="241" t="str">
        <f>IF($D$127=5,$O$175,IF($D$127=6,$O$175,IF($D$127=8,$O$177,IF($D$127=10,"",IF($D$127=12,$O$176,IF($D$127=14,"",IF($D$127=18,$O$175,IF($D$127=20,$O$176,IF($D$127=22,"",)))))))))</f>
        <v>5,6,18 mm ยางรองกระจก</v>
      </c>
      <c r="C196" s="241" t="str">
        <f>IF($D$127=5,$P$175,IF($D$127=6,$P$175,IF($D$127=8,$P$177,IF($D$127=10,"",IF($D$127=12,$P$176,IF($D$127=14,"",IF($D$127=18,$P$175,IF($D$127=20,$P$176,IF($D$127=22,"",)))))))))</f>
        <v>5,6,18 mm CAPTIVE WEDGE</v>
      </c>
      <c r="D196" s="241" t="str">
        <f>IF($D$127=5,$Q$175,IF($D$127=6,$Q$175,IF($D$127=8,$Q$177,IF($D$127=10,"",IF($D$127=12,$Q$176,IF($D$127=14,"",IF($D$127=18,$Q$175,IF($D$127=20,$Q$176,IF($D$127=22,"",)))))))))</f>
        <v>02-022</v>
      </c>
      <c r="E196" s="241">
        <f>IF($D$127=5,R180,IF($D$127=6,R180,IF($D$127=8,R182,IF($D$127=10,"",IF($D$127=12,R181,IF($D$127=14,"",IF($D$127=18,R180,IF($D$127=20,R181,IF($D$127=22,"",)))))))))</f>
        <v>0</v>
      </c>
      <c r="F196" s="242" t="str">
        <f>IF($D$127=5,$S$175,IF($D$127=6,$S$175,IF($D$127=8,$S$177,IF($D$127=10,"",IF($D$127=12,$S$176,IF($D$127=14,"",IF($D$127=18,$S$175,IF($D$127=20,$S$176,IF($D$127=22,"",)))))))))</f>
        <v>02-022</v>
      </c>
      <c r="G196" s="242" t="str">
        <f>IF($D$127=5,$T$175,IF($D$127=6,$T$175,IF($D$127=8,$T$177,IF($D$127=10,"",IF($D$127=12,$T$176,IF($D$127=14,"",IF($D$127=18,$T$175,IF($D$127=20,$T$176,IF($D$127=22,"",)))))))))</f>
        <v>M</v>
      </c>
      <c r="H196" s="261">
        <f>IF($D$127=5,$U$175,IF($D$127=6,$U$175,IF($D$127=8,$U$177,IF($D$127=10,"",IF($D$127=12,$U$176,IF($D$127=14,"",IF($D$127=18,$U$175,IF($D$127=20,$U$176,IF($D$127=22,"")))))))))</f>
        <v>26.943999999999999</v>
      </c>
      <c r="I196" s="258">
        <f>IF($D$127=5,$V$175,IF($D$127=6,$V$175,IF($D$127=8,$V$177,IF($D$127=10,"",IF($D$127=12,$V$176,IF($D$127=14,"",IF($D$127=18,$V$175,IF($D$127=20,$V$176,IF($D$127=22,"",)))))))))</f>
        <v>100</v>
      </c>
      <c r="J196" s="267">
        <f t="shared" si="38"/>
        <v>1</v>
      </c>
    </row>
    <row r="197" spans="1:24" s="1" customFormat="1" ht="18" customHeight="1">
      <c r="A197" s="201" t="str">
        <f t="shared" si="36"/>
        <v/>
      </c>
      <c r="B197" s="140"/>
      <c r="C197" s="140"/>
      <c r="D197" s="139"/>
      <c r="E197" s="143"/>
      <c r="F197" s="143"/>
      <c r="G197" s="143"/>
      <c r="H197" s="143"/>
      <c r="I197" s="130"/>
      <c r="J197" s="131">
        <f t="shared" si="34"/>
        <v>0</v>
      </c>
    </row>
    <row r="198" spans="1:24" s="1" customFormat="1" ht="18" customHeight="1">
      <c r="A198" s="201" t="str">
        <f t="shared" si="36"/>
        <v/>
      </c>
      <c r="B198" s="140"/>
      <c r="C198" s="140"/>
      <c r="D198" s="139"/>
      <c r="E198" s="143"/>
      <c r="F198" s="143"/>
      <c r="G198" s="143"/>
      <c r="H198" s="143"/>
      <c r="I198" s="130"/>
      <c r="J198" s="131">
        <f t="shared" si="34"/>
        <v>0</v>
      </c>
    </row>
    <row r="199" spans="1:24" s="1" customFormat="1" ht="18" customHeight="1">
      <c r="A199" s="201" t="str">
        <f t="shared" si="36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 t="shared" ref="J199" si="39">$J$120*G199</f>
        <v>0</v>
      </c>
    </row>
    <row r="200" spans="1:24" s="1" customFormat="1" ht="18" customHeight="1">
      <c r="A200" s="201" t="str">
        <f t="shared" si="36"/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ref="J200:J205" si="40">$J$120*G200</f>
        <v>0</v>
      </c>
    </row>
    <row r="201" spans="1:24" s="1" customFormat="1" ht="18" customHeight="1">
      <c r="A201" s="201" t="str">
        <f t="shared" si="36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si="40"/>
        <v>0</v>
      </c>
    </row>
    <row r="202" spans="1:24" s="1" customFormat="1" ht="18" customHeight="1">
      <c r="A202" s="201" t="str">
        <f t="shared" si="36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si="40"/>
        <v>0</v>
      </c>
    </row>
    <row r="203" spans="1:24" s="1" customFormat="1" ht="18" customHeight="1">
      <c r="A203" s="201" t="str">
        <f t="shared" si="36"/>
        <v/>
      </c>
      <c r="B203" s="140"/>
      <c r="C203" s="140"/>
      <c r="D203" s="139"/>
      <c r="E203" s="143"/>
      <c r="F203" s="143"/>
      <c r="G203" s="143"/>
      <c r="H203" s="143"/>
      <c r="I203" s="130"/>
      <c r="J203" s="131"/>
    </row>
    <row r="204" spans="1:24" s="1" customFormat="1" ht="18" customHeight="1">
      <c r="A204" s="201" t="str">
        <f t="shared" si="36"/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 t="shared" si="40"/>
        <v>0</v>
      </c>
    </row>
    <row r="205" spans="1:24" s="1" customFormat="1" ht="18" customHeight="1">
      <c r="A205" s="317" t="str">
        <f>IF(B205="","",+#REF!+1)</f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 t="shared" si="40"/>
        <v>0</v>
      </c>
    </row>
    <row r="206" spans="1:24" s="1" customFormat="1" ht="18" customHeight="1">
      <c r="A206" s="25"/>
      <c r="B206" s="161"/>
      <c r="C206" s="33"/>
      <c r="D206" s="30"/>
      <c r="E206" s="17"/>
      <c r="F206" s="30"/>
      <c r="G206" s="30"/>
      <c r="H206" s="161"/>
      <c r="I206" s="24"/>
      <c r="J206" s="24"/>
    </row>
    <row r="207" spans="1:24" ht="18" customHeight="1">
      <c r="A207" s="17"/>
      <c r="J207" s="99" t="str">
        <f>LEFT($J$111,13)&amp;"-02"</f>
        <v>FG-240-5P3L2R-02</v>
      </c>
    </row>
    <row r="208" spans="1:24" ht="12.75" customHeight="1">
      <c r="B208" s="56"/>
      <c r="C208" s="56"/>
      <c r="D208" s="30"/>
      <c r="E208" s="17"/>
      <c r="F208" s="17"/>
      <c r="G208" s="17"/>
      <c r="H208" s="17"/>
      <c r="K208" s="7"/>
      <c r="L208" s="7"/>
      <c r="M208" s="2"/>
      <c r="N208" s="2"/>
    </row>
    <row r="209" spans="1:14" ht="30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205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205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/>
      <c r="C215"/>
      <c r="D215" s="81"/>
      <c r="E215"/>
      <c r="F215"/>
      <c r="G215"/>
      <c r="H215"/>
      <c r="I215" s="160"/>
      <c r="J215" s="116"/>
    </row>
    <row r="216" spans="1:14" s="1" customFormat="1" ht="15" customHeight="1">
      <c r="A216" s="17"/>
      <c r="B216" s="93"/>
      <c r="C216" s="56"/>
      <c r="D216" s="30"/>
      <c r="E216" s="29"/>
      <c r="F216" s="160"/>
      <c r="G216" s="160"/>
      <c r="H216" s="16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s="1" customFormat="1" ht="15.6">
      <c r="A218" s="109"/>
      <c r="B218" s="33"/>
      <c r="C218" s="327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378</v>
      </c>
      <c r="D220" s="30"/>
      <c r="E220" s="29"/>
      <c r="F220" s="30"/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89"/>
      <c r="J221" s="12"/>
    </row>
    <row r="222" spans="1:14" s="1" customFormat="1" ht="15" customHeight="1">
      <c r="A222" s="109"/>
      <c r="B222" s="33"/>
      <c r="C222" s="327" t="s">
        <v>273</v>
      </c>
      <c r="D222" s="161"/>
      <c r="E222" s="109"/>
      <c r="F222" s="161"/>
      <c r="J222" s="12"/>
    </row>
    <row r="223" spans="1:14" s="1" customFormat="1" ht="15" customHeight="1">
      <c r="A223" s="109"/>
      <c r="B223" s="33"/>
      <c r="C223" s="374">
        <f>$I$133</f>
        <v>2735</v>
      </c>
      <c r="D223" s="161"/>
      <c r="E223" s="35"/>
      <c r="F223" s="161"/>
      <c r="G223" s="68"/>
      <c r="J223" s="12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326"/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326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327"/>
      <c r="D229" s="161"/>
      <c r="E229" s="109"/>
      <c r="F229" s="161"/>
      <c r="H229" s="109"/>
      <c r="I229" s="203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203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203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203"/>
      <c r="J232" s="117"/>
    </row>
    <row r="233" spans="1:10" s="1" customFormat="1" ht="15.9" customHeight="1">
      <c r="A233" s="44"/>
      <c r="B233" s="44"/>
      <c r="C233" s="89" t="s">
        <v>369</v>
      </c>
      <c r="D233" s="84"/>
      <c r="E233" s="44"/>
      <c r="F233" s="44"/>
      <c r="G233" s="109"/>
      <c r="H233" s="109"/>
      <c r="I233" s="203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2709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203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03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109"/>
      <c r="J242" s="24"/>
    </row>
    <row r="243" spans="1:10" s="1" customFormat="1" ht="15.9" customHeight="1">
      <c r="A243" s="109"/>
      <c r="B243" s="33"/>
      <c r="C243" s="89" t="s">
        <v>370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.9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" customHeight="1">
      <c r="A245" s="109"/>
      <c r="B245" s="33"/>
      <c r="C245" s="327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2735</v>
      </c>
      <c r="D246" s="161"/>
      <c r="E246" s="109"/>
      <c r="F246" s="161"/>
      <c r="G246" s="109"/>
      <c r="H246" s="109"/>
      <c r="I246" s="44"/>
      <c r="J246" s="119"/>
    </row>
    <row r="247" spans="1:10" s="1" customFormat="1" ht="15.9" customHeight="1">
      <c r="A247" s="109"/>
      <c r="B247" s="33"/>
      <c r="C247" s="363">
        <f>$J$135</f>
        <v>1</v>
      </c>
      <c r="D247" s="161"/>
      <c r="E247" s="109"/>
      <c r="F247" s="161"/>
      <c r="G247" s="109"/>
      <c r="H247" s="109"/>
      <c r="I247" s="32"/>
      <c r="J247" s="40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0"/>
      <c r="H251" s="109"/>
      <c r="I251" s="24"/>
      <c r="J251" s="24"/>
    </row>
    <row r="252" spans="1:10" s="1" customFormat="1" ht="15.9" customHeight="1">
      <c r="A252" s="109"/>
      <c r="B252" s="33"/>
      <c r="D252" s="161"/>
      <c r="E252" s="109"/>
      <c r="F252" s="109"/>
      <c r="G252" s="109"/>
      <c r="H252" s="109"/>
      <c r="I252" s="24"/>
      <c r="J252" s="24"/>
    </row>
    <row r="253" spans="1:10" s="1" customFormat="1" ht="15.9" customHeight="1">
      <c r="A253" s="44"/>
      <c r="B253" s="44"/>
      <c r="D253" s="84"/>
      <c r="E253" s="44"/>
      <c r="F253" s="44"/>
      <c r="G253" s="109"/>
      <c r="H253" s="109"/>
      <c r="I253" s="24"/>
      <c r="J253" s="24"/>
    </row>
    <row r="254" spans="1:10" s="1" customFormat="1" ht="15.9" customHeight="1">
      <c r="A254" s="40"/>
      <c r="B254" s="40"/>
      <c r="C254" s="89" t="s">
        <v>371</v>
      </c>
      <c r="D254" s="85"/>
      <c r="E254" s="40"/>
      <c r="F254" s="32"/>
      <c r="G254" s="109"/>
      <c r="I254" s="24"/>
      <c r="J254" s="24"/>
    </row>
    <row r="255" spans="1:10" s="1" customFormat="1" ht="15.9" customHeight="1">
      <c r="A255" s="27"/>
      <c r="B255" s="33"/>
      <c r="C255" s="328" t="s">
        <v>275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27" t="s">
        <v>273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74">
        <f>$I$136</f>
        <v>2735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63">
        <f>$J$136</f>
        <v>1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46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161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89" t="s">
        <v>373</v>
      </c>
      <c r="D264" s="161"/>
      <c r="E264" s="109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8" t="s">
        <v>379</v>
      </c>
      <c r="D265" s="328"/>
      <c r="E265" s="328"/>
      <c r="F265" s="109"/>
      <c r="G265" s="109"/>
      <c r="H265" s="109"/>
      <c r="I265" s="24"/>
      <c r="J265" s="24"/>
    </row>
    <row r="266" spans="1:10" s="1" customFormat="1" ht="15.9" customHeight="1">
      <c r="A266" s="27"/>
      <c r="B266" s="33"/>
      <c r="C266" s="327" t="s">
        <v>279</v>
      </c>
      <c r="D266" s="327"/>
      <c r="E266" s="327"/>
      <c r="F266" s="109"/>
      <c r="G266" s="109"/>
      <c r="H266" s="109"/>
      <c r="J266" s="12"/>
    </row>
    <row r="267" spans="1:10" s="1" customFormat="1" ht="15.9" customHeight="1">
      <c r="A267" s="27"/>
      <c r="B267" s="33"/>
      <c r="C267" s="374">
        <f>$I$137</f>
        <v>2355</v>
      </c>
      <c r="D267" s="161"/>
      <c r="E267" s="109"/>
      <c r="F267" s="109"/>
      <c r="G267" s="33"/>
      <c r="H267" s="33"/>
      <c r="J267" s="12"/>
    </row>
    <row r="268" spans="1:10" s="1" customFormat="1" ht="15.9" customHeight="1">
      <c r="A268" s="27"/>
      <c r="B268" s="33"/>
      <c r="C268" s="363">
        <f>$J$137+$J$138</f>
        <v>2</v>
      </c>
      <c r="D268" s="161"/>
      <c r="E268" s="10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D271" s="328"/>
      <c r="E271" s="328"/>
      <c r="F271" s="109"/>
      <c r="G271" s="109"/>
      <c r="H271" s="109"/>
      <c r="J271" s="12"/>
    </row>
    <row r="272" spans="1:10" s="1" customFormat="1" ht="15.9" customHeight="1">
      <c r="A272" s="27"/>
      <c r="D272" s="328"/>
      <c r="E272" s="328"/>
      <c r="F272" s="109"/>
      <c r="G272" s="109"/>
      <c r="H272" s="109"/>
      <c r="J272" s="12"/>
    </row>
    <row r="273" spans="1:10" s="1" customFormat="1" ht="15.9" customHeight="1">
      <c r="A273" s="27"/>
      <c r="B273" s="33"/>
      <c r="D273" s="328"/>
      <c r="E273" s="328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33"/>
      <c r="D274" s="161"/>
      <c r="E274" s="109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89" t="s">
        <v>374</v>
      </c>
      <c r="D275" s="162"/>
      <c r="E275" s="24"/>
      <c r="F275" s="109"/>
      <c r="G275" s="109"/>
      <c r="I275" s="24"/>
      <c r="J275" s="24"/>
    </row>
    <row r="276" spans="1:10" s="1" customFormat="1" ht="15.9" customHeight="1">
      <c r="A276" s="27"/>
      <c r="B276" s="33"/>
      <c r="C276" s="328" t="s">
        <v>649</v>
      </c>
      <c r="D276" s="328"/>
      <c r="E276" s="328"/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433" t="s">
        <v>650</v>
      </c>
      <c r="D277" s="327"/>
      <c r="E277" s="327"/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374">
        <f>$I$139</f>
        <v>2259</v>
      </c>
      <c r="F278" s="109"/>
      <c r="G278" s="109"/>
      <c r="I278" s="109"/>
      <c r="J278" s="24"/>
    </row>
    <row r="279" spans="1:10" s="1" customFormat="1" ht="15.9" customHeight="1">
      <c r="A279" s="27"/>
      <c r="B279" s="33"/>
      <c r="C279" s="363">
        <f>$J$139+$J$140</f>
        <v>2</v>
      </c>
      <c r="F279" s="109"/>
      <c r="G279" s="109"/>
      <c r="I279" s="109"/>
      <c r="J279" s="24"/>
    </row>
    <row r="280" spans="1:10" s="1" customFormat="1" ht="15.9" customHeight="1">
      <c r="A280" s="27"/>
      <c r="B280" s="33"/>
      <c r="F280" s="109"/>
      <c r="G280" s="109"/>
      <c r="H280" s="109"/>
      <c r="J280" s="12"/>
    </row>
    <row r="281" spans="1:10" s="1" customFormat="1" ht="15.9" customHeight="1">
      <c r="A281" s="27"/>
      <c r="B281" s="33"/>
      <c r="F281" s="109"/>
      <c r="G281" s="109"/>
      <c r="H281" s="109"/>
      <c r="J281" s="12"/>
    </row>
    <row r="282" spans="1:10" s="1" customFormat="1" ht="15.9" customHeight="1">
      <c r="A282" s="27"/>
      <c r="B282" s="33"/>
      <c r="C282" s="33"/>
      <c r="D282" s="161"/>
      <c r="E282" s="109"/>
      <c r="F282" s="109"/>
      <c r="G282" s="109"/>
      <c r="H282" s="109"/>
      <c r="J282" s="12"/>
    </row>
    <row r="283" spans="1:10" s="1" customFormat="1" ht="15.9" customHeight="1">
      <c r="A283" s="27"/>
      <c r="B283" s="33"/>
      <c r="F283" s="109"/>
      <c r="G283" s="109"/>
      <c r="H283" s="109"/>
      <c r="J283" s="12"/>
    </row>
    <row r="284" spans="1:10" s="1" customFormat="1" ht="15.9" customHeight="1">
      <c r="A284" s="27"/>
      <c r="B284" s="33"/>
      <c r="F284" s="109"/>
      <c r="G284" s="109"/>
      <c r="H284" s="109"/>
      <c r="I284" s="162"/>
      <c r="J284" s="24"/>
    </row>
    <row r="285" spans="1:10" s="1" customFormat="1" ht="15.9" customHeight="1">
      <c r="A285" s="27"/>
      <c r="B285" s="33"/>
      <c r="C285" s="89" t="s">
        <v>375</v>
      </c>
      <c r="F285" s="109"/>
      <c r="G285" s="109"/>
      <c r="H285" s="109"/>
      <c r="I285" s="109"/>
      <c r="J285" s="24"/>
    </row>
    <row r="286" spans="1:10" s="1" customFormat="1" ht="15.9" customHeight="1">
      <c r="A286" s="27"/>
      <c r="B286" s="33"/>
      <c r="C286" s="94" t="s">
        <v>455</v>
      </c>
      <c r="D286" s="161"/>
      <c r="E286" s="109"/>
      <c r="F286" s="109"/>
      <c r="G286" s="109"/>
      <c r="H286" s="109"/>
      <c r="I286" s="24"/>
      <c r="J286" s="24"/>
    </row>
    <row r="287" spans="1:10" s="1" customFormat="1" ht="15.9" customHeight="1">
      <c r="A287" s="27"/>
      <c r="B287" s="33"/>
      <c r="C287" s="327" t="s">
        <v>456</v>
      </c>
      <c r="D287" s="161"/>
      <c r="E287" s="109"/>
      <c r="F287" s="109"/>
      <c r="G287" s="109"/>
      <c r="H287" s="109"/>
      <c r="I287" s="24"/>
      <c r="J287" s="24"/>
    </row>
    <row r="288" spans="1:10" s="1" customFormat="1" ht="15.9" customHeight="1">
      <c r="A288" s="27"/>
      <c r="B288" s="33"/>
      <c r="C288" s="328" t="s">
        <v>281</v>
      </c>
      <c r="D288" s="328"/>
      <c r="E288" s="328"/>
      <c r="F288" s="109"/>
      <c r="G288" s="109"/>
      <c r="I288" s="24"/>
      <c r="J288" s="24"/>
    </row>
    <row r="289" spans="1:10" s="23" customFormat="1" ht="15.9" customHeight="1">
      <c r="A289" s="27"/>
      <c r="B289" s="33"/>
      <c r="C289" s="327" t="s">
        <v>282</v>
      </c>
      <c r="D289" s="327"/>
      <c r="E289" s="327"/>
      <c r="F289" s="109"/>
      <c r="G289" s="109"/>
      <c r="H289" s="1"/>
      <c r="I289" s="109"/>
      <c r="J289" s="109"/>
    </row>
    <row r="290" spans="1:10" s="1" customFormat="1" ht="15.9" customHeight="1">
      <c r="A290" s="27"/>
      <c r="B290" s="33"/>
      <c r="C290" s="374">
        <f>$I$141</f>
        <v>431.4</v>
      </c>
      <c r="F290" s="109"/>
      <c r="G290" s="109"/>
      <c r="I290" s="44"/>
      <c r="J290" s="119"/>
    </row>
    <row r="291" spans="1:10" s="1" customFormat="1" ht="15.9" customHeight="1">
      <c r="A291" s="27"/>
      <c r="B291" s="33"/>
      <c r="C291" s="363">
        <f>$J$141+$J$142</f>
        <v>10</v>
      </c>
      <c r="D291" s="161"/>
      <c r="E291" s="109"/>
      <c r="F291" s="109"/>
      <c r="G291" s="109"/>
      <c r="H291" s="161"/>
      <c r="I291" s="32"/>
      <c r="J291" s="40"/>
    </row>
    <row r="292" spans="1:10" s="1" customFormat="1" ht="15.9" customHeight="1">
      <c r="A292" s="27"/>
      <c r="B292" s="33"/>
      <c r="C292" s="374">
        <f>$I$143</f>
        <v>2263</v>
      </c>
      <c r="D292" s="161"/>
      <c r="E292" s="109"/>
      <c r="F292" s="109"/>
      <c r="G292" s="109"/>
      <c r="H292" s="109"/>
      <c r="I292" s="24"/>
      <c r="J292" s="24"/>
    </row>
    <row r="293" spans="1:10" s="1" customFormat="1" ht="15.9" customHeight="1">
      <c r="A293" s="27"/>
      <c r="B293" s="33"/>
      <c r="C293" s="363">
        <f>$J$143+$J$144+$J$145+$J$146</f>
        <v>10</v>
      </c>
      <c r="D293" s="161"/>
      <c r="E293" s="109"/>
      <c r="F293" s="109"/>
      <c r="G293" s="109"/>
      <c r="H293" s="109"/>
      <c r="I293" s="24"/>
      <c r="J293" s="24"/>
    </row>
    <row r="294" spans="1:10" s="1" customFormat="1" ht="15.9" customHeight="1">
      <c r="A294" s="27"/>
      <c r="B294" s="33"/>
      <c r="C294" s="33"/>
      <c r="D294" s="161"/>
      <c r="E294" s="109"/>
      <c r="F294" s="109"/>
      <c r="G294" s="109"/>
      <c r="H294" s="109"/>
      <c r="I294" s="109"/>
      <c r="J294" s="24"/>
    </row>
    <row r="295" spans="1:10" s="1" customFormat="1" ht="15.9" customHeight="1">
      <c r="A295" s="27"/>
      <c r="B295" s="33"/>
      <c r="C295" s="23"/>
      <c r="D295" s="161"/>
      <c r="E295" s="109"/>
      <c r="F295" s="109"/>
      <c r="G295" s="109"/>
      <c r="H295" s="109"/>
      <c r="I295" s="109"/>
      <c r="J295" s="24"/>
    </row>
    <row r="296" spans="1:10" s="1" customFormat="1" ht="15.9" customHeight="1">
      <c r="A296" s="27"/>
      <c r="B296" s="33"/>
      <c r="C296" s="89" t="s">
        <v>376</v>
      </c>
      <c r="D296" s="161"/>
      <c r="E296" s="109"/>
      <c r="F296" s="109"/>
      <c r="G296" s="109"/>
      <c r="H296" s="109"/>
      <c r="I296" s="109"/>
      <c r="J296" s="24"/>
    </row>
    <row r="297" spans="1:10" s="1" customFormat="1" ht="15.9" customHeight="1">
      <c r="A297" s="27"/>
      <c r="B297" s="33"/>
      <c r="C297" s="94" t="s">
        <v>455</v>
      </c>
      <c r="D297" s="161"/>
      <c r="E297" s="109"/>
      <c r="F297" s="109"/>
      <c r="G297" s="44"/>
      <c r="H297" s="44"/>
      <c r="I297" s="109"/>
      <c r="J297" s="24"/>
    </row>
    <row r="298" spans="1:10" s="1" customFormat="1" ht="15.9" customHeight="1">
      <c r="A298" s="27"/>
      <c r="B298" s="33"/>
      <c r="C298" s="327" t="s">
        <v>456</v>
      </c>
      <c r="D298" s="328"/>
      <c r="E298" s="328"/>
      <c r="F298" s="109"/>
      <c r="G298" s="40"/>
      <c r="H298" s="32"/>
      <c r="I298" s="109"/>
      <c r="J298" s="24"/>
    </row>
    <row r="299" spans="1:10" s="1" customFormat="1" ht="15.9" customHeight="1">
      <c r="A299" s="41"/>
      <c r="B299" s="33"/>
      <c r="C299" s="328" t="s">
        <v>286</v>
      </c>
      <c r="D299" s="327"/>
      <c r="E299" s="327"/>
      <c r="F299" s="109"/>
      <c r="G299" s="109"/>
      <c r="H299" s="109"/>
      <c r="I299" s="109"/>
      <c r="J299" s="24"/>
    </row>
    <row r="300" spans="1:10" s="1" customFormat="1" ht="15.9" customHeight="1">
      <c r="A300" s="44"/>
      <c r="B300" s="44"/>
      <c r="C300" s="327" t="s">
        <v>285</v>
      </c>
      <c r="D300" s="86"/>
      <c r="E300" s="79"/>
      <c r="F300" s="44"/>
      <c r="G300" s="109"/>
      <c r="H300" s="109"/>
      <c r="I300" s="109"/>
      <c r="J300" s="24"/>
    </row>
    <row r="301" spans="1:10" s="1" customFormat="1" ht="15.9" customHeight="1">
      <c r="A301" s="40"/>
      <c r="B301" s="40"/>
      <c r="C301" s="374">
        <f>$I$147</f>
        <v>431.4</v>
      </c>
      <c r="D301" s="87"/>
      <c r="E301" s="80"/>
      <c r="F301" s="32"/>
      <c r="G301" s="109"/>
      <c r="H301" s="109"/>
      <c r="I301" s="109"/>
      <c r="J301" s="24"/>
    </row>
    <row r="302" spans="1:10" s="1" customFormat="1" ht="15.9" customHeight="1">
      <c r="A302" s="109"/>
      <c r="B302" s="33"/>
      <c r="C302" s="363">
        <f>$J$147</f>
        <v>10</v>
      </c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C303" s="374">
        <f>$I$148</f>
        <v>2113</v>
      </c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C304" s="363">
        <f>$J$148</f>
        <v>10</v>
      </c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C306" s="89" t="s">
        <v>377</v>
      </c>
      <c r="D306" s="161"/>
      <c r="E306" s="109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328" t="s">
        <v>281</v>
      </c>
      <c r="D307" s="328"/>
      <c r="E307" s="328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542" t="s">
        <v>282</v>
      </c>
      <c r="D308" s="542"/>
      <c r="E308" s="542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74">
        <f>$I$149</f>
        <v>2263</v>
      </c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63">
        <f>$J$149+$J$150</f>
        <v>2</v>
      </c>
      <c r="D310" s="328"/>
      <c r="E310" s="328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D311" s="15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33"/>
      <c r="D314" s="162"/>
      <c r="E314" s="24"/>
      <c r="F314" s="109"/>
      <c r="G314" s="109"/>
      <c r="H314" s="109"/>
      <c r="I314" s="27"/>
      <c r="J314" s="99" t="str">
        <f>LEFT($J$111,13)&amp;"-03"</f>
        <v>FG-240-5P3L2R-03</v>
      </c>
    </row>
    <row r="315" spans="1:14" ht="12.75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30" customHeight="1">
      <c r="A316" s="17"/>
      <c r="B316" s="26"/>
      <c r="C316" s="26"/>
      <c r="D316" s="83"/>
      <c r="E316" s="25"/>
      <c r="F316" s="25"/>
      <c r="G316" s="25"/>
      <c r="H316" s="25"/>
      <c r="I316" s="179"/>
      <c r="J316" s="90" t="str">
        <f>$J$2</f>
        <v>HOMELIFE</v>
      </c>
    </row>
    <row r="317" spans="1:14" ht="24.9" customHeight="1">
      <c r="B317" s="205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205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s="1" customFormat="1" ht="15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  <c r="K320" s="4"/>
      <c r="L320" s="4"/>
      <c r="M320" s="4"/>
      <c r="N320" s="4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72"/>
      <c r="C324" s="56"/>
      <c r="D324" s="30"/>
      <c r="E324" s="29"/>
      <c r="F324" s="160"/>
      <c r="G324" s="160"/>
      <c r="H324" s="160"/>
      <c r="I324" s="31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202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202"/>
      <c r="I331" s="161"/>
      <c r="J331" s="109"/>
    </row>
    <row r="332" spans="1:10" s="1" customFormat="1" ht="15" customHeight="1">
      <c r="A332" s="64" t="str">
        <f>A18</f>
        <v>240-5 Panel (3L2R)</v>
      </c>
      <c r="B332" s="92"/>
      <c r="C332" s="161"/>
      <c r="D332" s="161"/>
      <c r="E332" s="109"/>
      <c r="F332" s="202"/>
      <c r="G332" s="202"/>
      <c r="H332" s="202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92"/>
      <c r="C333" s="161"/>
      <c r="D333" s="161"/>
      <c r="E333" s="109"/>
      <c r="F333" s="202"/>
      <c r="G333" s="202"/>
      <c r="H333" s="202"/>
      <c r="I333" s="109"/>
      <c r="J333" s="109"/>
    </row>
    <row r="334" spans="1:10" s="1" customFormat="1" ht="15.9" customHeight="1">
      <c r="A334" s="109"/>
      <c r="B334" s="45"/>
      <c r="C334" s="42"/>
      <c r="D334" s="161"/>
      <c r="E334" s="109"/>
      <c r="F334" s="507"/>
      <c r="G334" s="507"/>
      <c r="H334" s="202"/>
      <c r="I334" s="109"/>
      <c r="J334" s="109"/>
    </row>
    <row r="335" spans="1:10" s="1" customFormat="1" ht="15.9" customHeight="1">
      <c r="A335" s="39"/>
      <c r="B335" s="109"/>
      <c r="C335" s="161"/>
      <c r="D335" s="161"/>
      <c r="E335" s="109"/>
      <c r="F335" s="37"/>
      <c r="G335" s="38"/>
      <c r="H335" s="109"/>
      <c r="I335" s="109"/>
      <c r="J335" s="109"/>
    </row>
    <row r="336" spans="1:10" s="1" customFormat="1" ht="15.9" customHeight="1">
      <c r="A336" s="44"/>
      <c r="C336" s="43"/>
      <c r="D336" s="161"/>
      <c r="E336" s="109"/>
      <c r="F336" s="109"/>
      <c r="G336" s="109"/>
      <c r="H336" s="109"/>
      <c r="I336" s="44"/>
      <c r="J336" s="119"/>
    </row>
    <row r="337" spans="1:10" s="1" customFormat="1" ht="15.9" customHeight="1">
      <c r="A337" s="40"/>
      <c r="C337" s="44"/>
      <c r="D337" s="84"/>
      <c r="E337" s="44"/>
      <c r="F337" s="44"/>
      <c r="G337" s="44"/>
      <c r="H337" s="44"/>
      <c r="I337" s="32"/>
      <c r="J337" s="40"/>
    </row>
    <row r="338" spans="1:10" s="1" customFormat="1" ht="15.9" customHeight="1">
      <c r="A338" s="109"/>
      <c r="C338" s="161"/>
      <c r="D338" s="85"/>
      <c r="E338" s="40"/>
      <c r="F338" s="32"/>
      <c r="G338" s="40"/>
      <c r="H338" s="32"/>
      <c r="I338" s="24"/>
      <c r="J338" s="24"/>
    </row>
    <row r="339" spans="1:10" s="1" customFormat="1" ht="15.9" customHeight="1">
      <c r="A339" s="109"/>
      <c r="C339" s="163"/>
      <c r="D339" s="161"/>
      <c r="E339" s="109"/>
      <c r="F339" s="161"/>
      <c r="G339" s="109"/>
      <c r="H339" s="109"/>
      <c r="I339" s="24"/>
      <c r="J339" s="24"/>
    </row>
    <row r="340" spans="1:10" s="1" customFormat="1" ht="15.9" customHeight="1">
      <c r="A340" s="109"/>
      <c r="B340" s="33"/>
      <c r="C340" s="161"/>
      <c r="D340" s="161"/>
      <c r="E340" s="109"/>
      <c r="F340" s="161"/>
      <c r="G340" s="109"/>
      <c r="H340" s="109"/>
      <c r="I340" s="162"/>
      <c r="J340" s="162"/>
    </row>
    <row r="341" spans="1:10" s="1" customFormat="1" ht="15.9" customHeight="1">
      <c r="A341" s="109"/>
      <c r="B341" s="33"/>
      <c r="C341" s="44"/>
      <c r="D341" s="161"/>
      <c r="E341" s="109"/>
      <c r="F341" s="161"/>
      <c r="G341" s="109"/>
      <c r="H341" s="162"/>
      <c r="I341" s="161"/>
      <c r="J341" s="161"/>
    </row>
    <row r="342" spans="1:10" s="1" customFormat="1" ht="15.9" customHeight="1">
      <c r="A342" s="109"/>
      <c r="B342" s="33"/>
      <c r="C342" s="42"/>
      <c r="D342" s="161"/>
      <c r="E342" s="109"/>
      <c r="F342" s="161"/>
      <c r="G342" s="109"/>
      <c r="H342" s="161"/>
      <c r="I342" s="161"/>
      <c r="J342" s="161"/>
    </row>
    <row r="343" spans="1:10" s="1" customFormat="1" ht="15.9" customHeight="1">
      <c r="A343" s="109"/>
      <c r="B343" s="33"/>
      <c r="C343" s="163"/>
      <c r="D343" s="161"/>
      <c r="E343" s="109"/>
      <c r="F343" s="161"/>
      <c r="G343" s="109"/>
      <c r="H343" s="161"/>
      <c r="I343" s="109"/>
      <c r="J343" s="24"/>
    </row>
    <row r="344" spans="1:10" s="1" customFormat="1" ht="15.9" customHeight="1">
      <c r="A344" s="109"/>
      <c r="B344" s="33"/>
      <c r="C344" s="161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44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3"/>
      <c r="D350" s="161"/>
      <c r="E350" s="109"/>
      <c r="F350" s="161"/>
      <c r="G350" s="109"/>
      <c r="H350" s="109"/>
      <c r="I350" s="109"/>
      <c r="J350" s="24"/>
    </row>
    <row r="351" spans="1:10" s="1" customFormat="1" ht="15.9" customHeight="1">
      <c r="A351" s="109"/>
      <c r="B351" s="33"/>
      <c r="C351" s="161"/>
      <c r="D351" s="161"/>
      <c r="E351" s="109"/>
      <c r="F351" s="161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1" customFormat="1" ht="15" customHeight="1">
      <c r="A353" s="109"/>
      <c r="B353" s="33"/>
      <c r="C353" s="33"/>
      <c r="D353" s="161"/>
      <c r="E353" s="109"/>
      <c r="F353" s="109"/>
      <c r="G353" s="109"/>
      <c r="H353" s="107"/>
      <c r="I353" s="24"/>
      <c r="J353" s="24"/>
    </row>
    <row r="354" spans="1:10" s="23" customFormat="1" ht="15.9" customHeight="1">
      <c r="A354" s="109"/>
      <c r="B354" s="33"/>
      <c r="C354" s="33"/>
      <c r="D354" s="161"/>
      <c r="E354" s="109"/>
      <c r="F354" s="109"/>
      <c r="G354" s="109"/>
      <c r="H354" s="109"/>
      <c r="I354" s="109"/>
      <c r="J354" s="109"/>
    </row>
    <row r="355" spans="1:10" s="1" customFormat="1" ht="15.9" customHeight="1">
      <c r="A355" s="44"/>
      <c r="B355" s="33"/>
      <c r="C355" s="33"/>
      <c r="D355" s="161"/>
      <c r="E355" s="109"/>
      <c r="F355" s="109"/>
      <c r="G355" s="109"/>
      <c r="H355" s="109"/>
      <c r="I355" s="44"/>
      <c r="J355" s="119"/>
    </row>
    <row r="356" spans="1:10" s="1" customFormat="1" ht="15.9" customHeight="1">
      <c r="A356" s="40"/>
      <c r="B356" s="44"/>
      <c r="C356" s="44"/>
      <c r="D356" s="84"/>
      <c r="E356" s="44"/>
      <c r="F356" s="44"/>
      <c r="G356" s="44"/>
      <c r="H356" s="44"/>
      <c r="I356" s="32"/>
      <c r="J356" s="40"/>
    </row>
    <row r="357" spans="1:10" s="1" customFormat="1" ht="15.9" customHeight="1">
      <c r="A357" s="27"/>
      <c r="B357" s="40"/>
      <c r="C357" s="44"/>
      <c r="D357" s="85"/>
      <c r="E357" s="40"/>
      <c r="F357" s="32"/>
      <c r="G357" s="40"/>
      <c r="H357" s="32"/>
      <c r="I357" s="24"/>
      <c r="J357" s="24"/>
    </row>
    <row r="358" spans="1:10" s="1" customFormat="1" ht="15.9" customHeight="1">
      <c r="A358" s="27"/>
      <c r="B358" s="33"/>
      <c r="C358" s="42"/>
      <c r="D358" s="161"/>
      <c r="E358" s="109"/>
      <c r="F358" s="109"/>
      <c r="G358" s="109"/>
      <c r="H358" s="42"/>
      <c r="I358" s="163"/>
      <c r="J358" s="163"/>
    </row>
    <row r="359" spans="1:10" s="1" customFormat="1" ht="15.9" customHeight="1">
      <c r="A359" s="27"/>
      <c r="B359" s="33"/>
      <c r="C359" s="163"/>
      <c r="D359" s="161"/>
      <c r="E359" s="109"/>
      <c r="F359" s="109"/>
      <c r="G359" s="109"/>
      <c r="H359" s="163"/>
      <c r="I359" s="161"/>
      <c r="J359" s="161"/>
    </row>
    <row r="360" spans="1:10" s="1" customFormat="1" ht="15.9" customHeight="1">
      <c r="A360" s="27"/>
      <c r="B360" s="33"/>
      <c r="C360" s="161"/>
      <c r="D360" s="161"/>
      <c r="E360" s="109"/>
      <c r="F360" s="109"/>
      <c r="G360" s="109"/>
      <c r="H360" s="161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46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161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D372" s="161"/>
      <c r="E372" s="109"/>
      <c r="F372" s="109"/>
      <c r="G372" s="33"/>
      <c r="H372" s="33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42"/>
      <c r="I376" s="163"/>
      <c r="J376" s="163"/>
    </row>
    <row r="377" spans="1:10" s="1" customFormat="1" ht="15.9" customHeight="1">
      <c r="A377" s="27"/>
      <c r="B377" s="33"/>
      <c r="C377" s="47"/>
      <c r="D377" s="161"/>
      <c r="E377" s="109"/>
      <c r="F377" s="109"/>
      <c r="G377" s="109"/>
      <c r="H377" s="163"/>
      <c r="I377" s="161"/>
      <c r="J377" s="161"/>
    </row>
    <row r="378" spans="1:10" s="1" customFormat="1" ht="15.9" customHeight="1">
      <c r="A378" s="27"/>
      <c r="B378" s="33"/>
      <c r="C378" s="46"/>
      <c r="D378" s="161"/>
      <c r="E378" s="109"/>
      <c r="F378" s="109"/>
      <c r="G378" s="109"/>
      <c r="H378" s="161"/>
      <c r="I378" s="24"/>
      <c r="J378" s="24"/>
    </row>
    <row r="379" spans="1:10" s="1" customFormat="1" ht="15.9" customHeight="1">
      <c r="A379" s="27"/>
      <c r="B379" s="33"/>
      <c r="C379" s="161"/>
      <c r="D379" s="161"/>
      <c r="E379" s="109"/>
      <c r="F379" s="109"/>
      <c r="G379" s="109"/>
      <c r="H379" s="42"/>
      <c r="I379" s="163"/>
      <c r="J379" s="163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3"/>
      <c r="I380" s="161"/>
      <c r="J380" s="161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1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64"/>
      <c r="J388" s="16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4"/>
      <c r="I389" s="165"/>
      <c r="J389" s="165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5"/>
      <c r="I390" s="161"/>
      <c r="J390" s="161"/>
    </row>
    <row r="391" spans="1:10" s="1" customFormat="1" ht="15.9" customHeight="1">
      <c r="A391" s="27"/>
      <c r="B391" s="33"/>
      <c r="C391" s="47"/>
      <c r="D391" s="161"/>
      <c r="E391" s="109"/>
      <c r="F391" s="109"/>
      <c r="G391" s="109"/>
      <c r="H391" s="161"/>
      <c r="I391" s="24"/>
      <c r="J391" s="24"/>
    </row>
    <row r="392" spans="1:10" s="1" customFormat="1" ht="15.9" customHeight="1">
      <c r="A392" s="27"/>
      <c r="B392" s="33"/>
      <c r="C392" s="46"/>
      <c r="D392" s="161"/>
      <c r="E392" s="109"/>
      <c r="F392" s="109"/>
      <c r="G392" s="109"/>
      <c r="H392" s="109"/>
      <c r="I392" s="109"/>
      <c r="J392" s="24"/>
    </row>
    <row r="393" spans="1:10" s="1" customFormat="1" ht="15.9" customHeight="1">
      <c r="A393" s="27"/>
      <c r="B393" s="33"/>
      <c r="C393" s="161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23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1" customFormat="1" ht="15.9" customHeight="1">
      <c r="A405" s="44"/>
      <c r="B405" s="33"/>
      <c r="C405" s="33"/>
      <c r="D405" s="161"/>
      <c r="E405" s="109"/>
      <c r="F405" s="109"/>
      <c r="G405" s="109"/>
      <c r="H405" s="109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109"/>
      <c r="B419" s="44"/>
      <c r="C419" s="44"/>
      <c r="D419" s="84"/>
      <c r="E419" s="44"/>
      <c r="F419" s="44"/>
      <c r="G419" s="44"/>
      <c r="H419" s="44"/>
      <c r="I419" s="24"/>
      <c r="J419" s="24"/>
      <c r="K419" s="71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LEFT($J$111,13)&amp;"-04"</f>
        <v>FG-240-5P3L2R-04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A423" s="109"/>
      <c r="B423" s="33"/>
      <c r="C423" s="33"/>
      <c r="D423" s="161"/>
      <c r="E423" s="109"/>
      <c r="F423" s="109"/>
      <c r="G423" s="109"/>
      <c r="H423" s="109"/>
      <c r="I423" s="109"/>
      <c r="J423" s="90" t="str">
        <f>$J$2</f>
        <v>HOMELIFE</v>
      </c>
      <c r="K423" s="7"/>
      <c r="L423" s="7"/>
      <c r="M423" s="2"/>
      <c r="N423" s="2"/>
    </row>
    <row r="424" spans="1:14" ht="24.9" customHeight="1">
      <c r="A424" s="109"/>
      <c r="B424" s="33"/>
      <c r="C424" s="33"/>
      <c r="D424" s="161"/>
      <c r="E424" s="109"/>
      <c r="F424" s="109"/>
      <c r="G424" s="109"/>
      <c r="H424" s="109"/>
      <c r="I424" s="109"/>
      <c r="J424" s="91" t="str">
        <f>$J$3</f>
        <v>Fabricators Guide</v>
      </c>
      <c r="K424" s="7"/>
      <c r="L424" s="7"/>
      <c r="M424" s="2"/>
      <c r="N424" s="2"/>
    </row>
    <row r="425" spans="1:14" ht="24.9" customHeight="1">
      <c r="B425" s="205"/>
      <c r="C425" s="28"/>
      <c r="D425" s="28"/>
      <c r="E425" s="28"/>
      <c r="F425" s="28"/>
      <c r="G425" s="28"/>
      <c r="H425" s="28"/>
      <c r="I425" s="28"/>
      <c r="J425" s="91" t="str">
        <f>$J$4</f>
        <v xml:space="preserve">240 Series Bi Fold Door </v>
      </c>
      <c r="K425" s="48"/>
      <c r="L425" s="48"/>
      <c r="M425" s="4"/>
      <c r="N425" s="4"/>
    </row>
    <row r="426" spans="1:14" s="1" customFormat="1" ht="15" customHeight="1" thickBot="1">
      <c r="A426" s="78"/>
      <c r="B426" s="8"/>
      <c r="C426" s="28"/>
      <c r="D426" s="28"/>
      <c r="E426" s="28"/>
      <c r="F426" s="28"/>
      <c r="G426" s="28"/>
      <c r="H426" s="2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  <c r="K427" s="4"/>
      <c r="L427" s="4"/>
      <c r="M427" s="4"/>
      <c r="N427" s="4"/>
    </row>
    <row r="428" spans="1:14" s="1" customFormat="1" ht="15" customHeight="1">
      <c r="A428" s="193"/>
      <c r="B428" s="194"/>
      <c r="C428" s="194"/>
      <c r="D428" s="194"/>
      <c r="E428" s="194"/>
      <c r="F428" s="194"/>
      <c r="G428" s="194"/>
      <c r="H428" s="194"/>
      <c r="I428" s="193"/>
      <c r="K428" s="56"/>
      <c r="L428" s="56"/>
      <c r="M428" s="56"/>
      <c r="N428" s="56"/>
    </row>
    <row r="429" spans="1:14" s="1" customFormat="1" ht="15" customHeight="1">
      <c r="A429" s="45"/>
      <c r="B429" s="193"/>
      <c r="C429" s="193"/>
      <c r="D429" s="193"/>
      <c r="E429" s="193"/>
      <c r="F429" s="193"/>
      <c r="G429" s="193"/>
      <c r="H429" s="193"/>
      <c r="I429" s="44"/>
      <c r="J429" s="119"/>
    </row>
    <row r="430" spans="1:14" s="1" customFormat="1" ht="15" customHeight="1">
      <c r="A430" s="109"/>
      <c r="B430" s="39"/>
      <c r="C430" s="33"/>
      <c r="D430" s="161"/>
      <c r="E430" s="35"/>
      <c r="F430" s="39"/>
      <c r="G430" s="193"/>
      <c r="H430" s="44"/>
      <c r="I430" s="44"/>
      <c r="J430" s="119"/>
    </row>
    <row r="431" spans="1:14" s="1" customFormat="1" ht="15" customHeight="1">
      <c r="A431" s="109"/>
      <c r="B431" s="33"/>
      <c r="C431" s="33"/>
      <c r="D431" s="161"/>
      <c r="E431" s="35"/>
      <c r="F431" s="161"/>
      <c r="G431" s="193"/>
      <c r="H431" s="44"/>
      <c r="I431" s="44"/>
      <c r="J431" s="119"/>
    </row>
    <row r="432" spans="1:14" s="1" customFormat="1" ht="15" customHeight="1">
      <c r="A432" s="109"/>
      <c r="B432" s="56"/>
      <c r="C432" s="56"/>
      <c r="D432" s="30"/>
      <c r="E432" s="29"/>
      <c r="F432" s="30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109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3"/>
      <c r="H434" s="44"/>
      <c r="I434" s="44"/>
      <c r="J434" s="119"/>
    </row>
    <row r="435" spans="1:10" s="1" customFormat="1" ht="15" customHeight="1">
      <c r="A435" s="109"/>
      <c r="B435" s="33"/>
      <c r="C435" s="161"/>
      <c r="D435" s="161"/>
      <c r="E435" s="35"/>
      <c r="F435" s="161"/>
      <c r="H435" s="44"/>
      <c r="I435" s="44"/>
      <c r="J435" s="119"/>
    </row>
    <row r="436" spans="1:10" s="1" customFormat="1" ht="15" customHeight="1">
      <c r="A436" s="39"/>
      <c r="B436" s="33"/>
      <c r="C436" s="42"/>
      <c r="D436" s="161"/>
      <c r="E436" s="109"/>
      <c r="F436" s="69"/>
      <c r="H436" s="44"/>
      <c r="I436" s="44"/>
      <c r="J436" s="119"/>
    </row>
    <row r="437" spans="1:10" s="1" customFormat="1" ht="15" customHeight="1">
      <c r="A437" s="92"/>
      <c r="B437" s="39"/>
      <c r="C437" s="163"/>
      <c r="D437" s="161"/>
      <c r="E437" s="109"/>
      <c r="F437" s="68"/>
      <c r="H437" s="44"/>
      <c r="I437" s="44"/>
      <c r="J437" s="119"/>
    </row>
    <row r="438" spans="1:10" s="1" customFormat="1" ht="15" customHeight="1">
      <c r="B438" s="92"/>
      <c r="C438" s="161"/>
      <c r="D438" s="161"/>
      <c r="E438" s="109"/>
      <c r="F438" s="202"/>
      <c r="H438" s="44"/>
      <c r="I438" s="44"/>
      <c r="J438" s="119"/>
    </row>
    <row r="439" spans="1:10" s="1" customFormat="1" ht="15" customHeight="1">
      <c r="A439" s="64" t="str">
        <f>A18</f>
        <v>240-5 Panel (3L2R)</v>
      </c>
      <c r="B439" s="92"/>
      <c r="C439" s="161"/>
      <c r="D439" s="161"/>
      <c r="E439" s="109"/>
      <c r="F439" s="202"/>
      <c r="H439" s="44"/>
      <c r="I439" s="44"/>
      <c r="J439" s="119"/>
    </row>
    <row r="440" spans="1:10" s="1" customFormat="1" ht="15.9" customHeight="1">
      <c r="A440" s="76" t="str">
        <f>A19</f>
        <v xml:space="preserve">Outside Bi Fold Door </v>
      </c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44"/>
      <c r="B442" s="38"/>
      <c r="C442" s="43"/>
      <c r="D442" s="161"/>
      <c r="E442" s="109"/>
      <c r="F442" s="109"/>
      <c r="H442" s="44"/>
      <c r="I442" s="44"/>
      <c r="J442" s="119"/>
    </row>
    <row r="443" spans="1:10" s="1" customFormat="1" ht="15.9" customHeight="1">
      <c r="A443" s="40"/>
      <c r="C443" s="44"/>
      <c r="D443" s="84"/>
      <c r="E443" s="44"/>
      <c r="F443" s="44"/>
      <c r="H443" s="44"/>
      <c r="I443" s="44"/>
      <c r="J443" s="119"/>
    </row>
    <row r="444" spans="1:10" ht="15.6">
      <c r="B444" s="64"/>
      <c r="C444" s="163"/>
      <c r="D444" s="161"/>
      <c r="E444" s="109"/>
      <c r="F444" s="161"/>
      <c r="G444" s="109"/>
      <c r="H444" s="109"/>
    </row>
    <row r="449" spans="1:10" s="1" customFormat="1" ht="15.9" customHeight="1">
      <c r="A449" s="109"/>
      <c r="B449"/>
      <c r="C449"/>
      <c r="D449" s="81"/>
      <c r="E449"/>
      <c r="F449"/>
      <c r="G449"/>
      <c r="H449"/>
      <c r="I449" s="24"/>
      <c r="J449" s="24"/>
    </row>
    <row r="450" spans="1:10" s="1" customFormat="1" ht="15.9" customHeight="1">
      <c r="A450" s="109"/>
      <c r="B450" s="33"/>
      <c r="C450" s="33"/>
      <c r="D450" s="161"/>
      <c r="E450" s="109"/>
      <c r="F450" s="161"/>
      <c r="G450" s="109"/>
      <c r="H450" s="109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44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161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3"/>
      <c r="D455" s="161"/>
      <c r="E455" s="109"/>
      <c r="F455" s="161"/>
      <c r="G455" s="109"/>
      <c r="H455" s="109"/>
      <c r="I455" s="109"/>
      <c r="J455" s="24"/>
    </row>
    <row r="456" spans="1:10" s="1" customFormat="1" ht="15.9" customHeight="1">
      <c r="A456" s="109"/>
      <c r="B456" s="33"/>
      <c r="C456" s="161"/>
      <c r="D456" s="161"/>
      <c r="E456" s="109"/>
      <c r="F456" s="161"/>
      <c r="G456" s="109"/>
      <c r="H456" s="109"/>
      <c r="I456" s="24"/>
      <c r="J456" s="24"/>
    </row>
    <row r="457" spans="1:10" s="1" customFormat="1" ht="15.9" customHeight="1">
      <c r="A457" s="109"/>
      <c r="B457" s="33"/>
      <c r="C457" s="33"/>
      <c r="D457" s="161"/>
      <c r="E457" s="109"/>
      <c r="F457" s="109"/>
      <c r="G457" s="109"/>
      <c r="H457" s="109"/>
      <c r="I457" s="24"/>
      <c r="J457" s="24"/>
    </row>
    <row r="458" spans="1:10" s="1" customFormat="1" ht="15" customHeight="1">
      <c r="A458" s="109"/>
      <c r="B458" s="33"/>
      <c r="C458" s="33"/>
      <c r="D458" s="161"/>
      <c r="E458" s="109"/>
      <c r="F458" s="109"/>
      <c r="G458" s="109"/>
      <c r="H458" s="107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9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23" customFormat="1" ht="15.9" customHeight="1">
      <c r="A476" s="109"/>
      <c r="B476" s="33"/>
      <c r="C476" s="33"/>
      <c r="D476" s="161"/>
      <c r="E476" s="109"/>
      <c r="F476" s="109"/>
      <c r="G476" s="109"/>
      <c r="H476" s="109"/>
      <c r="I476" s="109"/>
      <c r="J476" s="109"/>
    </row>
    <row r="477" spans="1:10" s="1" customFormat="1" ht="15.9" customHeight="1">
      <c r="A477" s="44"/>
      <c r="B477" s="33"/>
      <c r="C477" s="33"/>
      <c r="D477" s="161"/>
      <c r="E477" s="109"/>
      <c r="F477" s="109"/>
      <c r="G477" s="109"/>
      <c r="H477" s="109"/>
      <c r="I477" s="44"/>
      <c r="J477" s="119"/>
    </row>
    <row r="478" spans="1:10" s="1" customFormat="1" ht="15.9" customHeight="1">
      <c r="A478" s="40"/>
      <c r="B478" s="44"/>
      <c r="C478" s="44"/>
      <c r="D478" s="84"/>
      <c r="E478" s="44"/>
      <c r="F478" s="44"/>
      <c r="G478" s="44"/>
      <c r="H478" s="44"/>
      <c r="I478" s="32"/>
      <c r="J478" s="40"/>
    </row>
    <row r="479" spans="1:10" s="1" customFormat="1" ht="15.9" customHeight="1">
      <c r="A479" s="27"/>
      <c r="B479" s="40"/>
      <c r="C479" s="44"/>
      <c r="D479" s="85"/>
      <c r="E479" s="40"/>
      <c r="F479" s="32"/>
      <c r="G479" s="40"/>
      <c r="H479" s="32"/>
      <c r="I479" s="24"/>
      <c r="J479" s="24"/>
    </row>
    <row r="480" spans="1:10" s="1" customFormat="1" ht="15.9" customHeight="1">
      <c r="A480" s="27"/>
      <c r="B480" s="33"/>
      <c r="C480" s="42"/>
      <c r="D480" s="161"/>
      <c r="E480" s="109"/>
      <c r="F480" s="109"/>
      <c r="G480" s="109"/>
      <c r="H480" s="42"/>
      <c r="I480" s="67"/>
      <c r="J480" s="165"/>
    </row>
    <row r="481" spans="1:10" s="1" customFormat="1" ht="15.9" customHeight="1">
      <c r="A481" s="27"/>
      <c r="B481" s="33"/>
      <c r="C481" s="163"/>
      <c r="D481" s="161"/>
      <c r="E481" s="109"/>
      <c r="F481" s="109"/>
      <c r="G481" s="109"/>
      <c r="H481" s="67"/>
      <c r="I481" s="38"/>
      <c r="J481" s="109"/>
    </row>
    <row r="482" spans="1:10" s="1" customFormat="1" ht="15.9" customHeight="1">
      <c r="A482" s="27"/>
      <c r="B482" s="33"/>
      <c r="C482" s="161"/>
      <c r="D482" s="161"/>
      <c r="E482" s="109"/>
      <c r="F482" s="109"/>
      <c r="G482" s="109"/>
      <c r="H482" s="38"/>
      <c r="I482" s="24"/>
      <c r="J482" s="24"/>
    </row>
    <row r="483" spans="1:10" s="1" customFormat="1" ht="15.9" customHeight="1">
      <c r="A483" s="27"/>
      <c r="B483" s="33"/>
      <c r="C483" s="33"/>
      <c r="D483" s="161"/>
      <c r="E483" s="109"/>
      <c r="F483" s="109"/>
      <c r="G483" s="109"/>
      <c r="H483" s="109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46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161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33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B492" s="33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D494" s="161"/>
      <c r="E494" s="109"/>
      <c r="F494" s="109"/>
      <c r="G494" s="33"/>
      <c r="H494" s="33"/>
      <c r="I494" s="24"/>
      <c r="J494" s="24"/>
    </row>
    <row r="495" spans="1:10" s="1" customFormat="1" ht="15.9" customHeight="1">
      <c r="A495" s="27"/>
      <c r="B495" s="33"/>
      <c r="C495" s="33"/>
      <c r="D495" s="161"/>
      <c r="E495" s="109"/>
      <c r="F495" s="109"/>
      <c r="G495" s="109"/>
      <c r="H495" s="109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42"/>
      <c r="I498" s="67"/>
      <c r="J498" s="165"/>
    </row>
    <row r="499" spans="1:10" s="1" customFormat="1" ht="15.9" customHeight="1">
      <c r="A499" s="27"/>
      <c r="B499" s="33"/>
      <c r="C499" s="47"/>
      <c r="D499" s="161"/>
      <c r="E499" s="109"/>
      <c r="F499" s="109"/>
      <c r="G499" s="109"/>
      <c r="H499" s="67"/>
      <c r="I499" s="38"/>
      <c r="J499" s="109"/>
    </row>
    <row r="500" spans="1:10" s="1" customFormat="1" ht="15.9" customHeight="1">
      <c r="A500" s="27"/>
      <c r="B500" s="33"/>
      <c r="C500" s="46"/>
      <c r="D500" s="161"/>
      <c r="E500" s="109"/>
      <c r="F500" s="109"/>
      <c r="G500" s="109"/>
      <c r="H500" s="38"/>
      <c r="I500" s="24"/>
      <c r="J500" s="24"/>
    </row>
    <row r="501" spans="1:10" s="1" customFormat="1" ht="15.9" customHeight="1">
      <c r="A501" s="27"/>
      <c r="B501" s="33"/>
      <c r="C501" s="161"/>
      <c r="D501" s="161"/>
      <c r="E501" s="109"/>
      <c r="F501" s="109"/>
      <c r="G501" s="109"/>
      <c r="H501" s="42"/>
      <c r="I501" s="67"/>
      <c r="J501" s="165"/>
    </row>
    <row r="502" spans="1:10" s="1" customFormat="1" ht="15.9" customHeight="1">
      <c r="A502" s="27"/>
      <c r="B502" s="33"/>
      <c r="C502" s="33"/>
      <c r="D502" s="161"/>
      <c r="E502" s="109"/>
      <c r="F502" s="109"/>
      <c r="G502" s="109"/>
      <c r="H502" s="67"/>
      <c r="I502" s="38"/>
      <c r="J502" s="109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38"/>
      <c r="I503" s="24"/>
      <c r="J503" s="24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109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109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109"/>
      <c r="J512" s="24"/>
    </row>
    <row r="513" spans="1:15" s="1" customFormat="1" ht="15.9" customHeight="1">
      <c r="A513" s="27"/>
      <c r="B513" s="33"/>
      <c r="C513" s="33"/>
      <c r="D513" s="161"/>
      <c r="E513" s="109"/>
      <c r="F513" s="109"/>
      <c r="G513" s="109"/>
      <c r="H513" s="109"/>
      <c r="I513" s="109"/>
      <c r="J513" s="24"/>
    </row>
    <row r="514" spans="1:15" s="1" customFormat="1" ht="15.9" customHeight="1">
      <c r="A514" s="27"/>
      <c r="B514" s="33"/>
      <c r="C514" s="33"/>
      <c r="D514" s="161"/>
      <c r="E514" s="109"/>
      <c r="F514" s="109"/>
      <c r="G514" s="109"/>
      <c r="H514" s="109"/>
      <c r="I514" s="43"/>
      <c r="J514" s="107"/>
    </row>
    <row r="515" spans="1:15" s="1" customFormat="1" ht="15.9" customHeight="1">
      <c r="A515" s="27"/>
      <c r="B515" s="33"/>
      <c r="C515" s="33"/>
      <c r="D515" s="161"/>
      <c r="E515" s="109"/>
      <c r="F515" s="109"/>
      <c r="G515" s="109"/>
      <c r="H515" s="66"/>
      <c r="I515" s="38"/>
      <c r="J515" s="109"/>
    </row>
    <row r="516" spans="1:15" s="1" customFormat="1" ht="15.9" customHeight="1">
      <c r="A516" s="44"/>
      <c r="B516" s="44"/>
      <c r="C516" s="44"/>
      <c r="D516" s="84"/>
      <c r="E516" s="44"/>
      <c r="F516" s="44"/>
      <c r="G516" s="44"/>
      <c r="H516" s="44"/>
      <c r="I516" s="44"/>
      <c r="J516" s="119"/>
    </row>
    <row r="517" spans="1:15" s="1" customFormat="1" ht="15.9" customHeight="1">
      <c r="B517" s="44"/>
      <c r="C517" s="44"/>
      <c r="D517" s="84"/>
      <c r="E517" s="44"/>
      <c r="F517" s="44"/>
      <c r="G517" s="44"/>
      <c r="H517" s="44"/>
    </row>
    <row r="518" spans="1:15" s="1" customFormat="1" ht="15.9" customHeight="1" thickBot="1"/>
    <row r="519" spans="1:15" s="1" customFormat="1" ht="24.9" customHeight="1" thickBot="1">
      <c r="A519" s="502" t="s">
        <v>401</v>
      </c>
      <c r="B519" s="503"/>
      <c r="C519" s="503"/>
      <c r="D519" s="503"/>
      <c r="E519" s="503"/>
      <c r="F519" s="503"/>
      <c r="G519" s="503"/>
      <c r="H519" s="503"/>
      <c r="I519" s="503"/>
      <c r="J519" s="504"/>
    </row>
    <row r="520" spans="1:15" s="1" customFormat="1" ht="35.1" customHeight="1" thickBot="1">
      <c r="A520" s="102" t="s">
        <v>2</v>
      </c>
      <c r="B520" s="103" t="s">
        <v>3</v>
      </c>
      <c r="C520" s="103" t="s">
        <v>3</v>
      </c>
      <c r="D520" s="104" t="s">
        <v>35</v>
      </c>
      <c r="E520" s="103" t="s">
        <v>5</v>
      </c>
      <c r="F520" s="339" t="s">
        <v>27</v>
      </c>
      <c r="G520" s="305"/>
      <c r="H520" s="104" t="s">
        <v>27</v>
      </c>
      <c r="I520" s="104" t="s">
        <v>26</v>
      </c>
      <c r="J520" s="115" t="s">
        <v>6</v>
      </c>
      <c r="N520" s="249" t="s">
        <v>3</v>
      </c>
      <c r="O520" s="249" t="s">
        <v>3</v>
      </c>
    </row>
    <row r="521" spans="1:15" s="1" customFormat="1" ht="15.9" customHeight="1">
      <c r="A521" s="123">
        <f>IF(C521="","",1)</f>
        <v>1</v>
      </c>
      <c r="B521" s="121" t="str">
        <f>IF($D$127=5,N521,IF($D$127=6,N522,IF($D$127=8,N523,IF($D$127=10,N524,IF($D$127=12,N525,IF($D$127=14,N526,IF($D$127=18,N527,IF($D$127=20,N528,IF($D$127=22,N529,)))))))))</f>
        <v>กระจก 6 mm (สูง) (กว้าง)</v>
      </c>
      <c r="C521" s="121" t="str">
        <f>IF($D$127=5,O521,IF($D$127=6,O522,IF($D$127=8,O523,IF($D$127=10,O524,IF($D$127=12,O525,IF($D$127=14,O526,IF($D$127=18,O527,IF($D$127=20,O528,IF($D$127=22,O529,)))))))))</f>
        <v>GLASS thk.6 mm (H) (W)</v>
      </c>
      <c r="D521" s="124">
        <f>$J$123-215</f>
        <v>2140</v>
      </c>
      <c r="E521" s="123" t="s">
        <v>11</v>
      </c>
      <c r="F521" s="527" t="s">
        <v>271</v>
      </c>
      <c r="G521" s="528"/>
      <c r="H521" s="123" t="s">
        <v>405</v>
      </c>
      <c r="I521" s="124">
        <f>(($J$126-185-(113.25*4))/5)-13</f>
        <v>418.4</v>
      </c>
      <c r="J521" s="151">
        <f>$J$120*5</f>
        <v>5</v>
      </c>
      <c r="M521" s="1">
        <f>ROW()</f>
        <v>521</v>
      </c>
      <c r="N521" s="19" t="s">
        <v>194</v>
      </c>
      <c r="O521" s="19" t="s">
        <v>195</v>
      </c>
    </row>
    <row r="522" spans="1:15" s="1" customFormat="1" ht="15.9" customHeight="1">
      <c r="A522" s="346"/>
      <c r="B522" s="295"/>
      <c r="C522" s="295"/>
      <c r="D522" s="296"/>
      <c r="E522" s="238"/>
      <c r="F522" s="251"/>
      <c r="G522" s="297"/>
      <c r="H522" s="238"/>
      <c r="I522" s="298"/>
      <c r="J522" s="299"/>
      <c r="M522" s="1">
        <f>ROW()</f>
        <v>522</v>
      </c>
      <c r="N522" s="19" t="s">
        <v>53</v>
      </c>
      <c r="O522" s="19" t="s">
        <v>54</v>
      </c>
    </row>
    <row r="523" spans="1:15" s="1" customFormat="1" ht="15.9" customHeight="1">
      <c r="A523" s="346"/>
      <c r="B523" s="295"/>
      <c r="C523" s="295"/>
      <c r="D523" s="296"/>
      <c r="E523" s="238"/>
      <c r="F523" s="251"/>
      <c r="G523" s="297"/>
      <c r="H523" s="238"/>
      <c r="I523" s="298"/>
      <c r="J523" s="299"/>
      <c r="M523" s="1">
        <f>ROW()</f>
        <v>523</v>
      </c>
      <c r="N523" s="19" t="s">
        <v>257</v>
      </c>
      <c r="O523" s="19" t="s">
        <v>258</v>
      </c>
    </row>
    <row r="524" spans="1:15" s="1" customFormat="1" ht="15.9" customHeight="1">
      <c r="A524" s="129" t="str">
        <f>IF(B524="","",+#REF!+1)</f>
        <v/>
      </c>
      <c r="B524" s="127"/>
      <c r="C524" s="127"/>
      <c r="D524" s="128"/>
      <c r="E524" s="129"/>
      <c r="F524" s="155"/>
      <c r="G524" s="157"/>
      <c r="H524" s="129"/>
      <c r="I524" s="144"/>
      <c r="J524" s="130"/>
      <c r="M524" s="1">
        <f>ROW()</f>
        <v>524</v>
      </c>
      <c r="N524" s="19" t="s">
        <v>259</v>
      </c>
      <c r="O524" s="19" t="s">
        <v>265</v>
      </c>
    </row>
    <row r="525" spans="1:15" s="1" customFormat="1" ht="15.9" customHeight="1">
      <c r="A525" s="135" t="str">
        <f>IF(B525="","",+A524+1)</f>
        <v/>
      </c>
      <c r="B525" s="133"/>
      <c r="C525" s="133"/>
      <c r="D525" s="134"/>
      <c r="E525" s="135"/>
      <c r="F525" s="158"/>
      <c r="G525" s="159"/>
      <c r="H525" s="135"/>
      <c r="I525" s="145"/>
      <c r="J525" s="136"/>
      <c r="M525" s="1">
        <f>ROW()</f>
        <v>525</v>
      </c>
      <c r="N525" s="19" t="s">
        <v>260</v>
      </c>
      <c r="O525" s="19" t="s">
        <v>266</v>
      </c>
    </row>
    <row r="526" spans="1:15" s="1" customFormat="1" ht="15.9" customHeight="1">
      <c r="A526" s="17"/>
      <c r="B526" s="56"/>
      <c r="C526" s="56"/>
      <c r="D526" s="30"/>
      <c r="E526" s="17"/>
      <c r="F526" s="17"/>
      <c r="G526" s="17"/>
      <c r="H526" s="109"/>
      <c r="I526" s="109"/>
      <c r="J526" s="24"/>
      <c r="M526" s="1">
        <f>ROW()</f>
        <v>526</v>
      </c>
      <c r="N526" s="19" t="s">
        <v>261</v>
      </c>
      <c r="O526" s="19" t="s">
        <v>267</v>
      </c>
    </row>
    <row r="527" spans="1:15">
      <c r="J527" s="99" t="str">
        <f>LEFT($J$111,13)&amp;"-05"</f>
        <v>FG-240-5P3L2R-05</v>
      </c>
      <c r="M527" s="1">
        <f>ROW()</f>
        <v>527</v>
      </c>
      <c r="N527" s="19" t="s">
        <v>262</v>
      </c>
      <c r="O527" s="19" t="s">
        <v>268</v>
      </c>
    </row>
    <row r="528" spans="1:15">
      <c r="M528" s="1">
        <f>ROW()</f>
        <v>528</v>
      </c>
      <c r="N528" s="19" t="s">
        <v>263</v>
      </c>
      <c r="O528" s="19" t="s">
        <v>269</v>
      </c>
    </row>
    <row r="529" spans="13:15">
      <c r="M529" s="1">
        <f>ROW()</f>
        <v>529</v>
      </c>
      <c r="N529" s="19" t="s">
        <v>264</v>
      </c>
      <c r="O529" s="19" t="s">
        <v>270</v>
      </c>
    </row>
  </sheetData>
  <dataConsolidate function="product">
    <dataRefs count="1">
      <dataRef ref="O154:O162" sheet="240_2Panel(L)" r:id="rId1"/>
    </dataRefs>
  </dataConsolidate>
  <mergeCells count="46">
    <mergeCell ref="H126:I127"/>
    <mergeCell ref="J126:J127"/>
    <mergeCell ref="A6:J6"/>
    <mergeCell ref="H120:I121"/>
    <mergeCell ref="J120:J121"/>
    <mergeCell ref="A117:J117"/>
    <mergeCell ref="D121:G121"/>
    <mergeCell ref="D119:G119"/>
    <mergeCell ref="D123:G123"/>
    <mergeCell ref="D125:G125"/>
    <mergeCell ref="D127:G127"/>
    <mergeCell ref="H123:I124"/>
    <mergeCell ref="J123:J124"/>
    <mergeCell ref="A125:B125"/>
    <mergeCell ref="D129:G129"/>
    <mergeCell ref="I158:J158"/>
    <mergeCell ref="D159:D160"/>
    <mergeCell ref="H159:H160"/>
    <mergeCell ref="I159:J160"/>
    <mergeCell ref="A131:J131"/>
    <mergeCell ref="I154:J154"/>
    <mergeCell ref="I155:J155"/>
    <mergeCell ref="I156:J156"/>
    <mergeCell ref="I157:J157"/>
    <mergeCell ref="A173:J173"/>
    <mergeCell ref="F334:G334"/>
    <mergeCell ref="F330:G330"/>
    <mergeCell ref="F331:G331"/>
    <mergeCell ref="I161:J161"/>
    <mergeCell ref="I162:J165"/>
    <mergeCell ref="I166:J167"/>
    <mergeCell ref="I168:J168"/>
    <mergeCell ref="D161:D162"/>
    <mergeCell ref="D163:D168"/>
    <mergeCell ref="D169:D170"/>
    <mergeCell ref="D171:D172"/>
    <mergeCell ref="H163:H168"/>
    <mergeCell ref="H161:H162"/>
    <mergeCell ref="H169:H170"/>
    <mergeCell ref="H171:H172"/>
    <mergeCell ref="F521:G521"/>
    <mergeCell ref="A519:J519"/>
    <mergeCell ref="A427:J427"/>
    <mergeCell ref="A320:J320"/>
    <mergeCell ref="A213:J213"/>
    <mergeCell ref="C308:E308"/>
  </mergeCells>
  <dataValidations count="4">
    <dataValidation type="list" allowBlank="1" showInputMessage="1" showErrorMessage="1" sqref="D127:G127">
      <formula1>$N$120:$N$128</formula1>
    </dataValidation>
    <dataValidation type="list" allowBlank="1" showInputMessage="1" showErrorMessage="1" sqref="C206">
      <formula1>$O$175:$O$193</formula1>
    </dataValidation>
    <dataValidation type="list" allowBlank="1" showInputMessage="1" showErrorMessage="1" sqref="D129:G129">
      <formula1>$O$120</formula1>
    </dataValidation>
    <dataValidation type="list" allowBlank="1" showInputMessage="1" showErrorMessage="1" sqref="D123:G123">
      <formula1>$P$119:$P$128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16383" man="1"/>
    <brk id="421" max="9" man="1"/>
  </rowBreaks>
  <drawing r:id="rId3"/>
  <legacy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>
    <tabColor theme="5" tint="-0.249977111117893"/>
  </sheetPr>
  <dimension ref="A1:X529"/>
  <sheetViews>
    <sheetView showGridLines="0" view="pageBreakPreview" topLeftCell="A118" zoomScale="75" zoomScaleNormal="75" zoomScaleSheetLayoutView="75" workbookViewId="0">
      <selection activeCell="D127" sqref="D127:G127"/>
    </sheetView>
  </sheetViews>
  <sheetFormatPr defaultRowHeight="14.4" outlineLevelRow="1" outlineLevelCol="1"/>
  <cols>
    <col min="1" max="1" width="7" customWidth="1"/>
    <col min="2" max="2" width="40.6640625" customWidth="1"/>
    <col min="3" max="3" width="61.3320312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7.88671875" bestFit="1" customWidth="1"/>
    <col min="9" max="9" width="11.109375" bestFit="1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3.4414062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05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05"/>
      <c r="E3" s="205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148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>
      <c r="G45" s="10"/>
    </row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/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337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05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05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5.6">
      <c r="A118" s="12"/>
      <c r="C118" s="8"/>
      <c r="D118" s="15"/>
      <c r="E118" s="13"/>
      <c r="J118" s="204"/>
      <c r="K118" s="11"/>
      <c r="L118" s="56"/>
      <c r="M118" s="56"/>
      <c r="N118" s="56"/>
    </row>
    <row r="119" spans="1:16" s="1" customFormat="1" ht="15" customHeight="1">
      <c r="A119" s="12"/>
      <c r="C119" s="110" t="s">
        <v>635</v>
      </c>
      <c r="D119" s="524"/>
      <c r="E119" s="525"/>
      <c r="F119" s="525"/>
      <c r="G119" s="526"/>
      <c r="I119" s="16"/>
      <c r="J119" s="12"/>
      <c r="N119" s="243" t="s">
        <v>191</v>
      </c>
      <c r="O119" s="12" t="s">
        <v>227</v>
      </c>
      <c r="P119" s="247" t="s">
        <v>16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4">
        <v>5</v>
      </c>
      <c r="O120" s="12" t="s">
        <v>243</v>
      </c>
      <c r="P120" s="335" t="s">
        <v>389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6</v>
      </c>
      <c r="O121" s="12" t="s">
        <v>244</v>
      </c>
      <c r="P121" s="336" t="s">
        <v>390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8</v>
      </c>
      <c r="P122" s="336" t="s">
        <v>391</v>
      </c>
    </row>
    <row r="123" spans="1:16" s="1" customFormat="1" ht="15" customHeight="1">
      <c r="A123" s="12"/>
      <c r="C123" s="110" t="s">
        <v>629</v>
      </c>
      <c r="D123" s="524" t="s">
        <v>15</v>
      </c>
      <c r="E123" s="525"/>
      <c r="F123" s="525"/>
      <c r="G123" s="526"/>
      <c r="H123" s="519" t="s">
        <v>638</v>
      </c>
      <c r="I123" s="520"/>
      <c r="J123" s="517">
        <v>2500</v>
      </c>
      <c r="N123" s="245">
        <v>10</v>
      </c>
      <c r="P123" s="336" t="s">
        <v>392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12</v>
      </c>
      <c r="P124" s="335" t="s">
        <v>393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202"/>
      <c r="L125" s="77"/>
      <c r="N125" s="245">
        <v>14</v>
      </c>
      <c r="P125" s="335" t="s">
        <v>394</v>
      </c>
    </row>
    <row r="126" spans="1:16" s="1" customFormat="1" ht="15" customHeight="1">
      <c r="A126" s="204"/>
      <c r="B126" s="204"/>
      <c r="C126" s="423" t="s">
        <v>631</v>
      </c>
      <c r="D126" s="15"/>
      <c r="H126" s="519" t="s">
        <v>639</v>
      </c>
      <c r="I126" s="520"/>
      <c r="J126" s="517">
        <v>3500</v>
      </c>
      <c r="K126" s="202"/>
      <c r="L126" s="77"/>
      <c r="N126" s="245">
        <v>18</v>
      </c>
      <c r="P126" s="335" t="s">
        <v>395</v>
      </c>
    </row>
    <row r="127" spans="1:16" s="1" customFormat="1" ht="15" customHeight="1">
      <c r="A127" s="204"/>
      <c r="B127" s="204"/>
      <c r="C127" s="110" t="s">
        <v>633</v>
      </c>
      <c r="D127" s="534">
        <v>6</v>
      </c>
      <c r="E127" s="535"/>
      <c r="F127" s="535"/>
      <c r="G127" s="536"/>
      <c r="H127" s="520"/>
      <c r="I127" s="520"/>
      <c r="J127" s="518"/>
      <c r="N127" s="245">
        <v>20</v>
      </c>
      <c r="P127" s="335" t="s">
        <v>396</v>
      </c>
    </row>
    <row r="128" spans="1:16" s="1" customFormat="1" ht="18.75" customHeight="1">
      <c r="C128" s="423" t="s">
        <v>632</v>
      </c>
      <c r="I128" s="12"/>
      <c r="J128" s="12"/>
      <c r="N128" s="245">
        <v>22</v>
      </c>
      <c r="P128" s="335" t="s">
        <v>397</v>
      </c>
    </row>
    <row r="129" spans="1:23" s="1" customFormat="1" ht="15" customHeight="1">
      <c r="A129" s="88" t="str">
        <f>A18</f>
        <v>240-5 Panel (4L1R)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3440</v>
      </c>
      <c r="J133" s="125">
        <f t="shared" ref="J133:J153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10</v>
      </c>
      <c r="U133" s="283" t="s">
        <v>296</v>
      </c>
      <c r="V133" s="285">
        <f>($J$126-185-(113.25*4))/5</f>
        <v>572.4</v>
      </c>
      <c r="W133" s="286">
        <f>$J$121*T133</f>
        <v>0</v>
      </c>
    </row>
    <row r="134" spans="1:23" s="1" customFormat="1" ht="18" customHeight="1">
      <c r="A134" s="143">
        <f t="shared" ref="A134:A153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3414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10</v>
      </c>
      <c r="U134" s="129" t="s">
        <v>296</v>
      </c>
      <c r="V134" s="285">
        <f t="shared" ref="V134:V135" si="2">($J$126-185-(113.25*4))/5</f>
        <v>572.4</v>
      </c>
      <c r="W134" s="131">
        <f t="shared" ref="W134:W135" si="3">$J$121*T134</f>
        <v>0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3440</v>
      </c>
      <c r="J135" s="131">
        <f t="shared" si="0"/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10</v>
      </c>
      <c r="U135" s="135" t="s">
        <v>296</v>
      </c>
      <c r="V135" s="285">
        <f t="shared" si="2"/>
        <v>572.4</v>
      </c>
      <c r="W135" s="293">
        <f t="shared" si="3"/>
        <v>0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3440</v>
      </c>
      <c r="J136" s="131">
        <f t="shared" si="0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10</v>
      </c>
      <c r="U136" s="283" t="s">
        <v>64</v>
      </c>
      <c r="V136" s="288">
        <f>$J$123-242</f>
        <v>2258</v>
      </c>
      <c r="W136" s="286">
        <f>$J$121*T136</f>
        <v>0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2500</v>
      </c>
      <c r="J137" s="131">
        <f t="shared" ref="J137:J149" si="4">$J$120*G137</f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10</v>
      </c>
      <c r="U137" s="129" t="s">
        <v>64</v>
      </c>
      <c r="V137" s="130">
        <f>$J$123-242</f>
        <v>2258</v>
      </c>
      <c r="W137" s="131">
        <f t="shared" ref="W137:W138" si="5">$J$121*T137</f>
        <v>0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2500</v>
      </c>
      <c r="J138" s="131">
        <f t="shared" si="4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10</v>
      </c>
      <c r="U138" s="135" t="s">
        <v>64</v>
      </c>
      <c r="V138" s="136">
        <f>$J$123-242</f>
        <v>2258</v>
      </c>
      <c r="W138" s="293">
        <f t="shared" si="5"/>
        <v>0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2404</v>
      </c>
      <c r="J139" s="131">
        <f t="shared" si="4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2404</v>
      </c>
      <c r="J140" s="131">
        <f t="shared" si="4"/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5</v>
      </c>
      <c r="H141" s="143" t="s">
        <v>296</v>
      </c>
      <c r="I141" s="178">
        <f>($J$126-185-(113.25*4))/5</f>
        <v>572.4</v>
      </c>
      <c r="J141" s="131">
        <f t="shared" si="4"/>
        <v>5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5</v>
      </c>
      <c r="H142" s="143" t="s">
        <v>296</v>
      </c>
      <c r="I142" s="178">
        <f>($J$126-185-(113.25*4))/5</f>
        <v>572.4</v>
      </c>
      <c r="J142" s="131">
        <f t="shared" si="4"/>
        <v>5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7</v>
      </c>
      <c r="H143" s="143" t="s">
        <v>63</v>
      </c>
      <c r="I143" s="130">
        <f>$J$123-92</f>
        <v>2408</v>
      </c>
      <c r="J143" s="131">
        <f t="shared" si="4"/>
        <v>7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150</v>
      </c>
      <c r="D144" s="139" t="s">
        <v>50</v>
      </c>
      <c r="E144" s="143">
        <v>1.1060000000000001</v>
      </c>
      <c r="F144" s="139" t="s">
        <v>497</v>
      </c>
      <c r="G144" s="143">
        <v>2</v>
      </c>
      <c r="H144" s="143" t="s">
        <v>63</v>
      </c>
      <c r="I144" s="130">
        <f t="shared" ref="I144:I145" si="6">$J$123-92</f>
        <v>2408</v>
      </c>
      <c r="J144" s="131">
        <f t="shared" si="4"/>
        <v>2</v>
      </c>
      <c r="N144" s="98"/>
    </row>
    <row r="145" spans="1:14" s="1" customFormat="1" ht="18" customHeight="1">
      <c r="A145" s="143">
        <f t="shared" si="1"/>
        <v>13</v>
      </c>
      <c r="B145" s="140" t="s">
        <v>116</v>
      </c>
      <c r="C145" s="140" t="s">
        <v>99</v>
      </c>
      <c r="D145" s="139" t="s">
        <v>50</v>
      </c>
      <c r="E145" s="143">
        <v>1.1060000000000001</v>
      </c>
      <c r="F145" s="139" t="s">
        <v>507</v>
      </c>
      <c r="G145" s="143">
        <v>1</v>
      </c>
      <c r="H145" s="143" t="s">
        <v>63</v>
      </c>
      <c r="I145" s="130">
        <f t="shared" si="6"/>
        <v>2408</v>
      </c>
      <c r="J145" s="131">
        <f t="shared" si="4"/>
        <v>1</v>
      </c>
      <c r="N145" s="98"/>
    </row>
    <row r="146" spans="1:14" s="1" customFormat="1" ht="18" customHeight="1">
      <c r="A146" s="143">
        <f t="shared" si="1"/>
        <v>14</v>
      </c>
      <c r="B146" s="140" t="str">
        <f t="shared" ref="B146:I146" si="7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40" t="str">
        <f t="shared" si="7"/>
        <v>5-6mm GLAZING BEAD HORIZONTAL</v>
      </c>
      <c r="D146" s="140" t="str">
        <f t="shared" si="7"/>
        <v>B24008</v>
      </c>
      <c r="E146" s="140">
        <f t="shared" si="7"/>
        <v>0.23100000000000001</v>
      </c>
      <c r="F146" s="140" t="str">
        <f t="shared" si="7"/>
        <v>B24008-001</v>
      </c>
      <c r="G146" s="143">
        <f t="shared" si="7"/>
        <v>10</v>
      </c>
      <c r="H146" s="129" t="str">
        <f t="shared" si="7"/>
        <v>(W-185-(113.25 × 4))/5</v>
      </c>
      <c r="I146" s="178">
        <f t="shared" si="7"/>
        <v>572.4</v>
      </c>
      <c r="J146" s="131">
        <f t="shared" si="4"/>
        <v>10</v>
      </c>
      <c r="N146" s="98"/>
    </row>
    <row r="147" spans="1:14" s="1" customFormat="1" ht="18" customHeight="1">
      <c r="A147" s="143">
        <f t="shared" si="1"/>
        <v>15</v>
      </c>
      <c r="B147" s="140" t="str">
        <f t="shared" ref="B147:I147" si="8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40" t="str">
        <f t="shared" si="8"/>
        <v>5-6mm GLAZING BEAD VERTICAL</v>
      </c>
      <c r="D147" s="140" t="str">
        <f t="shared" si="8"/>
        <v>B24008</v>
      </c>
      <c r="E147" s="140">
        <f t="shared" si="8"/>
        <v>0.23100000000000001</v>
      </c>
      <c r="F147" s="140" t="str">
        <f t="shared" si="8"/>
        <v>B24008-002</v>
      </c>
      <c r="G147" s="143">
        <f t="shared" si="8"/>
        <v>10</v>
      </c>
      <c r="H147" s="129" t="str">
        <f t="shared" si="8"/>
        <v>H-242</v>
      </c>
      <c r="I147" s="144">
        <f t="shared" si="8"/>
        <v>2258</v>
      </c>
      <c r="J147" s="131">
        <f t="shared" si="4"/>
        <v>10</v>
      </c>
      <c r="N147" s="98"/>
    </row>
    <row r="148" spans="1:14" s="1" customFormat="1" ht="18" customHeight="1">
      <c r="A148" s="143">
        <f t="shared" si="1"/>
        <v>16</v>
      </c>
      <c r="B148" s="140" t="s">
        <v>125</v>
      </c>
      <c r="C148" s="140" t="s">
        <v>124</v>
      </c>
      <c r="D148" s="139" t="s">
        <v>123</v>
      </c>
      <c r="E148" s="143"/>
      <c r="F148" s="139" t="s">
        <v>362</v>
      </c>
      <c r="G148" s="143">
        <v>1</v>
      </c>
      <c r="H148" s="143" t="s">
        <v>63</v>
      </c>
      <c r="I148" s="130">
        <f>$J$123-92</f>
        <v>2408</v>
      </c>
      <c r="J148" s="131">
        <f t="shared" si="4"/>
        <v>1</v>
      </c>
      <c r="N148" s="98"/>
    </row>
    <row r="149" spans="1:14" s="1" customFormat="1" ht="18" customHeight="1">
      <c r="A149" s="143">
        <f t="shared" si="1"/>
        <v>17</v>
      </c>
      <c r="B149" s="140" t="s">
        <v>125</v>
      </c>
      <c r="C149" s="140" t="s">
        <v>124</v>
      </c>
      <c r="D149" s="139" t="s">
        <v>123</v>
      </c>
      <c r="E149" s="143"/>
      <c r="F149" s="139" t="s">
        <v>363</v>
      </c>
      <c r="G149" s="143">
        <v>1</v>
      </c>
      <c r="H149" s="143" t="s">
        <v>63</v>
      </c>
      <c r="I149" s="130">
        <f>$J$123-92</f>
        <v>2408</v>
      </c>
      <c r="J149" s="131">
        <f t="shared" si="4"/>
        <v>1</v>
      </c>
      <c r="N149" s="98"/>
    </row>
    <row r="150" spans="1:14" s="1" customFormat="1" ht="18" customHeight="1">
      <c r="A150" s="143" t="str">
        <f t="shared" si="1"/>
        <v/>
      </c>
      <c r="B150" s="140"/>
      <c r="C150" s="140"/>
      <c r="D150" s="139"/>
      <c r="E150" s="143"/>
      <c r="F150" s="139"/>
      <c r="G150" s="143"/>
      <c r="H150" s="143"/>
      <c r="I150" s="130"/>
      <c r="J150" s="131"/>
      <c r="N150" s="98"/>
    </row>
    <row r="151" spans="1:14" s="1" customFormat="1" ht="18" customHeight="1">
      <c r="A151" s="143" t="str">
        <f t="shared" si="1"/>
        <v/>
      </c>
      <c r="B151" s="140"/>
      <c r="C151" s="140"/>
      <c r="D151" s="139"/>
      <c r="E151" s="143"/>
      <c r="F151" s="139"/>
      <c r="G151" s="143"/>
      <c r="H151" s="143"/>
      <c r="I151" s="130"/>
      <c r="J151" s="131"/>
      <c r="N151" s="98"/>
    </row>
    <row r="152" spans="1:14" s="1" customFormat="1" ht="18" customHeight="1">
      <c r="A152" s="143" t="str">
        <f t="shared" si="1"/>
        <v/>
      </c>
      <c r="B152" s="127"/>
      <c r="C152" s="127"/>
      <c r="D152" s="128"/>
      <c r="E152" s="129"/>
      <c r="F152" s="128"/>
      <c r="G152" s="129"/>
      <c r="H152" s="129"/>
      <c r="I152" s="144"/>
      <c r="J152" s="131">
        <f t="shared" si="0"/>
        <v>0</v>
      </c>
      <c r="N152" s="98"/>
    </row>
    <row r="153" spans="1:14" s="1" customFormat="1" ht="18" customHeight="1" thickBot="1">
      <c r="A153" s="143" t="str">
        <f t="shared" si="1"/>
        <v/>
      </c>
      <c r="B153" s="167"/>
      <c r="C153" s="167"/>
      <c r="D153" s="168"/>
      <c r="E153" s="166"/>
      <c r="F153" s="168"/>
      <c r="G153" s="166"/>
      <c r="H153" s="166"/>
      <c r="I153" s="171"/>
      <c r="J153" s="172">
        <f t="shared" si="0"/>
        <v>0</v>
      </c>
    </row>
    <row r="154" spans="1:14" s="1" customFormat="1" ht="27" outlineLevel="1" thickBot="1">
      <c r="A154" s="169" t="s">
        <v>2</v>
      </c>
      <c r="B154" s="169" t="s">
        <v>29</v>
      </c>
      <c r="C154" s="169" t="s">
        <v>3</v>
      </c>
      <c r="D154" s="169" t="s">
        <v>4</v>
      </c>
      <c r="E154" s="169" t="s">
        <v>5</v>
      </c>
      <c r="F154" s="177" t="s">
        <v>85</v>
      </c>
      <c r="G154" s="169" t="s">
        <v>22</v>
      </c>
      <c r="H154" s="170" t="s">
        <v>23</v>
      </c>
      <c r="I154" s="540"/>
      <c r="J154" s="541"/>
    </row>
    <row r="155" spans="1:14" s="1" customFormat="1" ht="15" customHeight="1" outlineLevel="1">
      <c r="A155" s="21">
        <f>IF(B155="","",1)</f>
        <v>1</v>
      </c>
      <c r="B155" s="173" t="str">
        <f t="shared" ref="B155:C161" si="9">B133</f>
        <v>เฟรมบน</v>
      </c>
      <c r="C155" s="173" t="str">
        <f t="shared" si="9"/>
        <v>HEAD</v>
      </c>
      <c r="D155" s="174" t="str">
        <f>VLOOKUP(C155,$C$133:$H$153,2,0)</f>
        <v>B24001</v>
      </c>
      <c r="E155" s="175">
        <f t="shared" ref="E155:E161" si="10">VLOOKUP(C155,$C$133:$H$153,3,0)</f>
        <v>1.603</v>
      </c>
      <c r="F155" s="353">
        <f>VLOOKUP(C155,$C$133:$J$153,7,0)</f>
        <v>3440</v>
      </c>
      <c r="G155" s="175">
        <f t="shared" ref="G155:G161" si="11">VLOOKUP(C155,$C$133:$J$153,8,0)</f>
        <v>1</v>
      </c>
      <c r="H155" s="191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ref="A156:A161" si="12">IF(B156="","",+A155+1)</f>
        <v>2</v>
      </c>
      <c r="B156" s="173" t="str">
        <f t="shared" si="9"/>
        <v>บังใบบน</v>
      </c>
      <c r="C156" s="173" t="str">
        <f t="shared" si="9"/>
        <v>DOOR STOP HEAD</v>
      </c>
      <c r="D156" s="174" t="str">
        <f>VLOOKUP(C156,$C$133:$H$153,2,0)</f>
        <v>B24002</v>
      </c>
      <c r="E156" s="175">
        <f t="shared" si="10"/>
        <v>0.27800000000000002</v>
      </c>
      <c r="F156" s="353">
        <f t="shared" ref="F156:F161" si="13">VLOOKUP(C156,$C$133:$I$153,7,0)</f>
        <v>3414</v>
      </c>
      <c r="G156" s="175">
        <f t="shared" si="11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si="12"/>
        <v>3</v>
      </c>
      <c r="B157" s="173" t="str">
        <f t="shared" si="9"/>
        <v xml:space="preserve">เฟรมล่าง </v>
      </c>
      <c r="C157" s="173" t="str">
        <f t="shared" si="9"/>
        <v>SILL</v>
      </c>
      <c r="D157" s="174" t="str">
        <f>VLOOKUP(C157,$C$133:$H$153,2,0)</f>
        <v>B24003</v>
      </c>
      <c r="E157" s="175">
        <f t="shared" si="10"/>
        <v>1.603</v>
      </c>
      <c r="F157" s="353">
        <f t="shared" si="13"/>
        <v>3440</v>
      </c>
      <c r="G157" s="175">
        <f t="shared" si="11"/>
        <v>1</v>
      </c>
      <c r="H157" s="192">
        <f t="shared" ref="H157:H158" si="14">ROUNDUP((F157*G157)/6400,0)</f>
        <v>1</v>
      </c>
      <c r="I157" s="501"/>
      <c r="J157" s="501"/>
    </row>
    <row r="158" spans="1:14" s="1" customFormat="1" ht="15" customHeight="1" outlineLevel="1">
      <c r="A158" s="18">
        <f t="shared" si="12"/>
        <v>4</v>
      </c>
      <c r="B158" s="173" t="str">
        <f t="shared" si="9"/>
        <v>ตัวตับธรณี</v>
      </c>
      <c r="C158" s="173" t="str">
        <f t="shared" si="9"/>
        <v>DOOR STOP SILL</v>
      </c>
      <c r="D158" s="174" t="str">
        <f>VLOOKUP(C158,$C$133:$H$153,2,0)</f>
        <v>B24004</v>
      </c>
      <c r="E158" s="175">
        <f t="shared" si="10"/>
        <v>0.51600000000000001</v>
      </c>
      <c r="F158" s="353">
        <f t="shared" si="13"/>
        <v>3440</v>
      </c>
      <c r="G158" s="175">
        <f t="shared" si="11"/>
        <v>1</v>
      </c>
      <c r="H158" s="192">
        <f t="shared" si="14"/>
        <v>1</v>
      </c>
      <c r="I158" s="501"/>
      <c r="J158" s="501"/>
    </row>
    <row r="159" spans="1:14" s="1" customFormat="1" ht="15" customHeight="1" outlineLevel="1">
      <c r="A159" s="18">
        <f t="shared" si="12"/>
        <v>5</v>
      </c>
      <c r="B159" s="173" t="str">
        <f t="shared" si="9"/>
        <v>เฟรมข้าง (ซ้าย)</v>
      </c>
      <c r="C159" s="173" t="str">
        <f t="shared" si="9"/>
        <v>JAMB (L)</v>
      </c>
      <c r="D159" s="508" t="str">
        <f>VLOOKUP(C159,$C$133:$H$153,2,0)</f>
        <v>B24005</v>
      </c>
      <c r="E159" s="175">
        <f t="shared" si="10"/>
        <v>0.89300000000000002</v>
      </c>
      <c r="F159" s="353">
        <f t="shared" si="13"/>
        <v>2500</v>
      </c>
      <c r="G159" s="175">
        <f t="shared" si="11"/>
        <v>1</v>
      </c>
      <c r="H159" s="516">
        <f>ROUNDUP(((F159*G159)+(F160*G160))/6400,0)</f>
        <v>1</v>
      </c>
      <c r="I159" s="506"/>
      <c r="J159" s="506"/>
    </row>
    <row r="160" spans="1:14" s="1" customFormat="1" ht="15" customHeight="1" outlineLevel="1">
      <c r="A160" s="18">
        <f t="shared" si="12"/>
        <v>6</v>
      </c>
      <c r="B160" s="173" t="str">
        <f t="shared" si="9"/>
        <v>เฟรมข้าง (ขวา)</v>
      </c>
      <c r="C160" s="173" t="str">
        <f t="shared" si="9"/>
        <v>JAMB (R)</v>
      </c>
      <c r="D160" s="509"/>
      <c r="E160" s="175">
        <f t="shared" si="10"/>
        <v>0.89300000000000002</v>
      </c>
      <c r="F160" s="353">
        <f t="shared" si="13"/>
        <v>2500</v>
      </c>
      <c r="G160" s="175">
        <f t="shared" si="11"/>
        <v>1</v>
      </c>
      <c r="H160" s="516"/>
      <c r="I160" s="506"/>
      <c r="J160" s="506"/>
    </row>
    <row r="161" spans="1:23" s="1" customFormat="1" ht="15" customHeight="1" outlineLevel="1">
      <c r="A161" s="18">
        <f t="shared" si="12"/>
        <v>7</v>
      </c>
      <c r="B161" s="173" t="str">
        <f>B139</f>
        <v>บังใบข้าง (ซ้าย)</v>
      </c>
      <c r="C161" s="173" t="str">
        <f t="shared" si="9"/>
        <v>DOOR STOP JAMB (L)</v>
      </c>
      <c r="D161" s="508" t="str">
        <f>VLOOKUP(C161,$C$133:$H$153,2,0)</f>
        <v>B24006</v>
      </c>
      <c r="E161" s="175">
        <f t="shared" si="10"/>
        <v>0.23499999999999999</v>
      </c>
      <c r="F161" s="353">
        <f t="shared" si="13"/>
        <v>2404</v>
      </c>
      <c r="G161" s="175">
        <f t="shared" si="11"/>
        <v>1</v>
      </c>
      <c r="H161" s="516">
        <f>ROUNDUP(((F161*G161)+(F162*G162))/6400,0)</f>
        <v>1</v>
      </c>
      <c r="I161" s="501"/>
      <c r="J161" s="501"/>
    </row>
    <row r="162" spans="1:23" s="1" customFormat="1" ht="15" customHeight="1" outlineLevel="1">
      <c r="A162" s="18">
        <f t="shared" ref="A162:A171" si="15">IF(B162="","",+A161+1)</f>
        <v>8</v>
      </c>
      <c r="B162" s="173" t="str">
        <f t="shared" ref="B162:C162" si="16">B140</f>
        <v>บังใบข้าง (ขวา)</v>
      </c>
      <c r="C162" s="173" t="str">
        <f t="shared" si="16"/>
        <v>DOOR STOP JAMB (R)</v>
      </c>
      <c r="D162" s="509"/>
      <c r="E162" s="175">
        <f t="shared" ref="E162:E171" si="17">VLOOKUP(C162,$C$133:$H$153,3,0)</f>
        <v>0.23499999999999999</v>
      </c>
      <c r="F162" s="353">
        <f t="shared" ref="F162:F171" si="18">VLOOKUP(C162,$C$133:$I$153,7,0)</f>
        <v>2404</v>
      </c>
      <c r="G162" s="175">
        <f t="shared" ref="G162:G171" si="19">VLOOKUP(C162,$C$133:$J$153,8,0)</f>
        <v>1</v>
      </c>
      <c r="H162" s="516"/>
      <c r="I162" s="506"/>
      <c r="J162" s="506"/>
    </row>
    <row r="163" spans="1:23" s="1" customFormat="1" ht="13.8" outlineLevel="1">
      <c r="A163" s="18">
        <f t="shared" si="15"/>
        <v>9</v>
      </c>
      <c r="B163" s="173" t="str">
        <f t="shared" ref="B163:C163" si="20">B141</f>
        <v>ขวางบน</v>
      </c>
      <c r="C163" s="173" t="str">
        <f t="shared" si="20"/>
        <v>SASH (Hor) (T)</v>
      </c>
      <c r="D163" s="508" t="str">
        <f t="shared" ref="D163:D170" si="21">VLOOKUP(C163,$C$133:$H$153,2,0)</f>
        <v>B24007</v>
      </c>
      <c r="E163" s="175">
        <f t="shared" si="17"/>
        <v>1.1060000000000001</v>
      </c>
      <c r="F163" s="353">
        <f t="shared" si="18"/>
        <v>572.4</v>
      </c>
      <c r="G163" s="175">
        <f t="shared" si="19"/>
        <v>5</v>
      </c>
      <c r="H163" s="512">
        <f>ROUNDUP(((F163*G163)+(F164*G164)+(F165*G165)+(F166*G166)+(F167*G167))/6400,0)</f>
        <v>5</v>
      </c>
      <c r="I163" s="506"/>
      <c r="J163" s="506"/>
    </row>
    <row r="164" spans="1:23" s="1" customFormat="1" ht="13.8" outlineLevel="1">
      <c r="A164" s="18">
        <f t="shared" si="15"/>
        <v>10</v>
      </c>
      <c r="B164" s="173" t="str">
        <f t="shared" ref="B164:C164" si="22">B142</f>
        <v>ขวางล่าง</v>
      </c>
      <c r="C164" s="173" t="str">
        <f t="shared" si="22"/>
        <v>SASH (Hor) (B)</v>
      </c>
      <c r="D164" s="510"/>
      <c r="E164" s="175">
        <f t="shared" si="17"/>
        <v>1.1060000000000001</v>
      </c>
      <c r="F164" s="353">
        <f t="shared" si="18"/>
        <v>572.4</v>
      </c>
      <c r="G164" s="175">
        <f t="shared" si="19"/>
        <v>5</v>
      </c>
      <c r="H164" s="514"/>
      <c r="I164" s="506"/>
      <c r="J164" s="506"/>
    </row>
    <row r="165" spans="1:23" s="1" customFormat="1" ht="13.8" outlineLevel="1">
      <c r="A165" s="18">
        <f t="shared" si="15"/>
        <v>11</v>
      </c>
      <c r="B165" s="173" t="str">
        <f t="shared" ref="B165:C165" si="23">B143</f>
        <v>เสา</v>
      </c>
      <c r="C165" s="173" t="str">
        <f t="shared" si="23"/>
        <v xml:space="preserve">SASH (Ver) </v>
      </c>
      <c r="D165" s="510"/>
      <c r="E165" s="175">
        <f t="shared" si="17"/>
        <v>1.1060000000000001</v>
      </c>
      <c r="F165" s="353">
        <f t="shared" si="18"/>
        <v>2408</v>
      </c>
      <c r="G165" s="175">
        <f t="shared" si="19"/>
        <v>7</v>
      </c>
      <c r="H165" s="514"/>
      <c r="I165" s="506"/>
      <c r="J165" s="506"/>
    </row>
    <row r="166" spans="1:23" s="1" customFormat="1" ht="13.8" outlineLevel="1">
      <c r="A166" s="18">
        <f t="shared" si="15"/>
        <v>12</v>
      </c>
      <c r="B166" s="173" t="str">
        <f t="shared" ref="B166:C166" si="24">B144</f>
        <v>เสากุญแจ</v>
      </c>
      <c r="C166" s="173" t="str">
        <f t="shared" si="24"/>
        <v>SASH (Ver) LOCK</v>
      </c>
      <c r="D166" s="510"/>
      <c r="E166" s="175">
        <f t="shared" si="17"/>
        <v>1.1060000000000001</v>
      </c>
      <c r="F166" s="353">
        <f t="shared" si="18"/>
        <v>2408</v>
      </c>
      <c r="G166" s="175">
        <f t="shared" si="19"/>
        <v>2</v>
      </c>
      <c r="H166" s="514"/>
      <c r="I166" s="506"/>
      <c r="J166" s="506"/>
    </row>
    <row r="167" spans="1:23" s="1" customFormat="1" ht="15" customHeight="1" outlineLevel="1">
      <c r="A167" s="18">
        <f t="shared" si="15"/>
        <v>13</v>
      </c>
      <c r="B167" s="173" t="str">
        <f t="shared" ref="B167:C167" si="25">B145</f>
        <v>เสากุญแจมือจับ</v>
      </c>
      <c r="C167" s="173" t="str">
        <f t="shared" si="25"/>
        <v>SASH (Ver) LOCK HANDLE</v>
      </c>
      <c r="D167" s="509"/>
      <c r="E167" s="175">
        <f t="shared" si="17"/>
        <v>1.1060000000000001</v>
      </c>
      <c r="F167" s="353">
        <f t="shared" si="18"/>
        <v>2408</v>
      </c>
      <c r="G167" s="175">
        <f t="shared" si="19"/>
        <v>1</v>
      </c>
      <c r="H167" s="515"/>
      <c r="I167" s="506"/>
      <c r="J167" s="506"/>
    </row>
    <row r="168" spans="1:23" s="1" customFormat="1" ht="13.8" outlineLevel="1">
      <c r="A168" s="18">
        <f t="shared" si="15"/>
        <v>14</v>
      </c>
      <c r="B168" s="173" t="str">
        <f t="shared" ref="B168:C168" si="26">B146</f>
        <v>5-6mm คิ้วตบกระจกแนวนอน</v>
      </c>
      <c r="C168" s="173" t="str">
        <f t="shared" si="26"/>
        <v>5-6mm GLAZING BEAD HORIZONTAL</v>
      </c>
      <c r="D168" s="508" t="str">
        <f t="shared" si="21"/>
        <v>B24008</v>
      </c>
      <c r="E168" s="175">
        <f t="shared" si="17"/>
        <v>0.23100000000000001</v>
      </c>
      <c r="F168" s="353">
        <f t="shared" si="18"/>
        <v>572.4</v>
      </c>
      <c r="G168" s="175">
        <f t="shared" si="19"/>
        <v>10</v>
      </c>
      <c r="H168" s="516">
        <f>ROUNDUP(((F168*G168)+(F169*G169))/6400,0)</f>
        <v>5</v>
      </c>
      <c r="I168" s="501"/>
      <c r="J168" s="501"/>
    </row>
    <row r="169" spans="1:23" s="1" customFormat="1" ht="15" customHeight="1" outlineLevel="1">
      <c r="A169" s="18">
        <f t="shared" si="15"/>
        <v>15</v>
      </c>
      <c r="B169" s="173" t="str">
        <f t="shared" ref="B169:C169" si="27">B147</f>
        <v>5-6mm คิ้วตบกระจกแนวตั้ง</v>
      </c>
      <c r="C169" s="173" t="str">
        <f t="shared" si="27"/>
        <v>5-6mm GLAZING BEAD VERTICAL</v>
      </c>
      <c r="D169" s="509"/>
      <c r="E169" s="175">
        <f t="shared" si="17"/>
        <v>0.23100000000000001</v>
      </c>
      <c r="F169" s="353">
        <f t="shared" si="18"/>
        <v>2258</v>
      </c>
      <c r="G169" s="175">
        <f t="shared" si="19"/>
        <v>10</v>
      </c>
      <c r="H169" s="516"/>
      <c r="I169" s="206"/>
      <c r="J169" s="206"/>
    </row>
    <row r="170" spans="1:23" s="1" customFormat="1" ht="13.8" outlineLevel="1">
      <c r="A170" s="18">
        <f t="shared" si="15"/>
        <v>16</v>
      </c>
      <c r="B170" s="173" t="str">
        <f t="shared" ref="B170:C170" si="28">B148</f>
        <v>บังใบ</v>
      </c>
      <c r="C170" s="173" t="str">
        <f t="shared" si="28"/>
        <v>SASH STOP</v>
      </c>
      <c r="D170" s="508" t="str">
        <f t="shared" si="21"/>
        <v>B24009</v>
      </c>
      <c r="E170" s="175">
        <f t="shared" si="17"/>
        <v>0</v>
      </c>
      <c r="F170" s="353">
        <f t="shared" si="18"/>
        <v>2408</v>
      </c>
      <c r="G170" s="175">
        <f t="shared" si="19"/>
        <v>1</v>
      </c>
      <c r="H170" s="516">
        <f>ROUNDUP(((F170*G170)+(F171*G171))/6400,0)</f>
        <v>1</v>
      </c>
      <c r="I170" s="206"/>
      <c r="J170" s="206"/>
    </row>
    <row r="171" spans="1:23" s="1" customFormat="1" outlineLevel="1" thickBot="1">
      <c r="A171" s="18">
        <f t="shared" si="15"/>
        <v>17</v>
      </c>
      <c r="B171" s="173" t="str">
        <f t="shared" ref="B171:C171" si="29">B149</f>
        <v>บังใบ</v>
      </c>
      <c r="C171" s="173" t="str">
        <f t="shared" si="29"/>
        <v>SASH STOP</v>
      </c>
      <c r="D171" s="511"/>
      <c r="E171" s="175">
        <f t="shared" si="17"/>
        <v>0</v>
      </c>
      <c r="F171" s="353">
        <f t="shared" si="18"/>
        <v>2408</v>
      </c>
      <c r="G171" s="175">
        <f t="shared" si="19"/>
        <v>1</v>
      </c>
      <c r="H171" s="516"/>
      <c r="I171" s="206"/>
      <c r="J171" s="206"/>
    </row>
    <row r="172" spans="1:23" s="1" customFormat="1" ht="24.9" customHeight="1" thickBot="1">
      <c r="A172" s="529" t="s">
        <v>9</v>
      </c>
      <c r="B172" s="530"/>
      <c r="C172" s="530"/>
      <c r="D172" s="530"/>
      <c r="E172" s="530"/>
      <c r="F172" s="530"/>
      <c r="G172" s="530"/>
      <c r="H172" s="530"/>
      <c r="I172" s="530"/>
      <c r="J172" s="531"/>
    </row>
    <row r="173" spans="1:23" s="1" customFormat="1" ht="35.1" customHeight="1" thickBot="1">
      <c r="A173" s="102" t="s">
        <v>2</v>
      </c>
      <c r="B173" s="103" t="s">
        <v>29</v>
      </c>
      <c r="C173" s="103" t="s">
        <v>3</v>
      </c>
      <c r="D173" s="103" t="s">
        <v>199</v>
      </c>
      <c r="E173" s="103" t="s">
        <v>5</v>
      </c>
      <c r="F173" s="104" t="s">
        <v>28</v>
      </c>
      <c r="G173" s="103" t="s">
        <v>19</v>
      </c>
      <c r="H173" s="104" t="s">
        <v>200</v>
      </c>
      <c r="I173" s="104" t="s">
        <v>20</v>
      </c>
      <c r="J173" s="115" t="s">
        <v>201</v>
      </c>
      <c r="N173" s="101" t="s">
        <v>191</v>
      </c>
      <c r="O173" s="246" t="s">
        <v>29</v>
      </c>
      <c r="P173" s="246" t="s">
        <v>3</v>
      </c>
      <c r="Q173" s="246" t="s">
        <v>199</v>
      </c>
      <c r="R173" s="246" t="s">
        <v>5</v>
      </c>
      <c r="S173" s="246" t="s">
        <v>28</v>
      </c>
      <c r="T173" s="246" t="s">
        <v>19</v>
      </c>
      <c r="U173" s="246" t="s">
        <v>200</v>
      </c>
      <c r="V173" s="246" t="s">
        <v>20</v>
      </c>
      <c r="W173" s="246" t="s">
        <v>201</v>
      </c>
    </row>
    <row r="174" spans="1:23" s="1" customFormat="1" ht="18" customHeight="1">
      <c r="A174" s="200">
        <f>IF(B174="","",1)</f>
        <v>1</v>
      </c>
      <c r="B174" s="140" t="s">
        <v>111</v>
      </c>
      <c r="C174" s="140" t="s">
        <v>67</v>
      </c>
      <c r="D174" s="139" t="s">
        <v>74</v>
      </c>
      <c r="E174" s="143"/>
      <c r="F174" s="143" t="s">
        <v>74</v>
      </c>
      <c r="G174" s="143" t="s">
        <v>202</v>
      </c>
      <c r="H174" s="143">
        <v>10</v>
      </c>
      <c r="I174" s="130"/>
      <c r="J174" s="131">
        <f t="shared" ref="J174:J195" si="30">$J$120*H174</f>
        <v>10</v>
      </c>
      <c r="N174" s="101" t="s">
        <v>226</v>
      </c>
      <c r="O174" s="280" t="s">
        <v>252</v>
      </c>
      <c r="P174" s="290" t="s">
        <v>248</v>
      </c>
      <c r="Q174" s="280" t="s">
        <v>69</v>
      </c>
      <c r="R174" s="213"/>
      <c r="S174" s="213" t="s">
        <v>69</v>
      </c>
      <c r="T174" s="213" t="s">
        <v>198</v>
      </c>
      <c r="U174" s="291">
        <f>((($I$141*$G$141)+($I$142*$G$142)+($I$143*$G$143)+($I$144*$G$144)+($I$145*$G$145))/1000)*$J$120</f>
        <v>29.803999999999998</v>
      </c>
      <c r="V174" s="291">
        <v>100</v>
      </c>
      <c r="W174" s="292">
        <f>ROUNDUP((U174)/100,0)</f>
        <v>1</v>
      </c>
    </row>
    <row r="175" spans="1:23" s="1" customFormat="1" ht="18" customHeight="1">
      <c r="A175" s="201">
        <f>IF(B175="","",+A174+1)</f>
        <v>2</v>
      </c>
      <c r="B175" s="140" t="s">
        <v>106</v>
      </c>
      <c r="C175" s="140" t="s">
        <v>503</v>
      </c>
      <c r="D175" s="139" t="s">
        <v>75</v>
      </c>
      <c r="E175" s="143"/>
      <c r="F175" s="143" t="s">
        <v>75</v>
      </c>
      <c r="G175" s="143" t="s">
        <v>202</v>
      </c>
      <c r="H175" s="143">
        <v>2</v>
      </c>
      <c r="I175" s="130"/>
      <c r="J175" s="131">
        <f t="shared" si="30"/>
        <v>2</v>
      </c>
      <c r="N175" s="101" t="s">
        <v>230</v>
      </c>
      <c r="O175" s="280" t="s">
        <v>253</v>
      </c>
      <c r="P175" s="290" t="s">
        <v>249</v>
      </c>
      <c r="Q175" s="280" t="s">
        <v>188</v>
      </c>
      <c r="R175" s="213"/>
      <c r="S175" s="213" t="s">
        <v>188</v>
      </c>
      <c r="T175" s="213" t="s">
        <v>198</v>
      </c>
      <c r="U175" s="291">
        <f>((($I$141*$G$141)+($I$142*$G$142)+($I$143*$G$143)+($I$144*$G$144)+($I$145*$G$145))/1000)*$J$120</f>
        <v>29.803999999999998</v>
      </c>
      <c r="V175" s="291">
        <v>100</v>
      </c>
      <c r="W175" s="292">
        <f t="shared" ref="W175:W177" si="31">ROUNDUP((U175)/100,0)</f>
        <v>1</v>
      </c>
    </row>
    <row r="176" spans="1:23" s="1" customFormat="1" ht="18" customHeight="1">
      <c r="A176" s="201">
        <f t="shared" ref="A176:A204" si="32">IF(B176="","",+A175+1)</f>
        <v>3</v>
      </c>
      <c r="B176" s="140" t="s">
        <v>107</v>
      </c>
      <c r="C176" s="140" t="s">
        <v>504</v>
      </c>
      <c r="D176" s="139" t="s">
        <v>76</v>
      </c>
      <c r="E176" s="143"/>
      <c r="F176" s="143" t="s">
        <v>76</v>
      </c>
      <c r="G176" s="143" t="s">
        <v>202</v>
      </c>
      <c r="H176" s="143">
        <v>2</v>
      </c>
      <c r="I176" s="130"/>
      <c r="J176" s="131">
        <f t="shared" si="30"/>
        <v>2</v>
      </c>
      <c r="N176" s="101" t="s">
        <v>229</v>
      </c>
      <c r="O176" s="290" t="s">
        <v>254</v>
      </c>
      <c r="P176" s="290" t="s">
        <v>250</v>
      </c>
      <c r="Q176" s="280" t="s">
        <v>70</v>
      </c>
      <c r="R176" s="213"/>
      <c r="S176" s="213" t="s">
        <v>70</v>
      </c>
      <c r="T176" s="213" t="s">
        <v>198</v>
      </c>
      <c r="U176" s="291">
        <f>((($I$141*$G$141)+($I$142*$G$142)+($I$143*$G$143)+($I$144*$G$144)+($I$145*$G$145))/1000)*$J$120</f>
        <v>29.803999999999998</v>
      </c>
      <c r="V176" s="291">
        <v>100</v>
      </c>
      <c r="W176" s="292">
        <f t="shared" si="31"/>
        <v>1</v>
      </c>
    </row>
    <row r="177" spans="1:23" s="1" customFormat="1" ht="18" customHeight="1">
      <c r="A177" s="201">
        <f t="shared" si="32"/>
        <v>4</v>
      </c>
      <c r="B177" s="140" t="s">
        <v>108</v>
      </c>
      <c r="C177" s="140" t="s">
        <v>10</v>
      </c>
      <c r="D177" s="139">
        <v>9</v>
      </c>
      <c r="E177" s="143"/>
      <c r="F177" s="143">
        <v>9</v>
      </c>
      <c r="G177" s="143" t="s">
        <v>202</v>
      </c>
      <c r="H177" s="143">
        <v>8</v>
      </c>
      <c r="I177" s="130"/>
      <c r="J177" s="131">
        <f t="shared" si="30"/>
        <v>8</v>
      </c>
      <c r="N177" s="101" t="s">
        <v>231</v>
      </c>
      <c r="O177" s="290" t="s">
        <v>255</v>
      </c>
      <c r="P177" s="290" t="s">
        <v>251</v>
      </c>
      <c r="Q177" s="280" t="s">
        <v>189</v>
      </c>
      <c r="R177" s="213"/>
      <c r="S177" s="213" t="s">
        <v>189</v>
      </c>
      <c r="T177" s="213" t="s">
        <v>198</v>
      </c>
      <c r="U177" s="291">
        <f>((($I$141*$G$141)+($I$142*$G$142)+($I$143*$G$143)+($I$144*$G$144)+($I$145*$G$145))/1000)*$J$120</f>
        <v>29.803999999999998</v>
      </c>
      <c r="V177" s="291">
        <v>100</v>
      </c>
      <c r="W177" s="292">
        <f t="shared" si="31"/>
        <v>1</v>
      </c>
    </row>
    <row r="178" spans="1:23" s="1" customFormat="1" ht="18" customHeight="1">
      <c r="A178" s="201">
        <f t="shared" si="32"/>
        <v>5</v>
      </c>
      <c r="B178" s="140" t="s">
        <v>109</v>
      </c>
      <c r="C178" s="140" t="s">
        <v>68</v>
      </c>
      <c r="D178" s="139">
        <v>9</v>
      </c>
      <c r="E178" s="143"/>
      <c r="F178" s="143">
        <v>9</v>
      </c>
      <c r="G178" s="143" t="s">
        <v>202</v>
      </c>
      <c r="H178" s="143">
        <v>110</v>
      </c>
      <c r="I178" s="130"/>
      <c r="J178" s="131">
        <f t="shared" si="30"/>
        <v>110</v>
      </c>
      <c r="N178" s="101" t="s">
        <v>232</v>
      </c>
      <c r="O178" s="290" t="s">
        <v>256</v>
      </c>
      <c r="P178" s="290" t="s">
        <v>247</v>
      </c>
      <c r="Q178" s="280" t="s">
        <v>233</v>
      </c>
      <c r="R178" s="213"/>
      <c r="S178" s="213" t="s">
        <v>233</v>
      </c>
      <c r="T178" s="213" t="s">
        <v>198</v>
      </c>
      <c r="U178" s="291">
        <f>((($I$141*$G$141)+($I$142*$G$142)+($I$143*$G$143)+($I$144*$G$144)+($I$145*$G$145))/1000)*$J$120</f>
        <v>29.803999999999998</v>
      </c>
      <c r="V178" s="291">
        <v>100</v>
      </c>
      <c r="W178" s="292">
        <f>ROUNDUP((U178)/100,0)</f>
        <v>1</v>
      </c>
    </row>
    <row r="179" spans="1:23" s="1" customFormat="1" ht="18" customHeight="1">
      <c r="A179" s="201">
        <f t="shared" si="32"/>
        <v>6</v>
      </c>
      <c r="B179" s="140" t="s">
        <v>118</v>
      </c>
      <c r="C179" s="140" t="s">
        <v>77</v>
      </c>
      <c r="D179" s="139" t="s">
        <v>80</v>
      </c>
      <c r="E179" s="143"/>
      <c r="F179" s="143" t="s">
        <v>80</v>
      </c>
      <c r="G179" s="143" t="s">
        <v>185</v>
      </c>
      <c r="H179" s="143">
        <v>1</v>
      </c>
      <c r="I179" s="130"/>
      <c r="J179" s="131">
        <f t="shared" si="30"/>
        <v>1</v>
      </c>
    </row>
    <row r="180" spans="1:23" s="1" customFormat="1" ht="18" customHeight="1">
      <c r="A180" s="201">
        <f t="shared" si="32"/>
        <v>7</v>
      </c>
      <c r="B180" s="140" t="s">
        <v>120</v>
      </c>
      <c r="C180" s="140" t="s">
        <v>94</v>
      </c>
      <c r="D180" s="139" t="s">
        <v>96</v>
      </c>
      <c r="E180" s="143"/>
      <c r="F180" s="143" t="s">
        <v>96</v>
      </c>
      <c r="G180" s="143" t="s">
        <v>185</v>
      </c>
      <c r="H180" s="143">
        <v>1</v>
      </c>
      <c r="I180" s="130"/>
      <c r="J180" s="131">
        <f t="shared" si="30"/>
        <v>1</v>
      </c>
    </row>
    <row r="181" spans="1:23" s="1" customFormat="1" ht="18" customHeight="1">
      <c r="A181" s="201">
        <f t="shared" si="32"/>
        <v>8</v>
      </c>
      <c r="B181" s="140" t="s">
        <v>142</v>
      </c>
      <c r="C181" s="140" t="s">
        <v>141</v>
      </c>
      <c r="D181" s="139" t="s">
        <v>81</v>
      </c>
      <c r="E181" s="143"/>
      <c r="F181" s="143" t="s">
        <v>81</v>
      </c>
      <c r="G181" s="143" t="s">
        <v>185</v>
      </c>
      <c r="H181" s="143">
        <v>1</v>
      </c>
      <c r="I181" s="130"/>
      <c r="J181" s="131">
        <f t="shared" si="30"/>
        <v>1</v>
      </c>
    </row>
    <row r="182" spans="1:23" s="1" customFormat="1" ht="18" customHeight="1">
      <c r="A182" s="201">
        <f t="shared" si="32"/>
        <v>9</v>
      </c>
      <c r="B182" s="140" t="s">
        <v>131</v>
      </c>
      <c r="C182" s="140" t="s">
        <v>100</v>
      </c>
      <c r="D182" s="139" t="s">
        <v>102</v>
      </c>
      <c r="E182" s="143"/>
      <c r="F182" s="143" t="s">
        <v>102</v>
      </c>
      <c r="G182" s="143" t="s">
        <v>185</v>
      </c>
      <c r="H182" s="143">
        <v>1</v>
      </c>
      <c r="I182" s="144"/>
      <c r="J182" s="131">
        <f t="shared" si="30"/>
        <v>1</v>
      </c>
    </row>
    <row r="183" spans="1:23" s="1" customFormat="1" ht="18" customHeight="1">
      <c r="A183" s="201">
        <f t="shared" si="32"/>
        <v>10</v>
      </c>
      <c r="B183" s="140" t="s">
        <v>143</v>
      </c>
      <c r="C183" s="140" t="s">
        <v>121</v>
      </c>
      <c r="D183" s="139" t="s">
        <v>103</v>
      </c>
      <c r="E183" s="143"/>
      <c r="F183" s="143" t="s">
        <v>103</v>
      </c>
      <c r="G183" s="143" t="s">
        <v>185</v>
      </c>
      <c r="H183" s="143">
        <v>2</v>
      </c>
      <c r="I183" s="144"/>
      <c r="J183" s="131">
        <f t="shared" si="30"/>
        <v>2</v>
      </c>
      <c r="N183" s="56"/>
      <c r="O183" s="56"/>
      <c r="P183" s="56"/>
      <c r="Q183" s="289"/>
      <c r="R183" s="289"/>
      <c r="S183" s="289"/>
      <c r="T183" s="17"/>
      <c r="U183" s="17"/>
      <c r="V183" s="17"/>
      <c r="W183" s="56"/>
    </row>
    <row r="184" spans="1:23" s="1" customFormat="1" ht="18" customHeight="1">
      <c r="A184" s="201">
        <f t="shared" si="32"/>
        <v>11</v>
      </c>
      <c r="B184" s="140" t="s">
        <v>113</v>
      </c>
      <c r="C184" s="140" t="s">
        <v>502</v>
      </c>
      <c r="D184" s="139" t="s">
        <v>83</v>
      </c>
      <c r="E184" s="143"/>
      <c r="F184" s="143" t="s">
        <v>83</v>
      </c>
      <c r="G184" s="143" t="s">
        <v>185</v>
      </c>
      <c r="H184" s="143">
        <v>2</v>
      </c>
      <c r="I184" s="144"/>
      <c r="J184" s="131">
        <f t="shared" si="30"/>
        <v>2</v>
      </c>
      <c r="N184" s="101" t="s">
        <v>227</v>
      </c>
      <c r="O184" s="246" t="s">
        <v>29</v>
      </c>
      <c r="P184" s="246" t="s">
        <v>3</v>
      </c>
      <c r="Q184" s="246" t="s">
        <v>199</v>
      </c>
      <c r="R184" s="246" t="s">
        <v>5</v>
      </c>
      <c r="S184" s="246" t="s">
        <v>28</v>
      </c>
      <c r="T184" s="246" t="s">
        <v>19</v>
      </c>
      <c r="U184" s="246" t="s">
        <v>200</v>
      </c>
      <c r="V184" s="246" t="s">
        <v>20</v>
      </c>
      <c r="W184" s="246" t="s">
        <v>201</v>
      </c>
    </row>
    <row r="185" spans="1:23" s="1" customFormat="1" ht="18" customHeight="1">
      <c r="A185" s="201">
        <f t="shared" si="32"/>
        <v>12</v>
      </c>
      <c r="B185" s="140" t="s">
        <v>122</v>
      </c>
      <c r="C185" s="140" t="s">
        <v>101</v>
      </c>
      <c r="D185" s="139" t="s">
        <v>104</v>
      </c>
      <c r="E185" s="143"/>
      <c r="F185" s="143" t="s">
        <v>104</v>
      </c>
      <c r="G185" s="143" t="s">
        <v>185</v>
      </c>
      <c r="H185" s="143">
        <v>1</v>
      </c>
      <c r="I185" s="144"/>
      <c r="J185" s="131">
        <f t="shared" si="30"/>
        <v>1</v>
      </c>
      <c r="N185" s="101" t="s">
        <v>240</v>
      </c>
      <c r="O185" s="290" t="s">
        <v>234</v>
      </c>
      <c r="P185" s="290" t="s">
        <v>236</v>
      </c>
      <c r="Q185" s="280" t="s">
        <v>190</v>
      </c>
      <c r="R185" s="213"/>
      <c r="S185" s="213" t="s">
        <v>190</v>
      </c>
      <c r="T185" s="213" t="s">
        <v>198</v>
      </c>
      <c r="U185" s="291">
        <f>((($I$134*$G$134)+($I$136*$G$136)+($I$139*$G$139))/1000)*$J$120</f>
        <v>9.2579999999999991</v>
      </c>
      <c r="V185" s="291">
        <v>300</v>
      </c>
      <c r="W185" s="292">
        <f>ROUNDUP((U185)/V185,0)</f>
        <v>1</v>
      </c>
    </row>
    <row r="186" spans="1:23" s="1" customFormat="1" ht="18" customHeight="1">
      <c r="A186" s="201">
        <f t="shared" si="32"/>
        <v>13</v>
      </c>
      <c r="B186" s="140" t="s">
        <v>112</v>
      </c>
      <c r="C186" s="140" t="s">
        <v>114</v>
      </c>
      <c r="D186" s="128" t="s">
        <v>520</v>
      </c>
      <c r="E186" s="129"/>
      <c r="F186" s="129" t="s">
        <v>520</v>
      </c>
      <c r="G186" s="143" t="s">
        <v>202</v>
      </c>
      <c r="H186" s="143">
        <v>4</v>
      </c>
      <c r="I186" s="130"/>
      <c r="J186" s="131">
        <f t="shared" si="30"/>
        <v>4</v>
      </c>
      <c r="N186" s="101" t="s">
        <v>241</v>
      </c>
      <c r="O186" s="290" t="s">
        <v>235</v>
      </c>
      <c r="P186" s="290" t="s">
        <v>238</v>
      </c>
      <c r="Q186" s="280" t="s">
        <v>71</v>
      </c>
      <c r="R186" s="213"/>
      <c r="S186" s="213" t="s">
        <v>71</v>
      </c>
      <c r="T186" s="213" t="s">
        <v>198</v>
      </c>
      <c r="U186" s="291">
        <f>((($I$134*$G$134)+($I$136*$G$136)+($I$139*$G$139))/1000)*$J$120</f>
        <v>9.2579999999999991</v>
      </c>
      <c r="V186" s="291">
        <v>100</v>
      </c>
      <c r="W186" s="292">
        <f t="shared" ref="W186:W188" si="33">ROUNDUP((U186)/V186,0)</f>
        <v>1</v>
      </c>
    </row>
    <row r="187" spans="1:23" s="1" customFormat="1" ht="18" customHeight="1">
      <c r="A187" s="201">
        <f t="shared" si="32"/>
        <v>14</v>
      </c>
      <c r="B187" s="140" t="s">
        <v>115</v>
      </c>
      <c r="C187" s="140" t="s">
        <v>45</v>
      </c>
      <c r="D187" s="139" t="s">
        <v>84</v>
      </c>
      <c r="E187" s="143"/>
      <c r="F187" s="143" t="s">
        <v>84</v>
      </c>
      <c r="G187" s="143" t="s">
        <v>202</v>
      </c>
      <c r="H187" s="143">
        <v>1</v>
      </c>
      <c r="I187" s="130"/>
      <c r="J187" s="131">
        <f t="shared" si="30"/>
        <v>1</v>
      </c>
      <c r="N187" s="101" t="s">
        <v>240</v>
      </c>
      <c r="O187" s="290" t="s">
        <v>245</v>
      </c>
      <c r="P187" s="290" t="s">
        <v>237</v>
      </c>
      <c r="Q187" s="280" t="s">
        <v>72</v>
      </c>
      <c r="R187" s="213"/>
      <c r="S187" s="213" t="s">
        <v>72</v>
      </c>
      <c r="T187" s="213" t="s">
        <v>198</v>
      </c>
      <c r="U187" s="291">
        <f>((($I$141*$G$141*2)+($I$143*$G$143*2)+($I$144*$G$144))/1000)*$J$120</f>
        <v>44.252000000000002</v>
      </c>
      <c r="V187" s="291">
        <v>350</v>
      </c>
      <c r="W187" s="292">
        <f t="shared" si="33"/>
        <v>1</v>
      </c>
    </row>
    <row r="188" spans="1:23" s="1" customFormat="1" ht="18" customHeight="1">
      <c r="A188" s="201">
        <f t="shared" si="32"/>
        <v>15</v>
      </c>
      <c r="B188" s="140" t="s">
        <v>110</v>
      </c>
      <c r="C188" s="140" t="s">
        <v>66</v>
      </c>
      <c r="D188" s="139" t="s">
        <v>73</v>
      </c>
      <c r="E188" s="143"/>
      <c r="F188" s="143" t="s">
        <v>73</v>
      </c>
      <c r="G188" s="143" t="s">
        <v>202</v>
      </c>
      <c r="H188" s="143">
        <v>2</v>
      </c>
      <c r="I188" s="130"/>
      <c r="J188" s="131">
        <f t="shared" si="30"/>
        <v>2</v>
      </c>
      <c r="N188" s="101" t="s">
        <v>241</v>
      </c>
      <c r="O188" s="290" t="s">
        <v>246</v>
      </c>
      <c r="P188" s="290" t="s">
        <v>239</v>
      </c>
      <c r="Q188" s="280" t="s">
        <v>193</v>
      </c>
      <c r="R188" s="213"/>
      <c r="S188" s="213" t="s">
        <v>193</v>
      </c>
      <c r="T188" s="213" t="s">
        <v>198</v>
      </c>
      <c r="U188" s="291">
        <f>((($I$141*$G$141*2)+($I$143*$G$143*2)+($I$144*$G$144))/1000)*$J$120</f>
        <v>44.252000000000002</v>
      </c>
      <c r="V188" s="291">
        <v>100</v>
      </c>
      <c r="W188" s="292">
        <f t="shared" si="33"/>
        <v>1</v>
      </c>
    </row>
    <row r="189" spans="1:23" s="1" customFormat="1" ht="18" customHeight="1">
      <c r="A189" s="201">
        <f t="shared" si="32"/>
        <v>16</v>
      </c>
      <c r="B189" s="140" t="s">
        <v>512</v>
      </c>
      <c r="C189" s="140" t="s">
        <v>135</v>
      </c>
      <c r="D189" s="139" t="s">
        <v>137</v>
      </c>
      <c r="E189" s="143"/>
      <c r="F189" s="143" t="s">
        <v>137</v>
      </c>
      <c r="G189" s="143" t="s">
        <v>198</v>
      </c>
      <c r="H189" s="261">
        <f>((($I$148*$G$148)+($I$149*$G$149))/1000)*$J$120</f>
        <v>4.8159999999999998</v>
      </c>
      <c r="I189" s="258">
        <v>100</v>
      </c>
      <c r="J189" s="267">
        <f>ROUNDUP((H189)/100,0)</f>
        <v>1</v>
      </c>
    </row>
    <row r="190" spans="1:23" s="1" customFormat="1" ht="18" customHeight="1">
      <c r="A190" s="201">
        <f t="shared" si="32"/>
        <v>17</v>
      </c>
      <c r="B190" s="140" t="s">
        <v>513</v>
      </c>
      <c r="C190" s="140" t="s">
        <v>136</v>
      </c>
      <c r="D190" s="139" t="s">
        <v>138</v>
      </c>
      <c r="E190" s="143"/>
      <c r="F190" s="143" t="s">
        <v>138</v>
      </c>
      <c r="G190" s="143" t="s">
        <v>198</v>
      </c>
      <c r="H190" s="261">
        <f>((($I$145*$G$145*2))/1000)*$J$120</f>
        <v>4.8159999999999998</v>
      </c>
      <c r="I190" s="258">
        <v>100</v>
      </c>
      <c r="J190" s="267">
        <f>ROUNDUP((H190)/100,0)</f>
        <v>1</v>
      </c>
    </row>
    <row r="191" spans="1:23" s="1" customFormat="1" ht="18" customHeight="1">
      <c r="A191" s="201">
        <f t="shared" si="32"/>
        <v>18</v>
      </c>
      <c r="B191" s="139" t="str">
        <f>IF($D$129="Standard",$O$185,IF($D$129="Soumdproof",$O$186,))</f>
        <v>ยางเฟรมกันน้ำ (ธรรมดา)</v>
      </c>
      <c r="C191" s="139" t="str">
        <f>IF($D$129="Standard",$P$185,IF($D$129="Soumdproof",$P$186,))</f>
        <v>FRAME SEAL (Standard)</v>
      </c>
      <c r="D191" s="139" t="str">
        <f>IF($D$129="Standard",$Q$185,IF($D$129="Soumdproof",$Q$186,))</f>
        <v>02-026</v>
      </c>
      <c r="E191" s="143">
        <f>IF($D$129="Standard",R189,IF($D$129="Soumdproof",R190,))</f>
        <v>0</v>
      </c>
      <c r="F191" s="143" t="str">
        <f>IF($D$129="Standard",$S$185,IF($D$129="Soumdproof",$S$186,))</f>
        <v>02-026</v>
      </c>
      <c r="G191" s="143" t="str">
        <f>IF($D$129="Standard",$T$185,IF($D$129="Soumdproof",$T$186,))</f>
        <v>M</v>
      </c>
      <c r="H191" s="261">
        <f>IF($D$129="Standard",$U$185,IF($D$129="Soumdproof",$U$186,))</f>
        <v>9.2579999999999991</v>
      </c>
      <c r="I191" s="258">
        <f>IF($D$129="Standard",$V$185,IF($D$129="Soumdproof",$V$186,))</f>
        <v>300</v>
      </c>
      <c r="J191" s="267">
        <f>ROUNDUP((H191)/100,0)</f>
        <v>1</v>
      </c>
    </row>
    <row r="192" spans="1:23" s="1" customFormat="1" ht="18" customHeight="1">
      <c r="A192" s="201">
        <f t="shared" si="32"/>
        <v>19</v>
      </c>
      <c r="B192" s="139" t="str">
        <f>IF($D$129="Standard",$O$187,IF($D$129="Soumdproof",$O$188,))</f>
        <v>ยางแซชกันน้ำ (ธรรมดา)</v>
      </c>
      <c r="C192" s="139" t="str">
        <f>IF($D$129="Standard",$P$187,IF($D$129="Soumdproof",$P$188,))</f>
        <v>SASH SEAL FOAM (Standard)</v>
      </c>
      <c r="D192" s="139" t="str">
        <f>IF($D$129="Standard",$Q$187,IF($D$129="Soumdproof",$Q$188,))</f>
        <v>02-031</v>
      </c>
      <c r="E192" s="143">
        <f>IF($D$129="Standard",R191,IF($D$129="Soumdproof",R192,))</f>
        <v>0</v>
      </c>
      <c r="F192" s="143" t="str">
        <f>IF($D$129="Standard",$S$187,IF($D$129="Soumdproof",$S$188,))</f>
        <v>02-031</v>
      </c>
      <c r="G192" s="143" t="str">
        <f>IF($D$129="Standard",$T$187,IF($D$129="Soumdproof",$T$188,))</f>
        <v>M</v>
      </c>
      <c r="H192" s="261">
        <f>IF($D$129="Standard",$U$187,IF($D$129="Soumdproof",$U$188,))</f>
        <v>44.252000000000002</v>
      </c>
      <c r="I192" s="258">
        <f>IF($D$129="Standard",$V$187,IF($D$129="Soumdproof",$V$188,))</f>
        <v>350</v>
      </c>
      <c r="J192" s="267">
        <f>ROUNDUP((H192)/100,0)</f>
        <v>1</v>
      </c>
    </row>
    <row r="193" spans="1:23" s="1" customFormat="1" ht="18" customHeight="1">
      <c r="A193" s="201">
        <f t="shared" si="32"/>
        <v>20</v>
      </c>
      <c r="B193" s="241" t="str">
        <f>IF($D$127=5,$O$176,IF($D$127=6,$O$177,IF($D$127=8,$O$178,IF($D$127=10,$O$176,IF($D$127=12,$O$176,IF($D$127=14,$O$178,IF($D$127=18,$O$176,IF($D$127=20,$O$177,IF($D$127=22,"")))))))))</f>
        <v>6,20 mm ยางอัดกระจก</v>
      </c>
      <c r="C193" s="241" t="str">
        <f>IF($D$127=5,$P$176,IF($D$127=6,$P$177,IF($D$127=8,$P$178,IF($D$127=10,$P$176,IF($D$127=12,$P$176,IF($D$127=14,$P$178,IF($D$127=18,$P$176,IF($D$127=20,$P$177,IF($D$127=22,"")))))))))</f>
        <v>6,20 mm ROLL IN WEDGE</v>
      </c>
      <c r="D193" s="241" t="str">
        <f>IF($D$127=5,$Q$176,IF($D$127=6,$Q$177,IF($D$127=8,$Q$178,IF($D$127=10,$Q$176,IF($D$127=12,$Q$176,IF($D$127=14,$Q$178,IF($D$127=18,$Q$176,IF($D$127=20,$Q$177,IF($D$127=22,"")))))))))</f>
        <v>02-034</v>
      </c>
      <c r="E193" s="241">
        <f>IF($D$127=5,R180,IF($D$127=6,R181,IF($D$127=8,R182,IF($D$127=10,R180,IF($D$127=12,R180,IF($D$127=14,R182,IF($D$127=18,R180,IF($D$127=20,R181,IF($D$127=22,"",)))))))))</f>
        <v>0</v>
      </c>
      <c r="F193" s="242" t="str">
        <f>IF($D$127=5,$S$176,IF($D$127=6,$S$177,IF($D$127=8,$S$178,IF($D$127=10,$S$176,IF($D$127=12,$S$176,IF($D$127=14,$S$178,IF($D$127=18,$S$176,IF($D$127=20,$S$177,IF($D$127=22,"")))))))))</f>
        <v>02-034</v>
      </c>
      <c r="G193" s="242" t="str">
        <f>IF($D$127=5,$T$176,IF($D$127=6,$T$177,IF($D$127=8,$T$178,IF($D$127=10,$T$176,IF($D$127=12,$T$176,IF($D$127=14,$T$178,IF($D$127=18,$T$176,IF($D$127=20,$T$177,IF($D$127=22,"")))))))))</f>
        <v>M</v>
      </c>
      <c r="H193" s="261">
        <f>IF($D$127=5,$U$176,IF($D$127=6,$U$177,IF($D$127=8,$U$178,IF($D$127=10,$U$176*2,IF($D$127=12,$U$176,IF($D$127=14,$U$178*2,IF($D$127=18,$U$176,IF($D$127=20,$U$177,IF($D$127=22,"")))))))))</f>
        <v>29.803999999999998</v>
      </c>
      <c r="I193" s="258">
        <f>IF($D$127=5,$V$176,IF($D$127=6,$V$177,IF($D$127=8,$V$178,IF($D$127=10,$V$176,IF($D$127=12,$V$176,IF($D$127=14,$V$178,IF($D$127=18,$V$176,IF($D$127=20,$V$177,IF($D$127=22,"")))))))))</f>
        <v>100</v>
      </c>
      <c r="J193" s="267">
        <f>ROUNDUP((H193)/100,0)</f>
        <v>1</v>
      </c>
    </row>
    <row r="194" spans="1:23" ht="18" customHeight="1">
      <c r="A194" s="201">
        <f t="shared" si="32"/>
        <v>21</v>
      </c>
      <c r="B194" s="241" t="str">
        <f>IF($D$127=5,$O$174,IF($D$127=6,$O$174,IF($D$127=8,$O$176,IF($D$127=10,"",IF($D$127=12,$O$175,IF($D$127=14,"",IF($D$127=18,$O$174,IF($D$127=20,$O$175,IF($D$127=22,"",)))))))))</f>
        <v>5,6,18 mm ยางรองกระจก</v>
      </c>
      <c r="C194" s="241" t="str">
        <f>IF($D$127=5,$P$174,IF($D$127=6,$P$174,IF($D$127=8,$P$176,IF($D$127=10,"",IF($D$127=12,$P$175,IF($D$127=14,"",IF($D$127=18,$P$174,IF($D$127=20,$P$175,IF($D$127=22,"",)))))))))</f>
        <v>5,6,18 mm CAPTIVE WEDGE</v>
      </c>
      <c r="D194" s="241" t="str">
        <f>IF($D$127=5,$Q$174,IF($D$127=6,$Q$174,IF($D$127=8,$Q$176,IF($D$127=10,"",IF($D$127=12,$Q$175,IF($D$127=14,"",IF($D$127=18,$Q$174,IF($D$127=20,$Q$175,IF($D$127=22,"",)))))))))</f>
        <v>02-022</v>
      </c>
      <c r="E194" s="241">
        <f>IF($D$127=5,R178,IF($D$127=6,R178,IF($D$127=8,R180,IF($D$127=10,"",IF($D$127=12,R179,IF($D$127=14,"",IF($D$127=18,R178,IF($D$127=20,R179,IF($D$127=22,"",)))))))))</f>
        <v>0</v>
      </c>
      <c r="F194" s="242" t="str">
        <f>IF($D$127=5,$S$174,IF($D$127=6,$S$174,IF($D$127=8,$S$176,IF($D$127=10,"",IF($D$127=12,$S$175,IF($D$127=14,"",IF($D$127=18,$S$174,IF($D$127=20,$S$175,IF($D$127=22,"",)))))))))</f>
        <v>02-022</v>
      </c>
      <c r="G194" s="242" t="str">
        <f>IF($D$127=5,$T$174,IF($D$127=6,$T$174,IF($D$127=8,$T$176,IF($D$127=10,"",IF($D$127=12,$T$175,IF($D$127=14,"",IF($D$127=18,$T$174,IF($D$127=20,$T$175,IF($D$127=22,"",)))))))))</f>
        <v>M</v>
      </c>
      <c r="H194" s="261">
        <f>IF($D$127=5,$U$174,IF($D$127=6,$U$174,IF($D$127=8,$U$176,IF($D$127=10,"",IF($D$127=12,$U$175,IF($D$127=14,"",IF($D$127=18,$U$174,IF($D$127=20,$U$175,IF($D$127=22,"")))))))))</f>
        <v>29.803999999999998</v>
      </c>
      <c r="I194" s="258">
        <f>IF($D$127=5,$V$174,IF($D$127=6,$V$174,IF($D$127=8,$V$176,IF($D$127=10,"",IF($D$127=12,$V$175,IF($D$127=14,"",IF($D$127=18,$V$174,IF($D$127=20,$V$175,IF($D$127=22,"",)))))))))</f>
        <v>100</v>
      </c>
      <c r="J194" s="267">
        <f t="shared" ref="J194" si="34">ROUNDUP((H194)/100,0)</f>
        <v>1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s="1" customFormat="1" ht="18" customHeight="1">
      <c r="A195" s="201" t="str">
        <f t="shared" si="32"/>
        <v/>
      </c>
      <c r="B195" s="140"/>
      <c r="C195" s="140"/>
      <c r="D195" s="139"/>
      <c r="E195" s="143"/>
      <c r="F195" s="143"/>
      <c r="G195" s="143"/>
      <c r="H195" s="143"/>
      <c r="I195" s="130"/>
      <c r="J195" s="131">
        <f t="shared" si="30"/>
        <v>0</v>
      </c>
    </row>
    <row r="196" spans="1:23" s="1" customFormat="1" ht="18" customHeight="1">
      <c r="A196" s="201" t="str">
        <f t="shared" si="32"/>
        <v/>
      </c>
      <c r="B196" s="140"/>
      <c r="C196" s="140"/>
      <c r="D196" s="139"/>
      <c r="E196" s="143"/>
      <c r="F196" s="143"/>
      <c r="G196" s="143"/>
      <c r="H196" s="143"/>
      <c r="I196" s="130"/>
      <c r="J196" s="131">
        <f t="shared" ref="J196:J197" si="35">$J$120*G196</f>
        <v>0</v>
      </c>
    </row>
    <row r="197" spans="1:23" s="1" customFormat="1" ht="18" customHeight="1">
      <c r="A197" s="201" t="str">
        <f t="shared" si="32"/>
        <v/>
      </c>
      <c r="B197" s="140"/>
      <c r="C197" s="140"/>
      <c r="D197" s="139"/>
      <c r="E197" s="143"/>
      <c r="F197" s="143"/>
      <c r="G197" s="143"/>
      <c r="H197" s="143"/>
      <c r="I197" s="130"/>
      <c r="J197" s="131">
        <f t="shared" si="35"/>
        <v>0</v>
      </c>
    </row>
    <row r="198" spans="1:23" s="1" customFormat="1" ht="18" customHeight="1">
      <c r="A198" s="201" t="str">
        <f t="shared" si="32"/>
        <v/>
      </c>
      <c r="B198" s="140"/>
      <c r="C198" s="140"/>
      <c r="D198" s="139"/>
      <c r="E198" s="143"/>
      <c r="F198" s="143"/>
      <c r="G198" s="143"/>
      <c r="H198" s="143"/>
      <c r="I198" s="130"/>
      <c r="J198" s="131">
        <f t="shared" ref="J198:J205" si="36">$J$120*G198</f>
        <v>0</v>
      </c>
    </row>
    <row r="199" spans="1:23" s="1" customFormat="1" ht="18" customHeight="1">
      <c r="A199" s="201" t="str">
        <f t="shared" si="32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 t="shared" si="36"/>
        <v>0</v>
      </c>
    </row>
    <row r="200" spans="1:23" s="1" customFormat="1" ht="18" customHeight="1">
      <c r="A200" s="201" t="str">
        <f t="shared" si="32"/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si="36"/>
        <v>0</v>
      </c>
    </row>
    <row r="201" spans="1:23" s="1" customFormat="1" ht="18" customHeight="1">
      <c r="A201" s="201" t="str">
        <f t="shared" si="32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si="36"/>
        <v>0</v>
      </c>
    </row>
    <row r="202" spans="1:23" s="1" customFormat="1" ht="18" customHeight="1">
      <c r="A202" s="201" t="str">
        <f t="shared" si="32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si="36"/>
        <v>0</v>
      </c>
    </row>
    <row r="203" spans="1:23" s="1" customFormat="1" ht="18" customHeight="1">
      <c r="A203" s="201" t="str">
        <f t="shared" si="32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si="36"/>
        <v>0</v>
      </c>
    </row>
    <row r="204" spans="1:23" s="1" customFormat="1" ht="18" customHeight="1">
      <c r="A204" s="201" t="str">
        <f t="shared" si="32"/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 t="shared" si="36"/>
        <v>0</v>
      </c>
    </row>
    <row r="205" spans="1:23" s="1" customFormat="1" ht="18" customHeight="1">
      <c r="A205" s="317" t="str">
        <f>IF(B205="","",+A204+1)</f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 t="shared" si="36"/>
        <v>0</v>
      </c>
    </row>
    <row r="206" spans="1:23" s="1" customFormat="1" ht="18" customHeight="1">
      <c r="A206" s="25"/>
      <c r="B206" s="161"/>
      <c r="C206" s="33"/>
      <c r="D206" s="30"/>
      <c r="E206" s="17"/>
      <c r="F206" s="30"/>
      <c r="G206" s="30"/>
      <c r="H206" s="161"/>
      <c r="I206" s="24"/>
      <c r="J206" s="24"/>
    </row>
    <row r="207" spans="1:23" ht="18" customHeight="1">
      <c r="A207" s="17"/>
      <c r="J207" s="99" t="str">
        <f>LEFT($J$111,13)&amp;"-02"</f>
        <v>FG-240-5P4L1R-02</v>
      </c>
    </row>
    <row r="208" spans="1:23" ht="12.75" customHeight="1">
      <c r="B208" s="56"/>
      <c r="C208" s="56"/>
      <c r="D208" s="30"/>
      <c r="E208" s="17"/>
      <c r="F208" s="17"/>
      <c r="G208" s="17"/>
      <c r="H208" s="17"/>
      <c r="K208" s="7"/>
      <c r="L208" s="7"/>
      <c r="M208" s="2"/>
      <c r="N208" s="2"/>
    </row>
    <row r="209" spans="1:14" ht="30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205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205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/>
      <c r="C215"/>
      <c r="D215" s="81"/>
      <c r="E215"/>
      <c r="F215"/>
      <c r="G215"/>
      <c r="H215"/>
      <c r="I215" s="160"/>
      <c r="J215" s="116"/>
    </row>
    <row r="216" spans="1:14" s="1" customFormat="1" ht="15" customHeight="1">
      <c r="A216" s="17"/>
      <c r="B216" s="93"/>
      <c r="C216" s="56"/>
      <c r="D216" s="30"/>
      <c r="E216" s="29"/>
      <c r="F216" s="160"/>
      <c r="G216" s="160"/>
      <c r="H216" s="16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s="1" customFormat="1" ht="15.6">
      <c r="A218" s="109"/>
      <c r="B218" s="33"/>
      <c r="C218" s="327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368</v>
      </c>
      <c r="D220" s="30"/>
      <c r="E220" s="29"/>
      <c r="F220" s="30"/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89"/>
      <c r="J221" s="12"/>
    </row>
    <row r="222" spans="1:14" s="1" customFormat="1" ht="15" customHeight="1">
      <c r="A222" s="109"/>
      <c r="B222" s="33"/>
      <c r="C222" s="327" t="s">
        <v>273</v>
      </c>
      <c r="D222" s="161"/>
      <c r="E222" s="109"/>
      <c r="F222" s="161"/>
      <c r="J222" s="12"/>
    </row>
    <row r="223" spans="1:14" s="1" customFormat="1" ht="15" customHeight="1">
      <c r="A223" s="109"/>
      <c r="B223" s="33"/>
      <c r="C223" s="374">
        <f>$I$133</f>
        <v>3440</v>
      </c>
      <c r="D223" s="161"/>
      <c r="E223" s="35"/>
      <c r="F223" s="161"/>
      <c r="G223" s="68"/>
      <c r="J223" s="12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326"/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326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327"/>
      <c r="D229" s="161"/>
      <c r="E229" s="109"/>
      <c r="F229" s="161"/>
      <c r="H229" s="109"/>
      <c r="I229" s="203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203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203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203"/>
      <c r="J232" s="117"/>
    </row>
    <row r="233" spans="1:10" s="1" customFormat="1" ht="15.9" customHeight="1">
      <c r="A233" s="44"/>
      <c r="B233" s="44"/>
      <c r="C233" s="89" t="s">
        <v>369</v>
      </c>
      <c r="D233" s="84"/>
      <c r="E233" s="44"/>
      <c r="F233" s="44"/>
      <c r="G233" s="109"/>
      <c r="H233" s="109"/>
      <c r="I233" s="203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3414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203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03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109"/>
      <c r="J242" s="24"/>
    </row>
    <row r="243" spans="1:10" s="1" customFormat="1" ht="15.9" customHeight="1">
      <c r="A243" s="109"/>
      <c r="B243" s="33"/>
      <c r="C243" s="89" t="s">
        <v>370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.9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" customHeight="1">
      <c r="A245" s="109"/>
      <c r="B245" s="33"/>
      <c r="C245" s="327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3440</v>
      </c>
      <c r="D246" s="161"/>
      <c r="E246" s="109"/>
      <c r="F246" s="161"/>
      <c r="G246" s="109"/>
      <c r="H246" s="109"/>
      <c r="I246" s="44"/>
      <c r="J246" s="119"/>
    </row>
    <row r="247" spans="1:10" s="1" customFormat="1" ht="15.9" customHeight="1">
      <c r="A247" s="109"/>
      <c r="B247" s="33"/>
      <c r="C247" s="363">
        <f>$J$135</f>
        <v>1</v>
      </c>
      <c r="D247" s="161"/>
      <c r="E247" s="109"/>
      <c r="F247" s="161"/>
      <c r="G247" s="109"/>
      <c r="H247" s="109"/>
      <c r="I247" s="32"/>
      <c r="J247" s="40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0"/>
      <c r="H251" s="109"/>
      <c r="I251" s="24"/>
      <c r="J251" s="24"/>
    </row>
    <row r="252" spans="1:10" s="1" customFormat="1" ht="15.9" customHeight="1">
      <c r="A252" s="109"/>
      <c r="B252" s="33"/>
      <c r="D252" s="161"/>
      <c r="E252" s="109"/>
      <c r="F252" s="109"/>
      <c r="G252" s="109"/>
      <c r="H252" s="109"/>
      <c r="I252" s="24"/>
      <c r="J252" s="24"/>
    </row>
    <row r="253" spans="1:10" s="1" customFormat="1" ht="15.9" customHeight="1">
      <c r="A253" s="44"/>
      <c r="B253" s="44"/>
      <c r="D253" s="84"/>
      <c r="E253" s="44"/>
      <c r="F253" s="44"/>
      <c r="G253" s="109"/>
      <c r="H253" s="109"/>
      <c r="I253" s="24"/>
      <c r="J253" s="24"/>
    </row>
    <row r="254" spans="1:10" s="1" customFormat="1" ht="15.9" customHeight="1">
      <c r="A254" s="40"/>
      <c r="B254" s="40"/>
      <c r="C254" s="89" t="s">
        <v>371</v>
      </c>
      <c r="D254" s="85"/>
      <c r="E254" s="40"/>
      <c r="F254" s="32"/>
      <c r="G254" s="109"/>
      <c r="I254" s="24"/>
      <c r="J254" s="24"/>
    </row>
    <row r="255" spans="1:10" s="1" customFormat="1" ht="15.9" customHeight="1">
      <c r="A255" s="27"/>
      <c r="B255" s="33"/>
      <c r="C255" s="328" t="s">
        <v>275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27" t="s">
        <v>273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74">
        <f>$I$136</f>
        <v>3440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63">
        <f>$J$136</f>
        <v>1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46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161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89" t="s">
        <v>373</v>
      </c>
      <c r="D264" s="161"/>
      <c r="E264" s="109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8" t="s">
        <v>372</v>
      </c>
      <c r="D265" s="328"/>
      <c r="E265" s="328"/>
      <c r="F265" s="109"/>
      <c r="G265" s="109"/>
      <c r="H265" s="109"/>
      <c r="I265" s="24"/>
      <c r="J265" s="24"/>
    </row>
    <row r="266" spans="1:10" s="1" customFormat="1" ht="15.9" customHeight="1">
      <c r="A266" s="27"/>
      <c r="B266" s="33"/>
      <c r="C266" s="327" t="s">
        <v>279</v>
      </c>
      <c r="D266" s="327"/>
      <c r="E266" s="327"/>
      <c r="F266" s="109"/>
      <c r="G266" s="109"/>
      <c r="H266" s="109"/>
      <c r="J266" s="12"/>
    </row>
    <row r="267" spans="1:10" s="1" customFormat="1" ht="15.9" customHeight="1">
      <c r="A267" s="27"/>
      <c r="B267" s="33"/>
      <c r="C267" s="374">
        <f>$I$137</f>
        <v>2500</v>
      </c>
      <c r="D267" s="161"/>
      <c r="E267" s="109"/>
      <c r="F267" s="109"/>
      <c r="G267" s="33"/>
      <c r="H267" s="33"/>
      <c r="J267" s="12"/>
    </row>
    <row r="268" spans="1:10" s="1" customFormat="1" ht="15.9" customHeight="1">
      <c r="A268" s="27"/>
      <c r="B268" s="33"/>
      <c r="C268" s="363">
        <f>$J$137+$J$138</f>
        <v>2</v>
      </c>
      <c r="D268" s="161"/>
      <c r="E268" s="10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B271" s="33"/>
      <c r="D271" s="89"/>
      <c r="E271" s="89"/>
      <c r="F271" s="109"/>
      <c r="G271" s="109"/>
      <c r="H271" s="109"/>
      <c r="J271" s="12"/>
    </row>
    <row r="272" spans="1:10" s="1" customFormat="1" ht="15.9" customHeight="1">
      <c r="A272" s="27"/>
      <c r="D272" s="328"/>
      <c r="E272" s="328"/>
      <c r="F272" s="109"/>
      <c r="G272" s="109"/>
      <c r="H272" s="109"/>
      <c r="J272" s="12"/>
    </row>
    <row r="273" spans="1:10" s="1" customFormat="1" ht="15.9" customHeight="1">
      <c r="A273" s="27"/>
      <c r="B273" s="33"/>
      <c r="D273" s="328"/>
      <c r="E273" s="328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33"/>
      <c r="D274" s="161"/>
      <c r="E274" s="109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89" t="s">
        <v>374</v>
      </c>
      <c r="D275" s="162"/>
      <c r="E275" s="24"/>
      <c r="F275" s="109"/>
      <c r="G275" s="109"/>
      <c r="I275" s="24"/>
      <c r="J275" s="24"/>
    </row>
    <row r="276" spans="1:10" s="1" customFormat="1" ht="15.9" customHeight="1">
      <c r="A276" s="27"/>
      <c r="B276" s="33"/>
      <c r="C276" s="328" t="s">
        <v>649</v>
      </c>
      <c r="D276" s="328"/>
      <c r="E276" s="328"/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433" t="s">
        <v>650</v>
      </c>
      <c r="D277" s="327"/>
      <c r="E277" s="327"/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374">
        <f>$I$139</f>
        <v>2404</v>
      </c>
      <c r="F278" s="109"/>
      <c r="G278" s="109"/>
      <c r="I278" s="109"/>
      <c r="J278" s="24"/>
    </row>
    <row r="279" spans="1:10" s="1" customFormat="1" ht="15.9" customHeight="1">
      <c r="A279" s="27"/>
      <c r="B279" s="33"/>
      <c r="C279" s="363">
        <f>$J$139+$J$140</f>
        <v>2</v>
      </c>
      <c r="F279" s="109"/>
      <c r="G279" s="109"/>
      <c r="I279" s="109"/>
      <c r="J279" s="24"/>
    </row>
    <row r="280" spans="1:10" s="1" customFormat="1" ht="15.9" customHeight="1">
      <c r="A280" s="27"/>
      <c r="B280" s="33"/>
      <c r="F280" s="109"/>
      <c r="G280" s="109"/>
      <c r="H280" s="109"/>
      <c r="J280" s="12"/>
    </row>
    <row r="281" spans="1:10" s="1" customFormat="1" ht="15.9" customHeight="1">
      <c r="A281" s="27"/>
      <c r="B281" s="33"/>
      <c r="C281" s="33"/>
      <c r="D281" s="161"/>
      <c r="E281" s="109"/>
      <c r="F281" s="109"/>
      <c r="G281" s="109"/>
      <c r="H281" s="109"/>
      <c r="J281" s="12"/>
    </row>
    <row r="282" spans="1:10" s="1" customFormat="1" ht="15.9" customHeight="1">
      <c r="A282" s="27"/>
      <c r="B282" s="33"/>
      <c r="F282" s="109"/>
      <c r="G282" s="109"/>
      <c r="H282" s="109"/>
      <c r="J282" s="12"/>
    </row>
    <row r="283" spans="1:10" s="1" customFormat="1" ht="15.9" customHeight="1">
      <c r="A283" s="27"/>
      <c r="B283" s="33"/>
      <c r="F283" s="109"/>
      <c r="G283" s="109"/>
      <c r="H283" s="109"/>
      <c r="I283" s="162"/>
      <c r="J283" s="24"/>
    </row>
    <row r="284" spans="1:10" s="1" customFormat="1" ht="15.9" customHeight="1">
      <c r="A284" s="27"/>
      <c r="B284" s="33"/>
      <c r="C284" s="89" t="s">
        <v>375</v>
      </c>
      <c r="F284" s="109"/>
      <c r="G284" s="109"/>
      <c r="H284" s="109"/>
      <c r="I284" s="109"/>
      <c r="J284" s="24"/>
    </row>
    <row r="285" spans="1:10" s="1" customFormat="1" ht="15.9" customHeight="1">
      <c r="A285" s="27"/>
      <c r="B285" s="33"/>
      <c r="C285" s="94" t="s">
        <v>455</v>
      </c>
      <c r="D285" s="161"/>
      <c r="E285" s="109"/>
      <c r="F285" s="109"/>
      <c r="G285" s="109"/>
      <c r="H285" s="109"/>
      <c r="I285" s="24"/>
      <c r="J285" s="24"/>
    </row>
    <row r="286" spans="1:10" s="1" customFormat="1" ht="15.9" customHeight="1">
      <c r="A286" s="27"/>
      <c r="B286" s="33"/>
      <c r="C286" s="327" t="s">
        <v>456</v>
      </c>
      <c r="D286" s="161"/>
      <c r="E286" s="109"/>
      <c r="F286" s="109"/>
      <c r="G286" s="109"/>
      <c r="H286" s="109"/>
      <c r="I286" s="24"/>
      <c r="J286" s="24"/>
    </row>
    <row r="287" spans="1:10" s="1" customFormat="1" ht="15.9" customHeight="1">
      <c r="A287" s="27"/>
      <c r="B287" s="33"/>
      <c r="C287" s="328" t="s">
        <v>281</v>
      </c>
      <c r="D287" s="328"/>
      <c r="E287" s="328"/>
      <c r="F287" s="109"/>
      <c r="G287" s="109"/>
      <c r="I287" s="24"/>
      <c r="J287" s="24"/>
    </row>
    <row r="288" spans="1:10" s="23" customFormat="1" ht="15.9" customHeight="1">
      <c r="A288" s="27"/>
      <c r="B288" s="33"/>
      <c r="C288" s="327" t="s">
        <v>282</v>
      </c>
      <c r="D288" s="327"/>
      <c r="E288" s="327"/>
      <c r="F288" s="109"/>
      <c r="G288" s="109"/>
      <c r="H288" s="1"/>
      <c r="I288" s="109"/>
      <c r="J288" s="109"/>
    </row>
    <row r="289" spans="1:10" s="1" customFormat="1" ht="15.9" customHeight="1">
      <c r="A289" s="27"/>
      <c r="B289" s="33"/>
      <c r="C289" s="374">
        <f>$I$141</f>
        <v>572.4</v>
      </c>
      <c r="F289" s="109"/>
      <c r="G289" s="109"/>
      <c r="I289" s="44"/>
      <c r="J289" s="119"/>
    </row>
    <row r="290" spans="1:10" s="1" customFormat="1" ht="15.9" customHeight="1">
      <c r="A290" s="27"/>
      <c r="B290" s="33"/>
      <c r="C290" s="363">
        <f>$J$141+$J$142</f>
        <v>10</v>
      </c>
      <c r="D290" s="161"/>
      <c r="E290" s="109"/>
      <c r="F290" s="109"/>
      <c r="G290" s="109"/>
      <c r="H290" s="161"/>
      <c r="I290" s="32"/>
      <c r="J290" s="40"/>
    </row>
    <row r="291" spans="1:10" s="1" customFormat="1" ht="15.9" customHeight="1">
      <c r="A291" s="27"/>
      <c r="B291" s="33"/>
      <c r="C291" s="374">
        <f>$I$143</f>
        <v>2408</v>
      </c>
      <c r="D291" s="161"/>
      <c r="E291" s="109"/>
      <c r="F291" s="109"/>
      <c r="G291" s="109"/>
      <c r="H291" s="109"/>
      <c r="I291" s="24"/>
      <c r="J291" s="24"/>
    </row>
    <row r="292" spans="1:10" s="1" customFormat="1" ht="15.9" customHeight="1">
      <c r="A292" s="27"/>
      <c r="B292" s="33"/>
      <c r="C292" s="363">
        <f>$J$143+$J$144+$J$145</f>
        <v>10</v>
      </c>
      <c r="D292" s="161"/>
      <c r="E292" s="109"/>
      <c r="F292" s="109"/>
      <c r="G292" s="109"/>
      <c r="H292" s="109"/>
      <c r="I292" s="24"/>
      <c r="J292" s="24"/>
    </row>
    <row r="293" spans="1:10" s="1" customFormat="1" ht="15.9" customHeight="1">
      <c r="A293" s="27"/>
      <c r="B293" s="33"/>
      <c r="D293" s="161"/>
      <c r="E293" s="109"/>
      <c r="F293" s="109"/>
      <c r="G293" s="109"/>
      <c r="H293" s="109"/>
      <c r="I293" s="24"/>
      <c r="J293" s="24"/>
    </row>
    <row r="294" spans="1:10" s="1" customFormat="1" ht="15.9" customHeight="1">
      <c r="A294" s="27"/>
      <c r="B294" s="33"/>
      <c r="C294" s="33"/>
      <c r="D294" s="161"/>
      <c r="E294" s="109"/>
      <c r="F294" s="109"/>
      <c r="G294" s="109"/>
      <c r="H294" s="109"/>
      <c r="I294" s="109"/>
      <c r="J294" s="24"/>
    </row>
    <row r="295" spans="1:10" s="1" customFormat="1" ht="15.9" customHeight="1">
      <c r="A295" s="27"/>
      <c r="B295" s="33"/>
      <c r="C295" s="23"/>
      <c r="D295" s="161"/>
      <c r="E295" s="109"/>
      <c r="F295" s="109"/>
      <c r="G295" s="109"/>
      <c r="H295" s="109"/>
      <c r="I295" s="109"/>
      <c r="J295" s="24"/>
    </row>
    <row r="296" spans="1:10" s="1" customFormat="1" ht="15.9" customHeight="1">
      <c r="A296" s="27"/>
      <c r="B296" s="33"/>
      <c r="C296" s="89" t="s">
        <v>376</v>
      </c>
      <c r="D296" s="161"/>
      <c r="E296" s="109"/>
      <c r="F296" s="109"/>
      <c r="G296" s="109"/>
      <c r="H296" s="109"/>
      <c r="I296" s="109"/>
      <c r="J296" s="24"/>
    </row>
    <row r="297" spans="1:10" s="1" customFormat="1" ht="15.9" customHeight="1">
      <c r="A297" s="27"/>
      <c r="B297" s="33"/>
      <c r="C297" s="94" t="s">
        <v>455</v>
      </c>
      <c r="D297" s="161"/>
      <c r="E297" s="109"/>
      <c r="F297" s="109"/>
      <c r="G297" s="44"/>
      <c r="H297" s="44"/>
      <c r="I297" s="109"/>
      <c r="J297" s="24"/>
    </row>
    <row r="298" spans="1:10" s="1" customFormat="1" ht="15.9" customHeight="1">
      <c r="A298" s="27"/>
      <c r="B298" s="33"/>
      <c r="C298" s="327" t="s">
        <v>456</v>
      </c>
      <c r="D298" s="328"/>
      <c r="E298" s="328"/>
      <c r="F298" s="109"/>
      <c r="G298" s="40"/>
      <c r="H298" s="32"/>
      <c r="I298" s="109"/>
      <c r="J298" s="24"/>
    </row>
    <row r="299" spans="1:10" s="1" customFormat="1" ht="15.9" customHeight="1">
      <c r="A299" s="41"/>
      <c r="B299" s="33"/>
      <c r="C299" s="328" t="s">
        <v>286</v>
      </c>
      <c r="D299" s="327"/>
      <c r="E299" s="327"/>
      <c r="F299" s="109"/>
      <c r="G299" s="109"/>
      <c r="H299" s="109"/>
      <c r="I299" s="109"/>
      <c r="J299" s="24"/>
    </row>
    <row r="300" spans="1:10" s="1" customFormat="1" ht="15.9" customHeight="1">
      <c r="A300" s="44"/>
      <c r="B300" s="44"/>
      <c r="C300" s="327" t="s">
        <v>285</v>
      </c>
      <c r="D300" s="86"/>
      <c r="E300" s="79"/>
      <c r="F300" s="44"/>
      <c r="G300" s="109"/>
      <c r="H300" s="109"/>
      <c r="I300" s="109"/>
      <c r="J300" s="24"/>
    </row>
    <row r="301" spans="1:10" s="1" customFormat="1" ht="15.9" customHeight="1">
      <c r="A301" s="40"/>
      <c r="B301" s="40"/>
      <c r="C301" s="374">
        <f>$I$146</f>
        <v>572.4</v>
      </c>
      <c r="D301" s="87"/>
      <c r="E301" s="80"/>
      <c r="F301" s="32"/>
      <c r="G301" s="109"/>
      <c r="H301" s="109"/>
      <c r="I301" s="109"/>
      <c r="J301" s="24"/>
    </row>
    <row r="302" spans="1:10" s="1" customFormat="1" ht="15.9" customHeight="1">
      <c r="A302" s="109"/>
      <c r="B302" s="33"/>
      <c r="C302" s="363">
        <f>$J$146</f>
        <v>10</v>
      </c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C303" s="374">
        <f>$I$147</f>
        <v>2258</v>
      </c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C304" s="363">
        <f>$J$147</f>
        <v>10</v>
      </c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C306" s="89" t="s">
        <v>377</v>
      </c>
      <c r="D306" s="161"/>
      <c r="E306" s="109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328" t="s">
        <v>281</v>
      </c>
      <c r="D307" s="328"/>
      <c r="E307" s="328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542" t="s">
        <v>282</v>
      </c>
      <c r="D308" s="542"/>
      <c r="E308" s="542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74">
        <f>$I$148</f>
        <v>2408</v>
      </c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63">
        <f>$J$148+$J$149</f>
        <v>2</v>
      </c>
      <c r="D310" s="328"/>
      <c r="E310" s="328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D311" s="15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33"/>
      <c r="D314" s="162"/>
      <c r="E314" s="24"/>
      <c r="F314" s="109"/>
      <c r="G314" s="109"/>
      <c r="H314" s="109"/>
      <c r="I314" s="27"/>
      <c r="J314" s="99" t="str">
        <f>LEFT($J$111,13)&amp;"-03"</f>
        <v>FG-240-5P4L1R-03</v>
      </c>
    </row>
    <row r="315" spans="1:14" ht="12.75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30" customHeight="1">
      <c r="A316" s="17"/>
      <c r="B316" s="26"/>
      <c r="C316" s="26"/>
      <c r="D316" s="83"/>
      <c r="E316" s="25"/>
      <c r="F316" s="25"/>
      <c r="G316" s="25"/>
      <c r="H316" s="25"/>
      <c r="I316" s="179"/>
      <c r="J316" s="90" t="str">
        <f>$J$2</f>
        <v>HOMELIFE</v>
      </c>
    </row>
    <row r="317" spans="1:14" ht="24.9" customHeight="1">
      <c r="B317" s="205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205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s="1" customFormat="1" ht="15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  <c r="K320" s="4"/>
      <c r="L320" s="4"/>
      <c r="M320" s="4"/>
      <c r="N320" s="4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72"/>
      <c r="C324" s="56"/>
      <c r="D324" s="30"/>
      <c r="E324" s="29"/>
      <c r="F324" s="160"/>
      <c r="G324" s="160"/>
      <c r="H324" s="160"/>
      <c r="I324" s="31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202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202"/>
      <c r="I331" s="161"/>
      <c r="J331" s="109"/>
    </row>
    <row r="332" spans="1:10" s="1" customFormat="1" ht="15" customHeight="1">
      <c r="A332" s="64" t="str">
        <f>A18</f>
        <v>240-5 Panel (4L1R)</v>
      </c>
      <c r="B332" s="92"/>
      <c r="C332" s="161"/>
      <c r="D332" s="161"/>
      <c r="E332" s="109"/>
      <c r="F332" s="202"/>
      <c r="G332" s="202"/>
      <c r="H332" s="202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92"/>
      <c r="C333" s="161"/>
      <c r="D333" s="161"/>
      <c r="E333" s="109"/>
      <c r="F333" s="202"/>
      <c r="G333" s="202"/>
      <c r="H333" s="202"/>
      <c r="I333" s="109"/>
      <c r="J333" s="109"/>
    </row>
    <row r="334" spans="1:10" s="1" customFormat="1" ht="15.9" customHeight="1">
      <c r="A334" s="109"/>
      <c r="B334" s="45"/>
      <c r="C334" s="42"/>
      <c r="D334" s="161"/>
      <c r="E334" s="109"/>
      <c r="F334" s="507"/>
      <c r="G334" s="507"/>
      <c r="H334" s="202"/>
      <c r="I334" s="109"/>
      <c r="J334" s="109"/>
    </row>
    <row r="335" spans="1:10" s="1" customFormat="1" ht="15.9" customHeight="1">
      <c r="A335" s="109"/>
      <c r="B335" s="45"/>
      <c r="C335" s="42"/>
      <c r="D335" s="161"/>
      <c r="E335" s="109"/>
      <c r="F335" s="355"/>
      <c r="G335" s="355"/>
      <c r="H335" s="355"/>
      <c r="I335" s="109"/>
      <c r="J335" s="109"/>
    </row>
    <row r="336" spans="1:10" s="1" customFormat="1" ht="15.9" customHeight="1">
      <c r="A336" s="39"/>
      <c r="B336" s="109"/>
      <c r="C336" s="161"/>
      <c r="D336" s="161"/>
      <c r="E336" s="109"/>
      <c r="F336" s="37"/>
      <c r="G336" s="38"/>
      <c r="H336" s="109"/>
      <c r="I336" s="109"/>
      <c r="J336" s="109"/>
    </row>
    <row r="337" spans="1:10" s="1" customFormat="1" ht="15.9" customHeight="1">
      <c r="A337" s="44"/>
      <c r="C337" s="43"/>
      <c r="D337" s="161"/>
      <c r="E337" s="109"/>
      <c r="F337" s="109"/>
      <c r="G337" s="109"/>
      <c r="H337" s="109"/>
      <c r="I337" s="44"/>
      <c r="J337" s="119"/>
    </row>
    <row r="338" spans="1:10" s="1" customFormat="1" ht="15.9" customHeight="1">
      <c r="A338" s="40"/>
      <c r="C338" s="44"/>
      <c r="D338" s="84"/>
      <c r="E338" s="44"/>
      <c r="F338" s="44"/>
      <c r="G338" s="44"/>
      <c r="H338" s="44"/>
      <c r="I338" s="32"/>
      <c r="J338" s="40"/>
    </row>
    <row r="339" spans="1:10" s="1" customFormat="1" ht="15.9" customHeight="1">
      <c r="A339" s="109"/>
      <c r="C339" s="161"/>
      <c r="D339" s="85"/>
      <c r="E339" s="40"/>
      <c r="F339" s="32"/>
      <c r="G339" s="40"/>
      <c r="H339" s="32"/>
      <c r="I339" s="24"/>
      <c r="J339" s="24"/>
    </row>
    <row r="340" spans="1:10" s="1" customFormat="1" ht="15.9" customHeight="1">
      <c r="A340" s="109"/>
      <c r="C340" s="163"/>
      <c r="D340" s="161"/>
      <c r="E340" s="109"/>
      <c r="F340" s="161"/>
      <c r="G340" s="109"/>
      <c r="H340" s="109"/>
      <c r="I340" s="24"/>
      <c r="J340" s="24"/>
    </row>
    <row r="341" spans="1:10" s="1" customFormat="1" ht="15.9" customHeight="1">
      <c r="A341" s="109"/>
      <c r="B341" s="33"/>
      <c r="C341" s="161"/>
      <c r="D341" s="161"/>
      <c r="E341" s="109"/>
      <c r="F341" s="161"/>
      <c r="G341" s="109"/>
      <c r="H341" s="109"/>
      <c r="I341" s="162"/>
      <c r="J341" s="162"/>
    </row>
    <row r="342" spans="1:10" s="1" customFormat="1" ht="15.9" customHeight="1">
      <c r="A342" s="109"/>
      <c r="B342" s="33"/>
      <c r="C342" s="44"/>
      <c r="D342" s="161"/>
      <c r="E342" s="109"/>
      <c r="F342" s="161"/>
      <c r="G342" s="109"/>
      <c r="H342" s="162"/>
      <c r="I342" s="161"/>
      <c r="J342" s="161"/>
    </row>
    <row r="343" spans="1:10" s="1" customFormat="1" ht="15.9" customHeight="1">
      <c r="A343" s="109"/>
      <c r="B343" s="33"/>
      <c r="C343" s="42"/>
      <c r="D343" s="161"/>
      <c r="E343" s="109"/>
      <c r="F343" s="161"/>
      <c r="G343" s="109"/>
      <c r="H343" s="161"/>
      <c r="I343" s="161"/>
      <c r="J343" s="161"/>
    </row>
    <row r="344" spans="1:10" s="1" customFormat="1" ht="15.9" customHeight="1">
      <c r="A344" s="109"/>
      <c r="B344" s="33"/>
      <c r="C344" s="163"/>
      <c r="D344" s="161"/>
      <c r="E344" s="109"/>
      <c r="F344" s="161"/>
      <c r="G344" s="109"/>
      <c r="H344" s="161"/>
      <c r="I344" s="109"/>
      <c r="J344" s="24"/>
    </row>
    <row r="345" spans="1:10" s="1" customFormat="1" ht="15.9" customHeight="1">
      <c r="A345" s="109"/>
      <c r="B345" s="33"/>
      <c r="C345" s="161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33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44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1"/>
      <c r="D350" s="161"/>
      <c r="E350" s="109"/>
      <c r="F350" s="161"/>
      <c r="G350" s="109"/>
      <c r="H350" s="109"/>
      <c r="I350" s="24"/>
      <c r="J350" s="24"/>
    </row>
    <row r="351" spans="1:10" s="1" customFormat="1" ht="15.9" customHeight="1">
      <c r="A351" s="109"/>
      <c r="B351" s="33"/>
      <c r="C351" s="163"/>
      <c r="D351" s="161"/>
      <c r="E351" s="109"/>
      <c r="F351" s="161"/>
      <c r="G351" s="109"/>
      <c r="H351" s="109"/>
      <c r="I351" s="109"/>
      <c r="J351" s="24"/>
    </row>
    <row r="352" spans="1:10" s="1" customFormat="1" ht="15.9" customHeight="1">
      <c r="A352" s="109"/>
      <c r="B352" s="33"/>
      <c r="C352" s="161"/>
      <c r="D352" s="161"/>
      <c r="E352" s="109"/>
      <c r="F352" s="161"/>
      <c r="G352" s="109"/>
      <c r="H352" s="109"/>
      <c r="I352" s="24"/>
      <c r="J352" s="24"/>
    </row>
    <row r="353" spans="1:10" s="1" customFormat="1" ht="15.9" customHeight="1">
      <c r="A353" s="109"/>
      <c r="B353" s="33"/>
      <c r="C353" s="33"/>
      <c r="D353" s="161"/>
      <c r="E353" s="109"/>
      <c r="F353" s="109"/>
      <c r="G353" s="109"/>
      <c r="H353" s="109"/>
      <c r="I353" s="24"/>
      <c r="J353" s="24"/>
    </row>
    <row r="354" spans="1:10" s="1" customFormat="1" ht="15" customHeight="1">
      <c r="A354" s="109"/>
      <c r="B354" s="33"/>
      <c r="C354" s="33"/>
      <c r="D354" s="161"/>
      <c r="E354" s="109"/>
      <c r="F354" s="109"/>
      <c r="G354" s="109"/>
      <c r="H354" s="107"/>
      <c r="I354" s="24"/>
      <c r="J354" s="24"/>
    </row>
    <row r="355" spans="1:10" s="23" customFormat="1" ht="15.9" customHeight="1">
      <c r="A355" s="109"/>
      <c r="B355" s="33"/>
      <c r="C355" s="33"/>
      <c r="D355" s="161"/>
      <c r="E355" s="109"/>
      <c r="F355" s="109"/>
      <c r="G355" s="109"/>
      <c r="H355" s="109"/>
      <c r="I355" s="109"/>
      <c r="J355" s="109"/>
    </row>
    <row r="356" spans="1:10" s="1" customFormat="1" ht="15.9" customHeight="1">
      <c r="A356" s="44"/>
      <c r="B356" s="33"/>
      <c r="C356" s="33"/>
      <c r="D356" s="161"/>
      <c r="E356" s="109"/>
      <c r="F356" s="109"/>
      <c r="G356" s="109"/>
      <c r="H356" s="109"/>
      <c r="I356" s="44"/>
      <c r="J356" s="119"/>
    </row>
    <row r="357" spans="1:10" s="1" customFormat="1" ht="15.9" customHeight="1">
      <c r="A357" s="40"/>
      <c r="B357" s="44"/>
      <c r="C357" s="44"/>
      <c r="D357" s="84"/>
      <c r="E357" s="44"/>
      <c r="F357" s="44"/>
      <c r="G357" s="44"/>
      <c r="H357" s="44"/>
      <c r="I357" s="32"/>
      <c r="J357" s="40"/>
    </row>
    <row r="358" spans="1:10" s="1" customFormat="1" ht="15.9" customHeight="1">
      <c r="A358" s="27"/>
      <c r="B358" s="40"/>
      <c r="C358" s="44"/>
      <c r="D358" s="85"/>
      <c r="E358" s="40"/>
      <c r="F358" s="32"/>
      <c r="G358" s="40"/>
      <c r="H358" s="32"/>
      <c r="I358" s="24"/>
      <c r="J358" s="24"/>
    </row>
    <row r="359" spans="1:10" s="1" customFormat="1" ht="15.9" customHeight="1">
      <c r="A359" s="27"/>
      <c r="B359" s="33"/>
      <c r="C359" s="42"/>
      <c r="D359" s="161"/>
      <c r="E359" s="109"/>
      <c r="F359" s="109"/>
      <c r="G359" s="109"/>
      <c r="H359" s="42"/>
      <c r="I359" s="163"/>
      <c r="J359" s="163"/>
    </row>
    <row r="360" spans="1:10" s="1" customFormat="1" ht="15.9" customHeight="1">
      <c r="A360" s="27"/>
      <c r="B360" s="33"/>
      <c r="C360" s="163"/>
      <c r="D360" s="161"/>
      <c r="E360" s="109"/>
      <c r="F360" s="109"/>
      <c r="G360" s="109"/>
      <c r="H360" s="163"/>
      <c r="I360" s="161"/>
      <c r="J360" s="161"/>
    </row>
    <row r="361" spans="1:10" s="1" customFormat="1" ht="15.9" customHeight="1">
      <c r="A361" s="27"/>
      <c r="B361" s="33"/>
      <c r="C361" s="161"/>
      <c r="D361" s="161"/>
      <c r="E361" s="109"/>
      <c r="F361" s="109"/>
      <c r="G361" s="109"/>
      <c r="H361" s="161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33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46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161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B369" s="33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B372" s="33"/>
      <c r="C372" s="33"/>
      <c r="D372" s="161"/>
      <c r="E372" s="109"/>
      <c r="F372" s="109"/>
      <c r="G372" s="109"/>
      <c r="H372" s="109"/>
      <c r="I372" s="24"/>
      <c r="J372" s="24"/>
    </row>
    <row r="373" spans="1:10" s="1" customFormat="1" ht="15.9" customHeight="1">
      <c r="A373" s="27"/>
      <c r="D373" s="161"/>
      <c r="E373" s="109"/>
      <c r="F373" s="109"/>
      <c r="G373" s="33"/>
      <c r="H373" s="33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109"/>
      <c r="I376" s="24"/>
      <c r="J376" s="24"/>
    </row>
    <row r="377" spans="1:10" s="1" customFormat="1" ht="15.9" customHeight="1">
      <c r="A377" s="27"/>
      <c r="B377" s="33"/>
      <c r="C377" s="33"/>
      <c r="D377" s="161"/>
      <c r="E377" s="109"/>
      <c r="F377" s="109"/>
      <c r="G377" s="109"/>
      <c r="H377" s="42"/>
      <c r="I377" s="163"/>
      <c r="J377" s="163"/>
    </row>
    <row r="378" spans="1:10" s="1" customFormat="1" ht="15.9" customHeight="1">
      <c r="A378" s="27"/>
      <c r="B378" s="33"/>
      <c r="C378" s="47"/>
      <c r="D378" s="161"/>
      <c r="E378" s="109"/>
      <c r="F378" s="109"/>
      <c r="G378" s="109"/>
      <c r="H378" s="163"/>
      <c r="I378" s="161"/>
      <c r="J378" s="161"/>
    </row>
    <row r="379" spans="1:10" s="1" customFormat="1" ht="15.9" customHeight="1">
      <c r="A379" s="27"/>
      <c r="B379" s="33"/>
      <c r="C379" s="46"/>
      <c r="D379" s="161"/>
      <c r="E379" s="109"/>
      <c r="F379" s="109"/>
      <c r="G379" s="109"/>
      <c r="H379" s="161"/>
      <c r="I379" s="24"/>
      <c r="J379" s="24"/>
    </row>
    <row r="380" spans="1:10" s="1" customFormat="1" ht="15.9" customHeight="1">
      <c r="A380" s="27"/>
      <c r="B380" s="33"/>
      <c r="C380" s="161"/>
      <c r="D380" s="161"/>
      <c r="E380" s="109"/>
      <c r="F380" s="109"/>
      <c r="G380" s="109"/>
      <c r="H380" s="42"/>
      <c r="I380" s="163"/>
      <c r="J380" s="163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3"/>
      <c r="I381" s="161"/>
      <c r="J381" s="161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61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24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09"/>
      <c r="J388" s="2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09"/>
      <c r="I389" s="164"/>
      <c r="J389" s="164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4"/>
      <c r="I390" s="165"/>
      <c r="J390" s="165"/>
    </row>
    <row r="391" spans="1:10" s="1" customFormat="1" ht="15.9" customHeight="1">
      <c r="A391" s="27"/>
      <c r="B391" s="33"/>
      <c r="C391" s="33"/>
      <c r="D391" s="161"/>
      <c r="E391" s="109"/>
      <c r="F391" s="109"/>
      <c r="G391" s="109"/>
      <c r="H391" s="165"/>
      <c r="I391" s="161"/>
      <c r="J391" s="161"/>
    </row>
    <row r="392" spans="1:10" s="1" customFormat="1" ht="15.9" customHeight="1">
      <c r="A392" s="27"/>
      <c r="B392" s="33"/>
      <c r="C392" s="47"/>
      <c r="D392" s="161"/>
      <c r="E392" s="109"/>
      <c r="F392" s="109"/>
      <c r="G392" s="109"/>
      <c r="H392" s="161"/>
      <c r="I392" s="24"/>
      <c r="J392" s="24"/>
    </row>
    <row r="393" spans="1:10" s="1" customFormat="1" ht="15.9" customHeight="1">
      <c r="A393" s="27"/>
      <c r="B393" s="33"/>
      <c r="C393" s="46"/>
      <c r="D393" s="161"/>
      <c r="E393" s="109"/>
      <c r="F393" s="109"/>
      <c r="G393" s="109"/>
      <c r="H393" s="109"/>
      <c r="I393" s="109"/>
      <c r="J393" s="24"/>
    </row>
    <row r="394" spans="1:10" s="1" customFormat="1" ht="15.9" customHeight="1">
      <c r="A394" s="27"/>
      <c r="B394" s="33"/>
      <c r="C394" s="161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27"/>
      <c r="B396" s="33"/>
      <c r="C396" s="33"/>
      <c r="D396" s="161"/>
      <c r="E396" s="109"/>
      <c r="F396" s="109"/>
      <c r="G396" s="109"/>
      <c r="H396" s="109"/>
      <c r="I396" s="24"/>
      <c r="J396" s="24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1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23" customFormat="1" ht="15.9" customHeight="1">
      <c r="A405" s="41"/>
      <c r="B405" s="33"/>
      <c r="C405" s="33"/>
      <c r="D405" s="161"/>
      <c r="E405" s="109"/>
      <c r="F405" s="109"/>
      <c r="G405" s="109"/>
      <c r="H405" s="109"/>
      <c r="I405" s="109"/>
      <c r="J405" s="109"/>
    </row>
    <row r="406" spans="1:10" s="23" customFormat="1" ht="15.9" customHeight="1">
      <c r="A406" s="41"/>
      <c r="B406" s="33"/>
      <c r="C406" s="33"/>
      <c r="D406" s="161"/>
      <c r="E406" s="109"/>
      <c r="F406" s="109"/>
      <c r="G406" s="109"/>
      <c r="H406" s="109"/>
      <c r="I406" s="109"/>
      <c r="J406" s="109"/>
    </row>
    <row r="407" spans="1:10" s="23" customFormat="1" ht="15.9" customHeight="1">
      <c r="A407" s="41"/>
      <c r="B407" s="33"/>
      <c r="C407" s="33"/>
      <c r="D407" s="161"/>
      <c r="E407" s="109"/>
      <c r="F407" s="109"/>
      <c r="G407" s="109"/>
      <c r="H407" s="109"/>
      <c r="I407" s="109"/>
      <c r="J407" s="109"/>
    </row>
    <row r="408" spans="1:10" s="23" customFormat="1" ht="15.9" customHeight="1">
      <c r="A408" s="41"/>
      <c r="B408" s="33"/>
      <c r="C408" s="33"/>
      <c r="D408" s="161"/>
      <c r="E408" s="109"/>
      <c r="F408" s="109"/>
      <c r="G408" s="109"/>
      <c r="H408" s="109"/>
      <c r="I408" s="109"/>
      <c r="J408" s="109"/>
    </row>
    <row r="409" spans="1:10" s="23" customFormat="1" ht="15.9" customHeight="1">
      <c r="A409" s="41"/>
      <c r="B409" s="33"/>
      <c r="C409" s="33"/>
      <c r="D409" s="161"/>
      <c r="E409" s="109"/>
      <c r="F409" s="109"/>
      <c r="G409" s="109"/>
      <c r="H409" s="109"/>
      <c r="I409" s="109"/>
      <c r="J409" s="109"/>
    </row>
    <row r="410" spans="1:10" s="1" customFormat="1" ht="15.9" customHeight="1">
      <c r="A410" s="44"/>
      <c r="B410" s="33"/>
      <c r="C410" s="33"/>
      <c r="D410" s="161"/>
      <c r="E410" s="109"/>
      <c r="F410" s="109"/>
      <c r="G410" s="109"/>
      <c r="H410" s="109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109"/>
      <c r="B419" s="44"/>
      <c r="C419" s="44"/>
      <c r="D419" s="84"/>
      <c r="E419" s="44"/>
      <c r="F419" s="44"/>
      <c r="G419" s="44"/>
      <c r="H419" s="44"/>
      <c r="I419" s="24"/>
      <c r="J419" s="24"/>
      <c r="K419" s="71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LEFT($J$111,13)&amp;"-04"</f>
        <v>FG-240-5P4L1R-04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A423" s="109"/>
      <c r="B423" s="33"/>
      <c r="C423" s="33"/>
      <c r="D423" s="161"/>
      <c r="E423" s="109"/>
      <c r="F423" s="109"/>
      <c r="G423" s="109"/>
      <c r="H423" s="109"/>
      <c r="I423" s="109"/>
      <c r="J423" s="90" t="str">
        <f>$J$2</f>
        <v>HOMELIFE</v>
      </c>
      <c r="K423" s="7"/>
      <c r="L423" s="7"/>
      <c r="M423" s="2"/>
      <c r="N423" s="2"/>
    </row>
    <row r="424" spans="1:14" ht="24.9" customHeight="1">
      <c r="A424" s="109"/>
      <c r="B424" s="33"/>
      <c r="C424" s="33"/>
      <c r="D424" s="161"/>
      <c r="E424" s="109"/>
      <c r="F424" s="109"/>
      <c r="G424" s="109"/>
      <c r="H424" s="109"/>
      <c r="I424" s="109"/>
      <c r="J424" s="91" t="str">
        <f>$J$3</f>
        <v>Fabricators Guide</v>
      </c>
      <c r="K424" s="7"/>
      <c r="L424" s="7"/>
      <c r="M424" s="2"/>
      <c r="N424" s="2"/>
    </row>
    <row r="425" spans="1:14" ht="24.9" customHeight="1">
      <c r="B425" s="205"/>
      <c r="C425" s="28"/>
      <c r="D425" s="28"/>
      <c r="E425" s="28"/>
      <c r="F425" s="28"/>
      <c r="G425" s="28"/>
      <c r="H425" s="28"/>
      <c r="I425" s="28"/>
      <c r="J425" s="91" t="str">
        <f>$J$4</f>
        <v xml:space="preserve">240 Series Bi Fold Door </v>
      </c>
      <c r="K425" s="48"/>
      <c r="L425" s="48"/>
      <c r="M425" s="4"/>
      <c r="N425" s="4"/>
    </row>
    <row r="426" spans="1:14" s="1" customFormat="1" ht="15" customHeight="1" thickBot="1">
      <c r="A426" s="78"/>
      <c r="B426" s="8"/>
      <c r="C426" s="28"/>
      <c r="D426" s="28"/>
      <c r="E426" s="28"/>
      <c r="F426" s="28"/>
      <c r="G426" s="28"/>
      <c r="H426" s="2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  <c r="K427" s="4"/>
      <c r="L427" s="4"/>
      <c r="M427" s="4"/>
      <c r="N427" s="4"/>
    </row>
    <row r="428" spans="1:14" s="1" customFormat="1" ht="15" customHeight="1">
      <c r="A428" s="193"/>
      <c r="B428" s="194"/>
      <c r="C428" s="194"/>
      <c r="D428" s="194"/>
      <c r="E428" s="194"/>
      <c r="F428" s="194"/>
      <c r="G428" s="194"/>
      <c r="H428" s="194"/>
      <c r="I428" s="193"/>
      <c r="K428" s="56"/>
      <c r="L428" s="56"/>
      <c r="M428" s="56"/>
      <c r="N428" s="56"/>
    </row>
    <row r="429" spans="1:14" s="1" customFormat="1" ht="15" customHeight="1">
      <c r="A429" s="45"/>
      <c r="B429" s="193"/>
      <c r="C429" s="193"/>
      <c r="D429" s="193"/>
      <c r="E429" s="193"/>
      <c r="F429" s="193"/>
      <c r="G429" s="193"/>
      <c r="H429" s="193"/>
      <c r="I429" s="44"/>
      <c r="J429" s="119"/>
    </row>
    <row r="430" spans="1:14" s="1" customFormat="1" ht="15" customHeight="1">
      <c r="A430" s="109"/>
      <c r="B430" s="39"/>
      <c r="C430" s="33"/>
      <c r="D430" s="161"/>
      <c r="E430" s="35"/>
      <c r="F430" s="39"/>
      <c r="G430" s="193"/>
      <c r="H430" s="44"/>
      <c r="I430" s="44"/>
      <c r="J430" s="119"/>
    </row>
    <row r="431" spans="1:14" s="1" customFormat="1" ht="15" customHeight="1">
      <c r="A431" s="109"/>
      <c r="B431" s="33"/>
      <c r="C431" s="33"/>
      <c r="D431" s="161"/>
      <c r="E431" s="35"/>
      <c r="F431" s="161"/>
      <c r="G431" s="193"/>
      <c r="H431" s="44"/>
      <c r="I431" s="44"/>
      <c r="J431" s="119"/>
    </row>
    <row r="432" spans="1:14" s="1" customFormat="1" ht="15" customHeight="1">
      <c r="A432" s="109"/>
      <c r="B432" s="56"/>
      <c r="C432" s="56"/>
      <c r="D432" s="30"/>
      <c r="E432" s="29"/>
      <c r="F432" s="30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109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3"/>
      <c r="H434" s="44"/>
      <c r="I434" s="44"/>
      <c r="J434" s="119"/>
    </row>
    <row r="435" spans="1:10" s="1" customFormat="1" ht="15" customHeight="1">
      <c r="A435" s="109"/>
      <c r="B435" s="33"/>
      <c r="C435" s="161"/>
      <c r="D435" s="161"/>
      <c r="E435" s="35"/>
      <c r="F435" s="161"/>
      <c r="H435" s="44"/>
      <c r="I435" s="44"/>
      <c r="J435" s="119"/>
    </row>
    <row r="436" spans="1:10" s="1" customFormat="1" ht="15" customHeight="1">
      <c r="A436" s="39"/>
      <c r="B436" s="33"/>
      <c r="C436" s="42"/>
      <c r="D436" s="161"/>
      <c r="E436" s="109"/>
      <c r="F436" s="69"/>
      <c r="H436" s="44"/>
      <c r="I436" s="44"/>
      <c r="J436" s="119"/>
    </row>
    <row r="437" spans="1:10" s="1" customFormat="1" ht="15" customHeight="1">
      <c r="A437" s="92"/>
      <c r="B437" s="39"/>
      <c r="C437" s="163"/>
      <c r="D437" s="161"/>
      <c r="E437" s="109"/>
      <c r="F437" s="68"/>
      <c r="H437" s="44"/>
      <c r="I437" s="44"/>
      <c r="J437" s="119"/>
    </row>
    <row r="438" spans="1:10" s="1" customFormat="1" ht="15" customHeight="1">
      <c r="B438" s="92"/>
      <c r="C438" s="161"/>
      <c r="D438" s="161"/>
      <c r="E438" s="109"/>
      <c r="F438" s="202"/>
      <c r="H438" s="44"/>
      <c r="I438" s="44"/>
      <c r="J438" s="119"/>
    </row>
    <row r="439" spans="1:10" s="1" customFormat="1" ht="15" customHeight="1">
      <c r="A439" s="64" t="str">
        <f>A18</f>
        <v>240-5 Panel (4L1R)</v>
      </c>
      <c r="B439" s="92"/>
      <c r="C439" s="161"/>
      <c r="D439" s="161"/>
      <c r="E439" s="109"/>
      <c r="F439" s="202"/>
      <c r="H439" s="44"/>
      <c r="I439" s="44"/>
      <c r="J439" s="119"/>
    </row>
    <row r="440" spans="1:10" s="1" customFormat="1" ht="15.9" customHeight="1">
      <c r="A440" s="76" t="str">
        <f>A19</f>
        <v xml:space="preserve">Outside Bi Fold Door </v>
      </c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39"/>
      <c r="C442" s="161"/>
      <c r="D442" s="161"/>
      <c r="E442" s="109"/>
      <c r="F442" s="37"/>
      <c r="H442" s="44"/>
      <c r="I442" s="44"/>
      <c r="J442" s="119"/>
    </row>
    <row r="443" spans="1:10" s="1" customFormat="1" ht="15.9" customHeight="1">
      <c r="A443" s="39"/>
      <c r="C443" s="161"/>
      <c r="D443" s="161"/>
      <c r="E443" s="109"/>
      <c r="F443" s="37"/>
      <c r="H443" s="44"/>
      <c r="I443" s="44"/>
      <c r="J443" s="119"/>
    </row>
    <row r="444" spans="1:10" s="1" customFormat="1" ht="15.9" customHeight="1">
      <c r="A444" s="44"/>
      <c r="B444" s="38"/>
      <c r="C444" s="43"/>
      <c r="D444" s="161"/>
      <c r="E444" s="109"/>
      <c r="F444" s="109"/>
      <c r="H444" s="44"/>
      <c r="I444" s="44"/>
      <c r="J444" s="119"/>
    </row>
    <row r="445" spans="1:10" s="1" customFormat="1" ht="15.9" customHeight="1">
      <c r="A445" s="40"/>
      <c r="C445" s="44"/>
      <c r="D445" s="84"/>
      <c r="E445" s="44"/>
      <c r="F445" s="44"/>
      <c r="H445" s="44"/>
      <c r="I445" s="44"/>
      <c r="J445" s="119"/>
    </row>
    <row r="446" spans="1:10" ht="15.6">
      <c r="B446" s="64"/>
      <c r="C446" s="163"/>
      <c r="D446" s="161"/>
      <c r="E446" s="109"/>
      <c r="F446" s="161"/>
      <c r="G446" s="109"/>
      <c r="H446" s="109"/>
    </row>
    <row r="451" spans="1:10" s="1" customFormat="1" ht="15.9" customHeight="1">
      <c r="A451" s="109"/>
      <c r="B451"/>
      <c r="C451"/>
      <c r="D451" s="81"/>
      <c r="E451"/>
      <c r="F451"/>
      <c r="G451"/>
      <c r="H451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33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44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161"/>
      <c r="D456" s="161"/>
      <c r="E456" s="109"/>
      <c r="F456" s="161"/>
      <c r="G456" s="109"/>
      <c r="H456" s="109"/>
      <c r="I456" s="24"/>
      <c r="J456" s="24"/>
    </row>
    <row r="457" spans="1:10" s="1" customFormat="1" ht="15.9" customHeight="1">
      <c r="A457" s="109"/>
      <c r="B457" s="33"/>
      <c r="C457" s="163"/>
      <c r="D457" s="161"/>
      <c r="E457" s="109"/>
      <c r="F457" s="161"/>
      <c r="G457" s="109"/>
      <c r="H457" s="109"/>
      <c r="I457" s="109"/>
      <c r="J457" s="24"/>
    </row>
    <row r="458" spans="1:10" s="1" customFormat="1" ht="15.9" customHeight="1">
      <c r="A458" s="109"/>
      <c r="B458" s="33"/>
      <c r="C458" s="161"/>
      <c r="D458" s="161"/>
      <c r="E458" s="109"/>
      <c r="F458" s="161"/>
      <c r="G458" s="109"/>
      <c r="H458" s="109"/>
      <c r="I458" s="24"/>
      <c r="J458" s="24"/>
    </row>
    <row r="459" spans="1:10" s="1" customFormat="1" ht="15.9" customHeight="1">
      <c r="A459" s="109"/>
      <c r="B459" s="33"/>
      <c r="C459" s="33"/>
      <c r="D459" s="161"/>
      <c r="E459" s="109"/>
      <c r="F459" s="109"/>
      <c r="G459" s="109"/>
      <c r="H459" s="109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7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" customHeight="1">
      <c r="A476" s="109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1" customFormat="1" ht="15" customHeight="1">
      <c r="A477" s="109"/>
      <c r="B477" s="33"/>
      <c r="C477" s="33"/>
      <c r="D477" s="161"/>
      <c r="E477" s="109"/>
      <c r="F477" s="109"/>
      <c r="G477" s="109"/>
      <c r="H477" s="109"/>
      <c r="I477" s="24"/>
      <c r="J477" s="24"/>
    </row>
    <row r="478" spans="1:10" s="23" customFormat="1" ht="15.9" customHeight="1">
      <c r="A478" s="109"/>
      <c r="B478" s="33"/>
      <c r="C478" s="33"/>
      <c r="D478" s="161"/>
      <c r="E478" s="109"/>
      <c r="F478" s="109"/>
      <c r="G478" s="109"/>
      <c r="H478" s="109"/>
      <c r="I478" s="109"/>
      <c r="J478" s="109"/>
    </row>
    <row r="479" spans="1:10" s="1" customFormat="1" ht="15.9" customHeight="1">
      <c r="A479" s="44"/>
      <c r="B479" s="33"/>
      <c r="C479" s="33"/>
      <c r="D479" s="161"/>
      <c r="E479" s="109"/>
      <c r="F479" s="109"/>
      <c r="G479" s="109"/>
      <c r="H479" s="109"/>
      <c r="I479" s="44"/>
      <c r="J479" s="119"/>
    </row>
    <row r="480" spans="1:10" s="1" customFormat="1" ht="15.9" customHeight="1">
      <c r="A480" s="40"/>
      <c r="B480" s="44"/>
      <c r="C480" s="44"/>
      <c r="D480" s="84"/>
      <c r="E480" s="44"/>
      <c r="F480" s="44"/>
      <c r="G480" s="44"/>
      <c r="H480" s="44"/>
      <c r="I480" s="32"/>
      <c r="J480" s="40"/>
    </row>
    <row r="481" spans="1:10" s="1" customFormat="1" ht="15.9" customHeight="1">
      <c r="A481" s="27"/>
      <c r="B481" s="40"/>
      <c r="C481" s="44"/>
      <c r="D481" s="85"/>
      <c r="E481" s="40"/>
      <c r="F481" s="32"/>
      <c r="G481" s="40"/>
      <c r="H481" s="32"/>
      <c r="I481" s="24"/>
      <c r="J481" s="24"/>
    </row>
    <row r="482" spans="1:10" s="1" customFormat="1" ht="15.9" customHeight="1">
      <c r="A482" s="27"/>
      <c r="B482" s="33"/>
      <c r="C482" s="42"/>
      <c r="D482" s="161"/>
      <c r="E482" s="109"/>
      <c r="F482" s="109"/>
      <c r="G482" s="109"/>
      <c r="H482" s="42"/>
      <c r="I482" s="67"/>
      <c r="J482" s="165"/>
    </row>
    <row r="483" spans="1:10" s="1" customFormat="1" ht="15.9" customHeight="1">
      <c r="A483" s="27"/>
      <c r="B483" s="33"/>
      <c r="C483" s="163"/>
      <c r="D483" s="161"/>
      <c r="E483" s="109"/>
      <c r="F483" s="109"/>
      <c r="G483" s="109"/>
      <c r="H483" s="67"/>
      <c r="I483" s="38"/>
      <c r="J483" s="109"/>
    </row>
    <row r="484" spans="1:10" s="1" customFormat="1" ht="15.9" customHeight="1">
      <c r="A484" s="27"/>
      <c r="B484" s="33"/>
      <c r="C484" s="161"/>
      <c r="D484" s="161"/>
      <c r="E484" s="109"/>
      <c r="F484" s="109"/>
      <c r="G484" s="109"/>
      <c r="H484" s="38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33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46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161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B492" s="33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B495" s="33"/>
      <c r="C495" s="33"/>
      <c r="D495" s="161"/>
      <c r="E495" s="109"/>
      <c r="F495" s="109"/>
      <c r="G495" s="109"/>
      <c r="H495" s="109"/>
      <c r="I495" s="24"/>
      <c r="J495" s="24"/>
    </row>
    <row r="496" spans="1:10" s="1" customFormat="1" ht="15.9" customHeight="1">
      <c r="A496" s="27"/>
      <c r="D496" s="161"/>
      <c r="E496" s="109"/>
      <c r="F496" s="109"/>
      <c r="G496" s="33"/>
      <c r="H496" s="33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109"/>
      <c r="I499" s="24"/>
      <c r="J499" s="24"/>
    </row>
    <row r="500" spans="1:10" s="1" customFormat="1" ht="15.9" customHeight="1">
      <c r="A500" s="27"/>
      <c r="B500" s="33"/>
      <c r="C500" s="33"/>
      <c r="D500" s="161"/>
      <c r="E500" s="109"/>
      <c r="F500" s="109"/>
      <c r="G500" s="109"/>
      <c r="H500" s="42"/>
      <c r="I500" s="67"/>
      <c r="J500" s="165"/>
    </row>
    <row r="501" spans="1:10" s="1" customFormat="1" ht="15.9" customHeight="1">
      <c r="A501" s="27"/>
      <c r="B501" s="33"/>
      <c r="C501" s="47"/>
      <c r="D501" s="161"/>
      <c r="E501" s="109"/>
      <c r="F501" s="109"/>
      <c r="G501" s="109"/>
      <c r="H501" s="67"/>
      <c r="I501" s="38"/>
      <c r="J501" s="109"/>
    </row>
    <row r="502" spans="1:10" s="1" customFormat="1" ht="15.9" customHeight="1">
      <c r="A502" s="27"/>
      <c r="B502" s="33"/>
      <c r="C502" s="46"/>
      <c r="D502" s="161"/>
      <c r="E502" s="109"/>
      <c r="F502" s="109"/>
      <c r="G502" s="109"/>
      <c r="H502" s="38"/>
      <c r="I502" s="24"/>
      <c r="J502" s="24"/>
    </row>
    <row r="503" spans="1:10" s="1" customFormat="1" ht="15.9" customHeight="1">
      <c r="A503" s="27"/>
      <c r="B503" s="33"/>
      <c r="C503" s="161"/>
      <c r="D503" s="161"/>
      <c r="E503" s="109"/>
      <c r="F503" s="109"/>
      <c r="G503" s="109"/>
      <c r="H503" s="42"/>
      <c r="I503" s="67"/>
      <c r="J503" s="165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67"/>
      <c r="I504" s="38"/>
      <c r="J504" s="109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38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24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43"/>
      <c r="J512" s="107"/>
    </row>
    <row r="513" spans="1:15" s="1" customFormat="1" ht="15.9" customHeight="1">
      <c r="A513" s="27"/>
      <c r="B513" s="33"/>
      <c r="C513" s="33"/>
      <c r="D513" s="161"/>
      <c r="E513" s="109"/>
      <c r="F513" s="109"/>
      <c r="G513" s="109"/>
      <c r="H513" s="109"/>
      <c r="I513" s="43"/>
      <c r="J513" s="107"/>
    </row>
    <row r="514" spans="1:15" s="1" customFormat="1" ht="15.9" customHeight="1">
      <c r="A514" s="27"/>
      <c r="B514" s="33"/>
      <c r="C514" s="33"/>
      <c r="D514" s="161"/>
      <c r="E514" s="109"/>
      <c r="F514" s="109"/>
      <c r="G514" s="109"/>
      <c r="H514" s="109"/>
      <c r="I514" s="43"/>
      <c r="J514" s="107"/>
    </row>
    <row r="515" spans="1:15" s="1" customFormat="1" ht="15.9" customHeight="1">
      <c r="A515" s="27"/>
      <c r="B515" s="33"/>
      <c r="C515" s="33"/>
      <c r="D515" s="161"/>
      <c r="E515" s="109"/>
      <c r="F515" s="109"/>
      <c r="G515" s="109"/>
      <c r="H515" s="66"/>
      <c r="I515" s="38"/>
      <c r="J515" s="109"/>
    </row>
    <row r="516" spans="1:15" s="1" customFormat="1" ht="15.9" customHeight="1">
      <c r="A516" s="44"/>
      <c r="B516" s="33"/>
      <c r="C516" s="33"/>
      <c r="D516" s="161"/>
      <c r="E516" s="109"/>
      <c r="F516" s="109"/>
      <c r="G516" s="109"/>
      <c r="H516" s="67"/>
      <c r="I516" s="44"/>
      <c r="J516" s="119"/>
    </row>
    <row r="517" spans="1:15" s="1" customFormat="1" ht="15.9" customHeight="1">
      <c r="B517" s="44"/>
      <c r="C517" s="44"/>
      <c r="D517" s="84"/>
      <c r="E517" s="44"/>
      <c r="F517" s="44"/>
      <c r="G517" s="44"/>
      <c r="H517" s="44"/>
    </row>
    <row r="518" spans="1:15" s="1" customFormat="1" ht="15.9" customHeight="1" thickBot="1"/>
    <row r="519" spans="1:15" s="1" customFormat="1" ht="24.9" customHeight="1" thickBot="1">
      <c r="A519" s="502" t="s">
        <v>401</v>
      </c>
      <c r="B519" s="503"/>
      <c r="C519" s="503"/>
      <c r="D519" s="503"/>
      <c r="E519" s="503"/>
      <c r="F519" s="503"/>
      <c r="G519" s="503"/>
      <c r="H519" s="503"/>
      <c r="I519" s="503"/>
      <c r="J519" s="504"/>
    </row>
    <row r="520" spans="1:15" s="1" customFormat="1" ht="35.1" customHeight="1" thickBot="1">
      <c r="A520" s="102" t="s">
        <v>2</v>
      </c>
      <c r="B520" s="103" t="s">
        <v>3</v>
      </c>
      <c r="C520" s="103" t="s">
        <v>3</v>
      </c>
      <c r="D520" s="104" t="s">
        <v>35</v>
      </c>
      <c r="E520" s="103" t="s">
        <v>5</v>
      </c>
      <c r="F520" s="339" t="s">
        <v>27</v>
      </c>
      <c r="G520" s="305"/>
      <c r="H520" s="104" t="s">
        <v>27</v>
      </c>
      <c r="I520" s="104" t="s">
        <v>26</v>
      </c>
      <c r="J520" s="115" t="s">
        <v>6</v>
      </c>
      <c r="N520" s="249" t="s">
        <v>3</v>
      </c>
      <c r="O520" s="249" t="s">
        <v>3</v>
      </c>
    </row>
    <row r="521" spans="1:15" s="1" customFormat="1" ht="15.9" customHeight="1">
      <c r="A521" s="123">
        <f>IF(C521="","",1)</f>
        <v>1</v>
      </c>
      <c r="B521" s="121" t="str">
        <f>IF($D$127=5,N521,IF($D$127=6,N522,IF($D$127=8,N523,IF($D$127=10,N524,IF($D$127=12,N525,IF($D$127=14,N526,IF($D$127=18,N527,IF($D$127=20,N528,IF($D$127=22,N529,)))))))))</f>
        <v>กระจก 6 mm (สูง) (กว้าง)</v>
      </c>
      <c r="C521" s="121" t="str">
        <f>IF($D$127=5,O521,IF($D$127=6,O522,IF($D$127=8,O523,IF($D$127=10,O524,IF($D$127=12,O525,IF($D$127=14,O526,IF($D$127=18,O527,IF($D$127=20,O528,IF($D$127=22,O529,)))))))))</f>
        <v>GLASS thk.6 mm (H) (W)</v>
      </c>
      <c r="D521" s="124">
        <f>$J$123-215</f>
        <v>2285</v>
      </c>
      <c r="E521" s="123" t="s">
        <v>11</v>
      </c>
      <c r="F521" s="527" t="s">
        <v>271</v>
      </c>
      <c r="G521" s="528"/>
      <c r="H521" s="123" t="s">
        <v>405</v>
      </c>
      <c r="I521" s="124">
        <f>(($J$126-185-(113.25*4))/5)-13</f>
        <v>559.4</v>
      </c>
      <c r="J521" s="151">
        <f>$J$120*5</f>
        <v>5</v>
      </c>
      <c r="M521" s="1">
        <f>ROW()</f>
        <v>521</v>
      </c>
      <c r="N521" s="19" t="s">
        <v>194</v>
      </c>
      <c r="O521" s="19" t="s">
        <v>195</v>
      </c>
    </row>
    <row r="522" spans="1:15" s="1" customFormat="1" ht="15.9" customHeight="1">
      <c r="A522" s="346"/>
      <c r="B522" s="295"/>
      <c r="C522" s="295"/>
      <c r="D522" s="296"/>
      <c r="E522" s="238"/>
      <c r="F522" s="251"/>
      <c r="G522" s="297"/>
      <c r="H522" s="238"/>
      <c r="I522" s="298"/>
      <c r="J522" s="299"/>
      <c r="M522" s="1">
        <f>ROW()</f>
        <v>522</v>
      </c>
      <c r="N522" s="19" t="s">
        <v>53</v>
      </c>
      <c r="O522" s="19" t="s">
        <v>54</v>
      </c>
    </row>
    <row r="523" spans="1:15" s="1" customFormat="1" ht="15.9" customHeight="1">
      <c r="A523" s="346"/>
      <c r="B523" s="295"/>
      <c r="C523" s="295"/>
      <c r="D523" s="296"/>
      <c r="E523" s="238"/>
      <c r="F523" s="251"/>
      <c r="G523" s="297"/>
      <c r="H523" s="238"/>
      <c r="I523" s="298"/>
      <c r="J523" s="299"/>
      <c r="M523" s="1">
        <f>ROW()</f>
        <v>523</v>
      </c>
      <c r="N523" s="19" t="s">
        <v>257</v>
      </c>
      <c r="O523" s="19" t="s">
        <v>258</v>
      </c>
    </row>
    <row r="524" spans="1:15" s="1" customFormat="1" ht="15.9" customHeight="1">
      <c r="A524" s="129" t="str">
        <f>IF(B524="","",+#REF!+1)</f>
        <v/>
      </c>
      <c r="B524" s="127"/>
      <c r="C524" s="127"/>
      <c r="D524" s="128"/>
      <c r="E524" s="129"/>
      <c r="F524" s="155"/>
      <c r="G524" s="157"/>
      <c r="H524" s="129"/>
      <c r="I524" s="144"/>
      <c r="J524" s="130"/>
      <c r="M524" s="1">
        <f>ROW()</f>
        <v>524</v>
      </c>
      <c r="N524" s="19" t="s">
        <v>259</v>
      </c>
      <c r="O524" s="19" t="s">
        <v>265</v>
      </c>
    </row>
    <row r="525" spans="1:15" s="1" customFormat="1" ht="15.9" customHeight="1">
      <c r="A525" s="135" t="str">
        <f>IF(B525="","",+A524+1)</f>
        <v/>
      </c>
      <c r="B525" s="133"/>
      <c r="C525" s="133"/>
      <c r="D525" s="134"/>
      <c r="E525" s="135"/>
      <c r="F525" s="158"/>
      <c r="G525" s="159"/>
      <c r="H525" s="135"/>
      <c r="I525" s="145"/>
      <c r="J525" s="136"/>
      <c r="M525" s="1">
        <f>ROW()</f>
        <v>525</v>
      </c>
      <c r="N525" s="19" t="s">
        <v>260</v>
      </c>
      <c r="O525" s="19" t="s">
        <v>266</v>
      </c>
    </row>
    <row r="526" spans="1:15" s="1" customFormat="1" ht="15.9" customHeight="1">
      <c r="A526" s="17"/>
      <c r="B526" s="56"/>
      <c r="C526" s="56"/>
      <c r="D526" s="30"/>
      <c r="E526" s="17"/>
      <c r="F526" s="17"/>
      <c r="G526" s="17"/>
      <c r="H526" s="109"/>
      <c r="I526" s="109"/>
      <c r="J526" s="24"/>
      <c r="M526" s="1">
        <f>ROW()</f>
        <v>526</v>
      </c>
      <c r="N526" s="19" t="s">
        <v>261</v>
      </c>
      <c r="O526" s="19" t="s">
        <v>267</v>
      </c>
    </row>
    <row r="527" spans="1:15">
      <c r="J527" s="99" t="str">
        <f>LEFT($J$111,13)&amp;"-05"</f>
        <v>FG-240-5P4L1R-05</v>
      </c>
      <c r="M527" s="1">
        <f>ROW()</f>
        <v>527</v>
      </c>
      <c r="N527" s="19" t="s">
        <v>262</v>
      </c>
      <c r="O527" s="19" t="s">
        <v>268</v>
      </c>
    </row>
    <row r="528" spans="1:15">
      <c r="M528" s="1">
        <f>ROW()</f>
        <v>528</v>
      </c>
      <c r="N528" s="19" t="s">
        <v>263</v>
      </c>
      <c r="O528" s="19" t="s">
        <v>269</v>
      </c>
    </row>
    <row r="529" spans="13:15">
      <c r="M529" s="1">
        <f>ROW()</f>
        <v>529</v>
      </c>
      <c r="N529" s="19" t="s">
        <v>264</v>
      </c>
      <c r="O529" s="19" t="s">
        <v>270</v>
      </c>
    </row>
  </sheetData>
  <dataConsolidate function="product">
    <dataRefs count="1">
      <dataRef ref="O154:O162" sheet="240_2Panel(L)" r:id="rId1"/>
    </dataRefs>
  </dataConsolidate>
  <mergeCells count="46">
    <mergeCell ref="A6:J6"/>
    <mergeCell ref="H120:I121"/>
    <mergeCell ref="J120:J121"/>
    <mergeCell ref="D121:G121"/>
    <mergeCell ref="A117:J117"/>
    <mergeCell ref="D119:G119"/>
    <mergeCell ref="I158:J158"/>
    <mergeCell ref="D159:D160"/>
    <mergeCell ref="H159:H160"/>
    <mergeCell ref="I159:J160"/>
    <mergeCell ref="D127:G127"/>
    <mergeCell ref="A131:J131"/>
    <mergeCell ref="D129:G129"/>
    <mergeCell ref="I154:J154"/>
    <mergeCell ref="I155:J155"/>
    <mergeCell ref="I156:J156"/>
    <mergeCell ref="H123:I124"/>
    <mergeCell ref="J123:J124"/>
    <mergeCell ref="A125:B125"/>
    <mergeCell ref="H126:I127"/>
    <mergeCell ref="J126:J127"/>
    <mergeCell ref="D123:G123"/>
    <mergeCell ref="D125:G125"/>
    <mergeCell ref="D163:D167"/>
    <mergeCell ref="D168:D169"/>
    <mergeCell ref="D170:D171"/>
    <mergeCell ref="H163:H167"/>
    <mergeCell ref="H161:H162"/>
    <mergeCell ref="H168:H169"/>
    <mergeCell ref="H170:H171"/>
    <mergeCell ref="F521:G521"/>
    <mergeCell ref="I161:J161"/>
    <mergeCell ref="I157:J157"/>
    <mergeCell ref="A519:J519"/>
    <mergeCell ref="A427:J427"/>
    <mergeCell ref="A320:J320"/>
    <mergeCell ref="A213:J213"/>
    <mergeCell ref="F331:G331"/>
    <mergeCell ref="F334:G334"/>
    <mergeCell ref="F330:G330"/>
    <mergeCell ref="C308:E308"/>
    <mergeCell ref="A172:J172"/>
    <mergeCell ref="I162:J165"/>
    <mergeCell ref="I166:J167"/>
    <mergeCell ref="I168:J168"/>
    <mergeCell ref="D161:D162"/>
  </mergeCells>
  <dataValidations count="4">
    <dataValidation type="list" allowBlank="1" showInputMessage="1" showErrorMessage="1" sqref="D127:G127">
      <formula1>$N$120:$N$128</formula1>
    </dataValidation>
    <dataValidation type="list" allowBlank="1" showInputMessage="1" showErrorMessage="1" sqref="C206">
      <formula1>$O$174:$O$192</formula1>
    </dataValidation>
    <dataValidation type="list" allowBlank="1" showInputMessage="1" showErrorMessage="1" sqref="D129:G129">
      <formula1>$O$120</formula1>
    </dataValidation>
    <dataValidation type="list" allowBlank="1" showInputMessage="1" showErrorMessage="1" sqref="D123:G123">
      <formula1>$P$119:$P$128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16383" man="1"/>
    <brk id="421" max="9" man="1"/>
  </rowBreaks>
  <drawing r:id="rId3"/>
  <legacyDrawing r:id="rId4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>
    <tabColor theme="5" tint="-0.249977111117893"/>
  </sheetPr>
  <dimension ref="A1:Y528"/>
  <sheetViews>
    <sheetView showGridLines="0" view="pageBreakPreview" topLeftCell="A109" zoomScale="75" zoomScaleNormal="75" zoomScaleSheetLayoutView="75" workbookViewId="0">
      <selection activeCell="H120" sqref="H120:I121"/>
    </sheetView>
  </sheetViews>
  <sheetFormatPr defaultRowHeight="14.4" outlineLevelRow="1" outlineLevelCol="1"/>
  <cols>
    <col min="1" max="1" width="7" customWidth="1"/>
    <col min="2" max="2" width="40.6640625" customWidth="1"/>
    <col min="3" max="3" width="61.3320312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7.88671875" bestFit="1" customWidth="1"/>
    <col min="9" max="9" width="11.109375" bestFit="1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3.4414062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05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05"/>
      <c r="E3" s="205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147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>
      <c r="G45" s="10"/>
    </row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/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338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05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05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5.6">
      <c r="A118" s="12"/>
      <c r="C118" s="8"/>
      <c r="D118" s="15"/>
      <c r="E118" s="13"/>
      <c r="J118" s="204"/>
      <c r="K118" s="11"/>
      <c r="L118" s="56"/>
      <c r="M118" s="56"/>
      <c r="N118" s="56"/>
    </row>
    <row r="119" spans="1:16" s="1" customFormat="1" ht="15" customHeight="1">
      <c r="A119" s="12"/>
      <c r="C119" s="110" t="s">
        <v>635</v>
      </c>
      <c r="D119" s="524" t="s">
        <v>673</v>
      </c>
      <c r="E119" s="525"/>
      <c r="F119" s="525"/>
      <c r="G119" s="526"/>
      <c r="I119" s="16"/>
      <c r="J119" s="12"/>
      <c r="N119" s="243" t="s">
        <v>191</v>
      </c>
      <c r="O119" s="12" t="s">
        <v>227</v>
      </c>
      <c r="P119" s="247" t="s">
        <v>16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4">
        <v>5</v>
      </c>
      <c r="O120" s="12" t="s">
        <v>243</v>
      </c>
      <c r="P120" s="335" t="s">
        <v>389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6</v>
      </c>
      <c r="O121" s="12" t="s">
        <v>244</v>
      </c>
      <c r="P121" s="336" t="s">
        <v>390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8</v>
      </c>
      <c r="P122" s="336" t="s">
        <v>391</v>
      </c>
    </row>
    <row r="123" spans="1:16" s="1" customFormat="1" ht="15" customHeight="1">
      <c r="A123" s="12"/>
      <c r="C123" s="110" t="s">
        <v>629</v>
      </c>
      <c r="D123" s="524" t="s">
        <v>392</v>
      </c>
      <c r="E123" s="525"/>
      <c r="F123" s="525"/>
      <c r="G123" s="526"/>
      <c r="H123" s="519" t="s">
        <v>638</v>
      </c>
      <c r="I123" s="520"/>
      <c r="J123" s="517">
        <v>3700</v>
      </c>
      <c r="N123" s="245">
        <v>10</v>
      </c>
      <c r="P123" s="336" t="s">
        <v>392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12</v>
      </c>
      <c r="P124" s="335" t="s">
        <v>393</v>
      </c>
    </row>
    <row r="125" spans="1:16" s="1" customFormat="1" ht="15" customHeight="1">
      <c r="A125" s="532"/>
      <c r="B125" s="532"/>
      <c r="C125" s="111" t="s">
        <v>630</v>
      </c>
      <c r="D125" s="524" t="s">
        <v>663</v>
      </c>
      <c r="E125" s="525"/>
      <c r="F125" s="525"/>
      <c r="G125" s="526"/>
      <c r="H125" s="41"/>
      <c r="I125" s="41"/>
      <c r="J125" s="12"/>
      <c r="K125" s="202"/>
      <c r="L125" s="77"/>
      <c r="N125" s="245">
        <v>14</v>
      </c>
      <c r="P125" s="335" t="s">
        <v>394</v>
      </c>
    </row>
    <row r="126" spans="1:16" s="1" customFormat="1" ht="15" customHeight="1">
      <c r="A126" s="204"/>
      <c r="B126" s="204"/>
      <c r="C126" s="423" t="s">
        <v>631</v>
      </c>
      <c r="D126" s="15"/>
      <c r="H126" s="519" t="s">
        <v>639</v>
      </c>
      <c r="I126" s="520"/>
      <c r="J126" s="517">
        <v>4000</v>
      </c>
      <c r="K126" s="202"/>
      <c r="L126" s="77"/>
      <c r="N126" s="245">
        <v>18</v>
      </c>
      <c r="P126" s="335" t="s">
        <v>395</v>
      </c>
    </row>
    <row r="127" spans="1:16" s="1" customFormat="1" ht="15" customHeight="1">
      <c r="A127" s="204"/>
      <c r="B127" s="204"/>
      <c r="C127" s="110" t="s">
        <v>633</v>
      </c>
      <c r="D127" s="534">
        <v>6</v>
      </c>
      <c r="E127" s="535"/>
      <c r="F127" s="535"/>
      <c r="G127" s="536"/>
      <c r="H127" s="520"/>
      <c r="I127" s="520"/>
      <c r="J127" s="518"/>
      <c r="N127" s="245">
        <v>20</v>
      </c>
      <c r="P127" s="335" t="s">
        <v>396</v>
      </c>
    </row>
    <row r="128" spans="1:16" s="1" customFormat="1" ht="18.75" customHeight="1">
      <c r="C128" s="423" t="s">
        <v>632</v>
      </c>
      <c r="I128" s="12"/>
      <c r="J128" s="12"/>
      <c r="N128" s="245">
        <v>22</v>
      </c>
      <c r="P128" s="335" t="s">
        <v>397</v>
      </c>
    </row>
    <row r="129" spans="1:23" s="1" customFormat="1" ht="15" customHeight="1">
      <c r="A129" s="88" t="str">
        <f>A18</f>
        <v>240-5 Panel (5L)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314</v>
      </c>
      <c r="G133" s="186">
        <v>1</v>
      </c>
      <c r="H133" s="186" t="s">
        <v>52</v>
      </c>
      <c r="I133" s="124">
        <f>$J$126-60</f>
        <v>3940</v>
      </c>
      <c r="J133" s="125">
        <f t="shared" ref="J133:J153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10</v>
      </c>
      <c r="U133" s="283" t="s">
        <v>297</v>
      </c>
      <c r="V133" s="285">
        <f>($J$126-182-(113.25*4))/5</f>
        <v>673</v>
      </c>
      <c r="W133" s="286">
        <f>$J$121*T133</f>
        <v>0</v>
      </c>
    </row>
    <row r="134" spans="1:23" s="1" customFormat="1" ht="18" customHeight="1">
      <c r="A134" s="143">
        <f t="shared" ref="A134:A153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3914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10</v>
      </c>
      <c r="U134" s="283" t="s">
        <v>297</v>
      </c>
      <c r="V134" s="285">
        <f t="shared" ref="V134:V135" si="2">($J$126-182-(113.25*4))/5</f>
        <v>673</v>
      </c>
      <c r="W134" s="131">
        <f t="shared" ref="W134:W135" si="3">$J$121*T134</f>
        <v>0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3940</v>
      </c>
      <c r="J135" s="131">
        <f t="shared" si="0"/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10</v>
      </c>
      <c r="U135" s="283" t="s">
        <v>297</v>
      </c>
      <c r="V135" s="285">
        <f t="shared" si="2"/>
        <v>673</v>
      </c>
      <c r="W135" s="293">
        <f t="shared" si="3"/>
        <v>0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3940</v>
      </c>
      <c r="J136" s="131">
        <f t="shared" si="0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10</v>
      </c>
      <c r="U136" s="283" t="s">
        <v>64</v>
      </c>
      <c r="V136" s="288">
        <f>$J$123-242</f>
        <v>3458</v>
      </c>
      <c r="W136" s="286">
        <f>$J$121*T136</f>
        <v>0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3700</v>
      </c>
      <c r="J137" s="131">
        <f t="shared" si="0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10</v>
      </c>
      <c r="U137" s="129" t="s">
        <v>64</v>
      </c>
      <c r="V137" s="130">
        <f>$J$123-242</f>
        <v>3458</v>
      </c>
      <c r="W137" s="131">
        <f t="shared" ref="W137:W138" si="4">$J$121*T137</f>
        <v>0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505</v>
      </c>
      <c r="G138" s="143">
        <v>1</v>
      </c>
      <c r="H138" s="143" t="s">
        <v>61</v>
      </c>
      <c r="I138" s="130">
        <f>$J$123</f>
        <v>3700</v>
      </c>
      <c r="J138" s="131">
        <f t="shared" si="0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10</v>
      </c>
      <c r="U138" s="135" t="s">
        <v>64</v>
      </c>
      <c r="V138" s="136">
        <f>$J$123-242</f>
        <v>3458</v>
      </c>
      <c r="W138" s="293">
        <f t="shared" si="4"/>
        <v>0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3604</v>
      </c>
      <c r="J139" s="131">
        <f t="shared" si="0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3604</v>
      </c>
      <c r="J140" s="131">
        <f t="shared" ref="J140" si="5">$J$120*G140</f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5</v>
      </c>
      <c r="H141" s="143" t="s">
        <v>297</v>
      </c>
      <c r="I141" s="178">
        <f>($J$126-182-(113.25*4))/5</f>
        <v>673</v>
      </c>
      <c r="J141" s="131">
        <f t="shared" ref="J141:J147" si="6">$J$120*G141</f>
        <v>5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5</v>
      </c>
      <c r="H142" s="143" t="s">
        <v>297</v>
      </c>
      <c r="I142" s="178">
        <f>($J$126-182-(113.25*4))/5</f>
        <v>673</v>
      </c>
      <c r="J142" s="131">
        <f t="shared" si="6"/>
        <v>5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7</v>
      </c>
      <c r="H143" s="143" t="s">
        <v>63</v>
      </c>
      <c r="I143" s="130">
        <f>$J$123-92</f>
        <v>3608</v>
      </c>
      <c r="J143" s="131">
        <f t="shared" si="6"/>
        <v>7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2</v>
      </c>
      <c r="H144" s="143" t="s">
        <v>63</v>
      </c>
      <c r="I144" s="130">
        <f t="shared" ref="I144:I145" si="7">$J$123-92</f>
        <v>3608</v>
      </c>
      <c r="J144" s="131">
        <f t="shared" si="6"/>
        <v>2</v>
      </c>
      <c r="N144" s="98"/>
    </row>
    <row r="145" spans="1:14" s="1" customFormat="1" ht="18" customHeight="1">
      <c r="A145" s="143">
        <f t="shared" si="1"/>
        <v>13</v>
      </c>
      <c r="B145" s="140" t="s">
        <v>116</v>
      </c>
      <c r="C145" s="140" t="s">
        <v>99</v>
      </c>
      <c r="D145" s="139" t="s">
        <v>50</v>
      </c>
      <c r="E145" s="143">
        <v>1.1060000000000001</v>
      </c>
      <c r="F145" s="139" t="s">
        <v>506</v>
      </c>
      <c r="G145" s="143">
        <v>1</v>
      </c>
      <c r="H145" s="143" t="s">
        <v>63</v>
      </c>
      <c r="I145" s="130">
        <f t="shared" si="7"/>
        <v>3608</v>
      </c>
      <c r="J145" s="131">
        <f t="shared" si="6"/>
        <v>1</v>
      </c>
      <c r="N145" s="98"/>
    </row>
    <row r="146" spans="1:14" s="1" customFormat="1" ht="18" customHeight="1">
      <c r="A146" s="143">
        <f t="shared" si="1"/>
        <v>14</v>
      </c>
      <c r="B146" s="127" t="str">
        <f t="shared" ref="B146:I146" si="8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40" t="str">
        <f t="shared" si="8"/>
        <v>5-6mm GLAZING BEAD HORIZONTAL</v>
      </c>
      <c r="D146" s="140" t="str">
        <f t="shared" si="8"/>
        <v>B24008</v>
      </c>
      <c r="E146" s="140">
        <f t="shared" si="8"/>
        <v>0.23100000000000001</v>
      </c>
      <c r="F146" s="140" t="str">
        <f t="shared" si="8"/>
        <v>B24008-001</v>
      </c>
      <c r="G146" s="143">
        <f t="shared" si="8"/>
        <v>10</v>
      </c>
      <c r="H146" s="129" t="str">
        <f t="shared" si="8"/>
        <v>(W-182-(113.25 × 4))/5</v>
      </c>
      <c r="I146" s="178">
        <f t="shared" si="8"/>
        <v>673</v>
      </c>
      <c r="J146" s="131">
        <f t="shared" si="6"/>
        <v>10</v>
      </c>
      <c r="N146" s="98"/>
    </row>
    <row r="147" spans="1:14" s="1" customFormat="1" ht="18" customHeight="1">
      <c r="A147" s="143">
        <f t="shared" si="1"/>
        <v>15</v>
      </c>
      <c r="B147" s="127" t="str">
        <f t="shared" ref="B147:I147" si="9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40" t="str">
        <f t="shared" si="9"/>
        <v>5-6mm GLAZING BEAD VERTICAL</v>
      </c>
      <c r="D147" s="140" t="str">
        <f t="shared" si="9"/>
        <v>B24008</v>
      </c>
      <c r="E147" s="140">
        <f t="shared" si="9"/>
        <v>0.23100000000000001</v>
      </c>
      <c r="F147" s="140" t="str">
        <f t="shared" si="9"/>
        <v>B24008-002</v>
      </c>
      <c r="G147" s="143">
        <f t="shared" si="9"/>
        <v>10</v>
      </c>
      <c r="H147" s="129" t="str">
        <f t="shared" si="9"/>
        <v>H-242</v>
      </c>
      <c r="I147" s="144">
        <f t="shared" si="9"/>
        <v>3458</v>
      </c>
      <c r="J147" s="131">
        <f t="shared" si="6"/>
        <v>10</v>
      </c>
      <c r="N147" s="98"/>
    </row>
    <row r="148" spans="1:14" s="1" customFormat="1" ht="18" customHeight="1">
      <c r="A148" s="143" t="str">
        <f t="shared" si="1"/>
        <v/>
      </c>
      <c r="B148" s="140"/>
      <c r="C148" s="140"/>
      <c r="D148" s="139"/>
      <c r="E148" s="143"/>
      <c r="F148" s="139"/>
      <c r="G148" s="143"/>
      <c r="H148" s="143"/>
      <c r="I148" s="130"/>
      <c r="J148" s="131">
        <f t="shared" si="0"/>
        <v>0</v>
      </c>
      <c r="N148" s="98"/>
    </row>
    <row r="149" spans="1:14" s="1" customFormat="1" ht="18" customHeight="1">
      <c r="A149" s="143" t="str">
        <f t="shared" si="1"/>
        <v/>
      </c>
      <c r="B149" s="140"/>
      <c r="C149" s="140"/>
      <c r="D149" s="139"/>
      <c r="E149" s="143"/>
      <c r="F149" s="139"/>
      <c r="G149" s="143"/>
      <c r="H149" s="143"/>
      <c r="I149" s="130"/>
      <c r="J149" s="131">
        <f t="shared" si="0"/>
        <v>0</v>
      </c>
      <c r="N149" s="98"/>
    </row>
    <row r="150" spans="1:14" s="1" customFormat="1" ht="18" customHeight="1">
      <c r="A150" s="143" t="str">
        <f t="shared" si="1"/>
        <v/>
      </c>
      <c r="B150" s="140"/>
      <c r="C150" s="140"/>
      <c r="D150" s="139"/>
      <c r="E150" s="143"/>
      <c r="F150" s="139"/>
      <c r="G150" s="143"/>
      <c r="H150" s="143"/>
      <c r="I150" s="130"/>
      <c r="J150" s="131"/>
      <c r="N150" s="98"/>
    </row>
    <row r="151" spans="1:14" s="1" customFormat="1" ht="18" customHeight="1">
      <c r="A151" s="143" t="str">
        <f t="shared" si="1"/>
        <v/>
      </c>
      <c r="B151" s="140"/>
      <c r="C151" s="140"/>
      <c r="D151" s="139"/>
      <c r="E151" s="143"/>
      <c r="F151" s="139"/>
      <c r="G151" s="143"/>
      <c r="H151" s="143"/>
      <c r="I151" s="130"/>
      <c r="J151" s="131">
        <f t="shared" si="0"/>
        <v>0</v>
      </c>
      <c r="N151" s="98"/>
    </row>
    <row r="152" spans="1:14" s="1" customFormat="1" ht="18" customHeight="1">
      <c r="A152" s="143" t="str">
        <f t="shared" si="1"/>
        <v/>
      </c>
      <c r="B152" s="127"/>
      <c r="C152" s="127"/>
      <c r="D152" s="128"/>
      <c r="E152" s="129"/>
      <c r="F152" s="128"/>
      <c r="G152" s="129"/>
      <c r="H152" s="129"/>
      <c r="I152" s="144"/>
      <c r="J152" s="131">
        <f t="shared" si="0"/>
        <v>0</v>
      </c>
      <c r="N152" s="98"/>
    </row>
    <row r="153" spans="1:14" s="1" customFormat="1" ht="18" customHeight="1" thickBot="1">
      <c r="A153" s="143" t="str">
        <f t="shared" si="1"/>
        <v/>
      </c>
      <c r="B153" s="167"/>
      <c r="C153" s="167"/>
      <c r="D153" s="168"/>
      <c r="E153" s="166"/>
      <c r="F153" s="168"/>
      <c r="G153" s="166"/>
      <c r="H153" s="166"/>
      <c r="I153" s="171"/>
      <c r="J153" s="172">
        <f t="shared" si="0"/>
        <v>0</v>
      </c>
    </row>
    <row r="154" spans="1:14" s="1" customFormat="1" ht="27" outlineLevel="1" thickBot="1">
      <c r="A154" s="169" t="s">
        <v>2</v>
      </c>
      <c r="B154" s="169" t="s">
        <v>29</v>
      </c>
      <c r="C154" s="169" t="s">
        <v>3</v>
      </c>
      <c r="D154" s="169" t="s">
        <v>4</v>
      </c>
      <c r="E154" s="169" t="s">
        <v>5</v>
      </c>
      <c r="F154" s="177" t="s">
        <v>85</v>
      </c>
      <c r="G154" s="169" t="s">
        <v>22</v>
      </c>
      <c r="H154" s="170" t="s">
        <v>23</v>
      </c>
      <c r="I154" s="540"/>
      <c r="J154" s="541"/>
    </row>
    <row r="155" spans="1:14" s="1" customFormat="1" ht="15" customHeight="1" outlineLevel="1">
      <c r="A155" s="21">
        <f>IF(B155="","",1)</f>
        <v>1</v>
      </c>
      <c r="B155" s="173" t="str">
        <f t="shared" ref="B155:C161" si="10">B133</f>
        <v>เฟรมบน</v>
      </c>
      <c r="C155" s="173" t="str">
        <f t="shared" si="10"/>
        <v>HEAD</v>
      </c>
      <c r="D155" s="174" t="str">
        <f>VLOOKUP(C155,$C$133:$H$153,2,0)</f>
        <v>B24001</v>
      </c>
      <c r="E155" s="175">
        <f t="shared" ref="E155:E161" si="11">VLOOKUP(C155,$C$133:$H$153,3,0)</f>
        <v>1.603</v>
      </c>
      <c r="F155" s="353">
        <f>VLOOKUP(C155,$C$133:$J$153,7,0)</f>
        <v>3940</v>
      </c>
      <c r="G155" s="175">
        <f t="shared" ref="G155:G161" si="12">VLOOKUP(C155,$C$133:$J$153,8,0)</f>
        <v>1</v>
      </c>
      <c r="H155" s="191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ref="A156:A161" si="13">IF(B156="","",+A155+1)</f>
        <v>2</v>
      </c>
      <c r="B156" s="173" t="str">
        <f t="shared" si="10"/>
        <v>บังใบบน</v>
      </c>
      <c r="C156" s="173" t="str">
        <f t="shared" si="10"/>
        <v>DOOR STOP HEAD</v>
      </c>
      <c r="D156" s="174" t="str">
        <f>VLOOKUP(C156,$C$133:$H$153,2,0)</f>
        <v>B24002</v>
      </c>
      <c r="E156" s="175">
        <f t="shared" si="11"/>
        <v>0.27800000000000002</v>
      </c>
      <c r="F156" s="353">
        <f t="shared" ref="F156:F161" si="14">VLOOKUP(C156,$C$133:$I$153,7,0)</f>
        <v>3914</v>
      </c>
      <c r="G156" s="175">
        <f t="shared" si="12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si="13"/>
        <v>3</v>
      </c>
      <c r="B157" s="173" t="str">
        <f t="shared" si="10"/>
        <v xml:space="preserve">เฟรมล่าง </v>
      </c>
      <c r="C157" s="173" t="str">
        <f t="shared" si="10"/>
        <v>SILL</v>
      </c>
      <c r="D157" s="174" t="str">
        <f>VLOOKUP(C157,$C$133:$H$153,2,0)</f>
        <v>B24003</v>
      </c>
      <c r="E157" s="175">
        <f t="shared" si="11"/>
        <v>1.603</v>
      </c>
      <c r="F157" s="353">
        <f t="shared" si="14"/>
        <v>3940</v>
      </c>
      <c r="G157" s="175">
        <f t="shared" si="12"/>
        <v>1</v>
      </c>
      <c r="H157" s="192">
        <f t="shared" ref="H157:H158" si="15">ROUNDUP((F157*G157)/6400,0)</f>
        <v>1</v>
      </c>
      <c r="I157" s="501"/>
      <c r="J157" s="501"/>
    </row>
    <row r="158" spans="1:14" s="1" customFormat="1" ht="15" customHeight="1" outlineLevel="1">
      <c r="A158" s="18">
        <f t="shared" si="13"/>
        <v>4</v>
      </c>
      <c r="B158" s="173" t="str">
        <f t="shared" si="10"/>
        <v>ตัวตับธรณี</v>
      </c>
      <c r="C158" s="173" t="str">
        <f t="shared" si="10"/>
        <v>DOOR STOP SILL</v>
      </c>
      <c r="D158" s="174" t="str">
        <f>VLOOKUP(C158,$C$133:$H$153,2,0)</f>
        <v>B24004</v>
      </c>
      <c r="E158" s="175">
        <f t="shared" si="11"/>
        <v>0.51600000000000001</v>
      </c>
      <c r="F158" s="353">
        <f t="shared" si="14"/>
        <v>3940</v>
      </c>
      <c r="G158" s="175">
        <f t="shared" si="12"/>
        <v>1</v>
      </c>
      <c r="H158" s="192">
        <f t="shared" si="15"/>
        <v>1</v>
      </c>
      <c r="I158" s="501"/>
      <c r="J158" s="501"/>
    </row>
    <row r="159" spans="1:14" s="1" customFormat="1" ht="15" customHeight="1" outlineLevel="1">
      <c r="A159" s="18">
        <f t="shared" si="13"/>
        <v>5</v>
      </c>
      <c r="B159" s="173" t="str">
        <f t="shared" si="10"/>
        <v>เฟรมข้าง (ซ้าย)</v>
      </c>
      <c r="C159" s="173" t="str">
        <f t="shared" si="10"/>
        <v>JAMB (L)</v>
      </c>
      <c r="D159" s="508" t="str">
        <f>VLOOKUP(C159,$C$133:$H$153,2,0)</f>
        <v>B24005</v>
      </c>
      <c r="E159" s="175">
        <f t="shared" si="11"/>
        <v>0.89300000000000002</v>
      </c>
      <c r="F159" s="353">
        <f t="shared" si="14"/>
        <v>3700</v>
      </c>
      <c r="G159" s="175">
        <f t="shared" si="12"/>
        <v>1</v>
      </c>
      <c r="H159" s="516">
        <f>ROUNDUP(((F159*G159)+(F160*G160))/6400,0)</f>
        <v>2</v>
      </c>
      <c r="I159" s="506"/>
      <c r="J159" s="506"/>
    </row>
    <row r="160" spans="1:14" s="1" customFormat="1" ht="15" customHeight="1" outlineLevel="1">
      <c r="A160" s="18">
        <f t="shared" si="13"/>
        <v>6</v>
      </c>
      <c r="B160" s="173" t="str">
        <f t="shared" si="10"/>
        <v>เฟรมข้าง (ขวา)</v>
      </c>
      <c r="C160" s="173" t="str">
        <f t="shared" si="10"/>
        <v>JAMB (R)</v>
      </c>
      <c r="D160" s="509"/>
      <c r="E160" s="175">
        <f t="shared" si="11"/>
        <v>0.89300000000000002</v>
      </c>
      <c r="F160" s="353">
        <f t="shared" si="14"/>
        <v>3700</v>
      </c>
      <c r="G160" s="175">
        <f t="shared" si="12"/>
        <v>1</v>
      </c>
      <c r="H160" s="516"/>
      <c r="I160" s="506"/>
      <c r="J160" s="506"/>
    </row>
    <row r="161" spans="1:23" s="1" customFormat="1" ht="15" customHeight="1" outlineLevel="1">
      <c r="A161" s="18">
        <f t="shared" si="13"/>
        <v>7</v>
      </c>
      <c r="B161" s="173" t="str">
        <f>B139</f>
        <v>บังใบข้าง (ซ้าย)</v>
      </c>
      <c r="C161" s="173" t="str">
        <f t="shared" si="10"/>
        <v>DOOR STOP JAMB (L)</v>
      </c>
      <c r="D161" s="508" t="str">
        <f>VLOOKUP(C161,$C$133:$H$153,2,0)</f>
        <v>B24006</v>
      </c>
      <c r="E161" s="175">
        <f t="shared" si="11"/>
        <v>0.23499999999999999</v>
      </c>
      <c r="F161" s="353">
        <f t="shared" si="14"/>
        <v>3604</v>
      </c>
      <c r="G161" s="175">
        <f t="shared" si="12"/>
        <v>1</v>
      </c>
      <c r="H161" s="516">
        <f>ROUNDUP(((F161*G161)+(F162*G162))/6400,0)</f>
        <v>2</v>
      </c>
      <c r="I161" s="501"/>
      <c r="J161" s="501"/>
    </row>
    <row r="162" spans="1:23" s="1" customFormat="1" ht="15" customHeight="1" outlineLevel="1">
      <c r="A162" s="18">
        <f t="shared" ref="A162:A169" si="16">IF(B162="","",+A161+1)</f>
        <v>8</v>
      </c>
      <c r="B162" s="173" t="str">
        <f t="shared" ref="B162:C162" si="17">B140</f>
        <v>บังใบข้าง (ขวา)</v>
      </c>
      <c r="C162" s="173" t="str">
        <f t="shared" si="17"/>
        <v>DOOR STOP JAMB (R)</v>
      </c>
      <c r="D162" s="509"/>
      <c r="E162" s="175">
        <f t="shared" ref="E162:E169" si="18">VLOOKUP(C162,$C$133:$H$153,3,0)</f>
        <v>0.23499999999999999</v>
      </c>
      <c r="F162" s="353">
        <f t="shared" ref="F162:F169" si="19">VLOOKUP(C162,$C$133:$I$153,7,0)</f>
        <v>3604</v>
      </c>
      <c r="G162" s="175">
        <f t="shared" ref="G162:G169" si="20">VLOOKUP(C162,$C$133:$J$153,8,0)</f>
        <v>1</v>
      </c>
      <c r="H162" s="516"/>
      <c r="I162" s="506"/>
      <c r="J162" s="506"/>
    </row>
    <row r="163" spans="1:23" s="1" customFormat="1" ht="13.8" outlineLevel="1">
      <c r="A163" s="18">
        <f t="shared" si="16"/>
        <v>9</v>
      </c>
      <c r="B163" s="173" t="str">
        <f t="shared" ref="B163:C163" si="21">B141</f>
        <v>ขวางบน</v>
      </c>
      <c r="C163" s="173" t="str">
        <f t="shared" si="21"/>
        <v>SASH (Hor) (T)</v>
      </c>
      <c r="D163" s="508" t="str">
        <f t="shared" ref="D163:D168" si="22">VLOOKUP(C163,$C$133:$H$153,2,0)</f>
        <v>B24007</v>
      </c>
      <c r="E163" s="175">
        <f t="shared" si="18"/>
        <v>1.1060000000000001</v>
      </c>
      <c r="F163" s="353">
        <f t="shared" si="19"/>
        <v>673</v>
      </c>
      <c r="G163" s="175">
        <f t="shared" si="20"/>
        <v>5</v>
      </c>
      <c r="H163" s="512">
        <f>ROUNDUP(((F163*G163)+(F164*G164)+(F165*G165)+(F166*G166)+(F167*G167))/6400,0)</f>
        <v>7</v>
      </c>
      <c r="I163" s="506"/>
      <c r="J163" s="506"/>
    </row>
    <row r="164" spans="1:23" s="1" customFormat="1" ht="13.8" outlineLevel="1">
      <c r="A164" s="18">
        <f t="shared" si="16"/>
        <v>10</v>
      </c>
      <c r="B164" s="173" t="str">
        <f t="shared" ref="B164:C164" si="23">B142</f>
        <v>ขวางล่าง</v>
      </c>
      <c r="C164" s="173" t="str">
        <f t="shared" si="23"/>
        <v>SASH (Hor) (B)</v>
      </c>
      <c r="D164" s="510"/>
      <c r="E164" s="175">
        <f t="shared" si="18"/>
        <v>1.1060000000000001</v>
      </c>
      <c r="F164" s="353">
        <f t="shared" si="19"/>
        <v>673</v>
      </c>
      <c r="G164" s="175">
        <f t="shared" si="20"/>
        <v>5</v>
      </c>
      <c r="H164" s="514"/>
      <c r="I164" s="506"/>
      <c r="J164" s="506"/>
    </row>
    <row r="165" spans="1:23" s="1" customFormat="1" ht="13.8" outlineLevel="1">
      <c r="A165" s="18">
        <f t="shared" si="16"/>
        <v>11</v>
      </c>
      <c r="B165" s="173" t="str">
        <f t="shared" ref="B165:C165" si="24">B143</f>
        <v>เสา</v>
      </c>
      <c r="C165" s="173" t="str">
        <f t="shared" si="24"/>
        <v xml:space="preserve">SASH (Ver) </v>
      </c>
      <c r="D165" s="510"/>
      <c r="E165" s="175">
        <f t="shared" si="18"/>
        <v>1.1060000000000001</v>
      </c>
      <c r="F165" s="353">
        <f t="shared" si="19"/>
        <v>3608</v>
      </c>
      <c r="G165" s="175">
        <f t="shared" si="20"/>
        <v>7</v>
      </c>
      <c r="H165" s="514"/>
      <c r="I165" s="506"/>
      <c r="J165" s="506"/>
    </row>
    <row r="166" spans="1:23" s="1" customFormat="1" ht="13.8" outlineLevel="1">
      <c r="A166" s="18">
        <f t="shared" si="16"/>
        <v>12</v>
      </c>
      <c r="B166" s="173" t="str">
        <f t="shared" ref="B166:C166" si="25">B144</f>
        <v>เสากุญแจ</v>
      </c>
      <c r="C166" s="173" t="str">
        <f t="shared" si="25"/>
        <v xml:space="preserve">SASH (Ver) LOCK </v>
      </c>
      <c r="D166" s="510"/>
      <c r="E166" s="175">
        <f t="shared" si="18"/>
        <v>1.1060000000000001</v>
      </c>
      <c r="F166" s="353">
        <f t="shared" si="19"/>
        <v>3608</v>
      </c>
      <c r="G166" s="175">
        <f t="shared" si="20"/>
        <v>2</v>
      </c>
      <c r="H166" s="514"/>
      <c r="I166" s="506"/>
      <c r="J166" s="506"/>
    </row>
    <row r="167" spans="1:23" s="1" customFormat="1" ht="15" customHeight="1" outlineLevel="1">
      <c r="A167" s="18">
        <f t="shared" si="16"/>
        <v>13</v>
      </c>
      <c r="B167" s="173" t="str">
        <f t="shared" ref="B167:C167" si="26">B145</f>
        <v>เสากุญแจมือจับ</v>
      </c>
      <c r="C167" s="173" t="str">
        <f t="shared" si="26"/>
        <v>SASH (Ver) LOCK HANDLE</v>
      </c>
      <c r="D167" s="509"/>
      <c r="E167" s="175">
        <f t="shared" si="18"/>
        <v>1.1060000000000001</v>
      </c>
      <c r="F167" s="353">
        <f t="shared" si="19"/>
        <v>3608</v>
      </c>
      <c r="G167" s="175">
        <f t="shared" si="20"/>
        <v>1</v>
      </c>
      <c r="H167" s="515"/>
      <c r="I167" s="506"/>
      <c r="J167" s="506"/>
    </row>
    <row r="168" spans="1:23" s="1" customFormat="1" ht="13.8" outlineLevel="1">
      <c r="A168" s="18">
        <f t="shared" si="16"/>
        <v>14</v>
      </c>
      <c r="B168" s="173" t="str">
        <f t="shared" ref="B168:C168" si="27">B146</f>
        <v>5-6mm คิ้วตบกระจกแนวนอน</v>
      </c>
      <c r="C168" s="173" t="str">
        <f t="shared" si="27"/>
        <v>5-6mm GLAZING BEAD HORIZONTAL</v>
      </c>
      <c r="D168" s="508" t="str">
        <f t="shared" si="22"/>
        <v>B24008</v>
      </c>
      <c r="E168" s="175">
        <f t="shared" si="18"/>
        <v>0.23100000000000001</v>
      </c>
      <c r="F168" s="353">
        <f t="shared" si="19"/>
        <v>673</v>
      </c>
      <c r="G168" s="175">
        <f t="shared" si="20"/>
        <v>10</v>
      </c>
      <c r="H168" s="516">
        <f>ROUNDUP(((F168*G168)+(F169*G169))/6400,0)</f>
        <v>7</v>
      </c>
      <c r="I168" s="501"/>
      <c r="J168" s="501"/>
    </row>
    <row r="169" spans="1:23" s="1" customFormat="1" outlineLevel="1" thickBot="1">
      <c r="A169" s="18">
        <f t="shared" si="16"/>
        <v>15</v>
      </c>
      <c r="B169" s="173" t="str">
        <f t="shared" ref="B169:C169" si="28">B147</f>
        <v>5-6mm คิ้วตบกระจกแนวตั้ง</v>
      </c>
      <c r="C169" s="173" t="str">
        <f t="shared" si="28"/>
        <v>5-6mm GLAZING BEAD VERTICAL</v>
      </c>
      <c r="D169" s="511"/>
      <c r="E169" s="175">
        <f t="shared" si="18"/>
        <v>0.23100000000000001</v>
      </c>
      <c r="F169" s="353">
        <f t="shared" si="19"/>
        <v>3458</v>
      </c>
      <c r="G169" s="175">
        <f t="shared" si="20"/>
        <v>10</v>
      </c>
      <c r="H169" s="516"/>
      <c r="I169" s="206"/>
      <c r="J169" s="206"/>
    </row>
    <row r="170" spans="1:23" s="1" customFormat="1" ht="24.9" customHeight="1" thickBot="1">
      <c r="A170" s="529" t="s">
        <v>9</v>
      </c>
      <c r="B170" s="530"/>
      <c r="C170" s="530"/>
      <c r="D170" s="530"/>
      <c r="E170" s="530"/>
      <c r="F170" s="530"/>
      <c r="G170" s="530"/>
      <c r="H170" s="530"/>
      <c r="I170" s="530"/>
      <c r="J170" s="531"/>
    </row>
    <row r="171" spans="1:23" s="1" customFormat="1" ht="35.1" customHeight="1" thickBot="1">
      <c r="A171" s="102" t="s">
        <v>2</v>
      </c>
      <c r="B171" s="103" t="s">
        <v>29</v>
      </c>
      <c r="C171" s="103" t="s">
        <v>3</v>
      </c>
      <c r="D171" s="103" t="s">
        <v>199</v>
      </c>
      <c r="E171" s="103" t="s">
        <v>5</v>
      </c>
      <c r="F171" s="104" t="s">
        <v>28</v>
      </c>
      <c r="G171" s="103" t="s">
        <v>19</v>
      </c>
      <c r="H171" s="104" t="s">
        <v>200</v>
      </c>
      <c r="I171" s="104" t="s">
        <v>20</v>
      </c>
      <c r="J171" s="115" t="s">
        <v>201</v>
      </c>
      <c r="N171" s="101" t="s">
        <v>191</v>
      </c>
      <c r="O171" s="246" t="s">
        <v>29</v>
      </c>
      <c r="P171" s="246" t="s">
        <v>3</v>
      </c>
      <c r="Q171" s="246" t="s">
        <v>199</v>
      </c>
      <c r="R171" s="246" t="s">
        <v>5</v>
      </c>
      <c r="S171" s="246" t="s">
        <v>28</v>
      </c>
      <c r="T171" s="246" t="s">
        <v>19</v>
      </c>
      <c r="U171" s="246" t="s">
        <v>200</v>
      </c>
      <c r="V171" s="246" t="s">
        <v>20</v>
      </c>
      <c r="W171" s="246" t="s">
        <v>201</v>
      </c>
    </row>
    <row r="172" spans="1:23" s="1" customFormat="1" ht="18" customHeight="1">
      <c r="A172" s="200">
        <f>IF(B172="","",1)</f>
        <v>1</v>
      </c>
      <c r="B172" s="140" t="s">
        <v>111</v>
      </c>
      <c r="C172" s="140" t="s">
        <v>67</v>
      </c>
      <c r="D172" s="139" t="s">
        <v>74</v>
      </c>
      <c r="E172" s="143"/>
      <c r="F172" s="143" t="s">
        <v>74</v>
      </c>
      <c r="G172" s="143" t="s">
        <v>202</v>
      </c>
      <c r="H172" s="143">
        <v>10</v>
      </c>
      <c r="I172" s="184"/>
      <c r="J172" s="131">
        <f t="shared" ref="J172:J190" si="29">$J$120*H172</f>
        <v>10</v>
      </c>
      <c r="N172" s="101" t="s">
        <v>226</v>
      </c>
      <c r="O172" s="280" t="s">
        <v>252</v>
      </c>
      <c r="P172" s="290" t="s">
        <v>248</v>
      </c>
      <c r="Q172" s="280" t="s">
        <v>69</v>
      </c>
      <c r="R172" s="213"/>
      <c r="S172" s="213" t="s">
        <v>69</v>
      </c>
      <c r="T172" s="213" t="s">
        <v>198</v>
      </c>
      <c r="U172" s="291">
        <f>((($I$141*$G$141)+($I$142*$G$142)+($I$143*$G$143)+($I$144*$G$144)+($I$145*$G$145))/1000)*$J$120</f>
        <v>42.81</v>
      </c>
      <c r="V172" s="291">
        <v>100</v>
      </c>
      <c r="W172" s="292">
        <f>ROUNDUP((U172)/100,0)</f>
        <v>1</v>
      </c>
    </row>
    <row r="173" spans="1:23" s="1" customFormat="1" ht="18" customHeight="1">
      <c r="A173" s="201">
        <f>IF(B173="","",+A172+1)</f>
        <v>2</v>
      </c>
      <c r="B173" s="140" t="s">
        <v>106</v>
      </c>
      <c r="C173" s="140" t="s">
        <v>503</v>
      </c>
      <c r="D173" s="139" t="s">
        <v>75</v>
      </c>
      <c r="E173" s="143"/>
      <c r="F173" s="143" t="s">
        <v>75</v>
      </c>
      <c r="G173" s="143" t="s">
        <v>202</v>
      </c>
      <c r="H173" s="143">
        <v>2</v>
      </c>
      <c r="I173" s="184"/>
      <c r="J173" s="131">
        <f t="shared" si="29"/>
        <v>2</v>
      </c>
      <c r="N173" s="101" t="s">
        <v>230</v>
      </c>
      <c r="O173" s="280" t="s">
        <v>253</v>
      </c>
      <c r="P173" s="290" t="s">
        <v>249</v>
      </c>
      <c r="Q173" s="280" t="s">
        <v>188</v>
      </c>
      <c r="R173" s="213"/>
      <c r="S173" s="213" t="s">
        <v>188</v>
      </c>
      <c r="T173" s="213" t="s">
        <v>198</v>
      </c>
      <c r="U173" s="291">
        <f>((($I$141*$G$141)+($I$142*$G$142)+($I$143*$G$143)+($I$144*$G$144)+($I$145*$G$145))/1000)*$J$120</f>
        <v>42.81</v>
      </c>
      <c r="V173" s="291">
        <v>100</v>
      </c>
      <c r="W173" s="292">
        <f t="shared" ref="W173:W175" si="30">ROUNDUP((U173)/100,0)</f>
        <v>1</v>
      </c>
    </row>
    <row r="174" spans="1:23" s="1" customFormat="1" ht="18" customHeight="1">
      <c r="A174" s="201">
        <f t="shared" ref="A174:A203" si="31">IF(B174="","",+A173+1)</f>
        <v>3</v>
      </c>
      <c r="B174" s="140" t="s">
        <v>107</v>
      </c>
      <c r="C174" s="140" t="s">
        <v>504</v>
      </c>
      <c r="D174" s="139" t="s">
        <v>76</v>
      </c>
      <c r="E174" s="143"/>
      <c r="F174" s="143" t="s">
        <v>76</v>
      </c>
      <c r="G174" s="143" t="s">
        <v>202</v>
      </c>
      <c r="H174" s="143">
        <v>2</v>
      </c>
      <c r="I174" s="130"/>
      <c r="J174" s="131">
        <f t="shared" si="29"/>
        <v>2</v>
      </c>
      <c r="N174" s="101" t="s">
        <v>229</v>
      </c>
      <c r="O174" s="290" t="s">
        <v>254</v>
      </c>
      <c r="P174" s="290" t="s">
        <v>250</v>
      </c>
      <c r="Q174" s="280" t="s">
        <v>70</v>
      </c>
      <c r="R174" s="213"/>
      <c r="S174" s="213" t="s">
        <v>70</v>
      </c>
      <c r="T174" s="213" t="s">
        <v>198</v>
      </c>
      <c r="U174" s="291">
        <f>((($I$141*$G$141)+($I$142*$G$142)+($I$143*$G$143)+($I$144*$G$144)+($I$145*$G$145))/1000)*$J$120</f>
        <v>42.81</v>
      </c>
      <c r="V174" s="291">
        <v>100</v>
      </c>
      <c r="W174" s="292">
        <f t="shared" si="30"/>
        <v>1</v>
      </c>
    </row>
    <row r="175" spans="1:23" s="1" customFormat="1" ht="18" customHeight="1">
      <c r="A175" s="201">
        <f t="shared" si="31"/>
        <v>4</v>
      </c>
      <c r="B175" s="140" t="s">
        <v>108</v>
      </c>
      <c r="C175" s="140" t="s">
        <v>10</v>
      </c>
      <c r="D175" s="139">
        <v>9</v>
      </c>
      <c r="E175" s="143"/>
      <c r="F175" s="143">
        <v>9</v>
      </c>
      <c r="G175" s="143" t="s">
        <v>202</v>
      </c>
      <c r="H175" s="143">
        <v>8</v>
      </c>
      <c r="I175" s="130"/>
      <c r="J175" s="131">
        <f t="shared" si="29"/>
        <v>8</v>
      </c>
      <c r="N175" s="101" t="s">
        <v>231</v>
      </c>
      <c r="O175" s="290" t="s">
        <v>255</v>
      </c>
      <c r="P175" s="290" t="s">
        <v>251</v>
      </c>
      <c r="Q175" s="280" t="s">
        <v>189</v>
      </c>
      <c r="R175" s="213"/>
      <c r="S175" s="213" t="s">
        <v>189</v>
      </c>
      <c r="T175" s="213" t="s">
        <v>198</v>
      </c>
      <c r="U175" s="291">
        <f>((($I$141*$G$141)+($I$142*$G$142)+($I$143*$G$143)+($I$144*$G$144)+($I$145*$G$145))/1000)*$J$120</f>
        <v>42.81</v>
      </c>
      <c r="V175" s="291">
        <v>100</v>
      </c>
      <c r="W175" s="292">
        <f t="shared" si="30"/>
        <v>1</v>
      </c>
    </row>
    <row r="176" spans="1:23" s="1" customFormat="1" ht="18" customHeight="1">
      <c r="A176" s="201">
        <f t="shared" si="31"/>
        <v>5</v>
      </c>
      <c r="B176" s="140" t="s">
        <v>109</v>
      </c>
      <c r="C176" s="140" t="s">
        <v>68</v>
      </c>
      <c r="D176" s="139">
        <v>9</v>
      </c>
      <c r="E176" s="143"/>
      <c r="F176" s="143">
        <v>9</v>
      </c>
      <c r="G176" s="143" t="s">
        <v>202</v>
      </c>
      <c r="H176" s="143">
        <v>110</v>
      </c>
      <c r="I176" s="130"/>
      <c r="J176" s="131">
        <f t="shared" si="29"/>
        <v>110</v>
      </c>
      <c r="N176" s="101" t="s">
        <v>232</v>
      </c>
      <c r="O176" s="290" t="s">
        <v>256</v>
      </c>
      <c r="P176" s="290" t="s">
        <v>247</v>
      </c>
      <c r="Q176" s="280" t="s">
        <v>233</v>
      </c>
      <c r="R176" s="213"/>
      <c r="S176" s="213" t="s">
        <v>233</v>
      </c>
      <c r="T176" s="213" t="s">
        <v>198</v>
      </c>
      <c r="U176" s="291">
        <f>((($I$141*$G$141)+($I$142*$G$142)+($I$143*$G$143)+($I$144*$G$144)+($I$145*$G$145))/1000)*$J$120</f>
        <v>42.81</v>
      </c>
      <c r="V176" s="291">
        <v>100</v>
      </c>
      <c r="W176" s="292">
        <f>ROUNDUP((U176)/100,0)</f>
        <v>1</v>
      </c>
    </row>
    <row r="177" spans="1:25" s="1" customFormat="1" ht="18" customHeight="1">
      <c r="A177" s="201">
        <f t="shared" si="31"/>
        <v>6</v>
      </c>
      <c r="B177" s="140" t="s">
        <v>118</v>
      </c>
      <c r="C177" s="140" t="s">
        <v>77</v>
      </c>
      <c r="D177" s="139" t="s">
        <v>80</v>
      </c>
      <c r="E177" s="143"/>
      <c r="F177" s="143" t="s">
        <v>80</v>
      </c>
      <c r="G177" s="143" t="s">
        <v>185</v>
      </c>
      <c r="H177" s="143">
        <v>1</v>
      </c>
      <c r="I177" s="130"/>
      <c r="J177" s="131">
        <f t="shared" si="29"/>
        <v>1</v>
      </c>
    </row>
    <row r="178" spans="1:25" s="1" customFormat="1" ht="18" customHeight="1">
      <c r="A178" s="201">
        <f t="shared" si="31"/>
        <v>7</v>
      </c>
      <c r="B178" s="140" t="s">
        <v>117</v>
      </c>
      <c r="C178" s="140" t="s">
        <v>79</v>
      </c>
      <c r="D178" s="139" t="s">
        <v>82</v>
      </c>
      <c r="E178" s="143"/>
      <c r="F178" s="143" t="s">
        <v>82</v>
      </c>
      <c r="G178" s="143" t="s">
        <v>185</v>
      </c>
      <c r="H178" s="143">
        <v>1</v>
      </c>
      <c r="I178" s="130"/>
      <c r="J178" s="131">
        <f t="shared" si="29"/>
        <v>1</v>
      </c>
    </row>
    <row r="179" spans="1:25" s="1" customFormat="1" ht="18" customHeight="1">
      <c r="A179" s="201">
        <f t="shared" si="31"/>
        <v>8</v>
      </c>
      <c r="B179" s="140" t="s">
        <v>131</v>
      </c>
      <c r="C179" s="140" t="s">
        <v>100</v>
      </c>
      <c r="D179" s="139" t="s">
        <v>102</v>
      </c>
      <c r="E179" s="143"/>
      <c r="F179" s="143" t="s">
        <v>102</v>
      </c>
      <c r="G179" s="143" t="s">
        <v>185</v>
      </c>
      <c r="H179" s="143">
        <v>2</v>
      </c>
      <c r="I179" s="130"/>
      <c r="J179" s="131">
        <f t="shared" si="29"/>
        <v>2</v>
      </c>
    </row>
    <row r="180" spans="1:25" s="1" customFormat="1" ht="18" customHeight="1">
      <c r="A180" s="201">
        <f t="shared" si="31"/>
        <v>9</v>
      </c>
      <c r="B180" s="140" t="s">
        <v>143</v>
      </c>
      <c r="C180" s="140" t="s">
        <v>121</v>
      </c>
      <c r="D180" s="139" t="s">
        <v>103</v>
      </c>
      <c r="E180" s="143"/>
      <c r="F180" s="143" t="s">
        <v>103</v>
      </c>
      <c r="G180" s="143" t="s">
        <v>185</v>
      </c>
      <c r="H180" s="143">
        <v>1</v>
      </c>
      <c r="I180" s="130"/>
      <c r="J180" s="131">
        <f t="shared" si="29"/>
        <v>1</v>
      </c>
    </row>
    <row r="181" spans="1:25" s="1" customFormat="1" ht="18" customHeight="1">
      <c r="A181" s="201">
        <f t="shared" si="31"/>
        <v>10</v>
      </c>
      <c r="B181" s="140" t="s">
        <v>113</v>
      </c>
      <c r="C181" s="140" t="s">
        <v>502</v>
      </c>
      <c r="D181" s="139" t="s">
        <v>83</v>
      </c>
      <c r="E181" s="143"/>
      <c r="F181" s="143" t="s">
        <v>83</v>
      </c>
      <c r="G181" s="143" t="s">
        <v>185</v>
      </c>
      <c r="H181" s="143">
        <v>2</v>
      </c>
      <c r="I181" s="130"/>
      <c r="J181" s="131">
        <f t="shared" si="29"/>
        <v>2</v>
      </c>
      <c r="N181" s="56"/>
      <c r="O181" s="56"/>
      <c r="P181" s="56"/>
      <c r="Q181" s="289"/>
      <c r="R181" s="289"/>
      <c r="S181" s="289"/>
      <c r="T181" s="17"/>
      <c r="U181" s="17"/>
      <c r="V181" s="17"/>
      <c r="W181" s="56"/>
    </row>
    <row r="182" spans="1:25" s="1" customFormat="1" ht="18" customHeight="1">
      <c r="A182" s="201">
        <f t="shared" si="31"/>
        <v>11</v>
      </c>
      <c r="B182" s="140" t="s">
        <v>122</v>
      </c>
      <c r="C182" s="140" t="s">
        <v>101</v>
      </c>
      <c r="D182" s="139" t="s">
        <v>104</v>
      </c>
      <c r="E182" s="143"/>
      <c r="F182" s="143" t="s">
        <v>104</v>
      </c>
      <c r="G182" s="143" t="s">
        <v>185</v>
      </c>
      <c r="H182" s="143">
        <v>1</v>
      </c>
      <c r="I182" s="144"/>
      <c r="J182" s="131">
        <f t="shared" si="29"/>
        <v>1</v>
      </c>
      <c r="N182" s="101" t="s">
        <v>227</v>
      </c>
      <c r="O182" s="246" t="s">
        <v>29</v>
      </c>
      <c r="P182" s="246" t="s">
        <v>3</v>
      </c>
      <c r="Q182" s="246" t="s">
        <v>199</v>
      </c>
      <c r="R182" s="246" t="s">
        <v>5</v>
      </c>
      <c r="S182" s="246" t="s">
        <v>28</v>
      </c>
      <c r="T182" s="246" t="s">
        <v>19</v>
      </c>
      <c r="U182" s="246" t="s">
        <v>200</v>
      </c>
      <c r="V182" s="246" t="s">
        <v>20</v>
      </c>
      <c r="W182" s="246" t="s">
        <v>201</v>
      </c>
    </row>
    <row r="183" spans="1:25" s="1" customFormat="1" ht="18" customHeight="1">
      <c r="A183" s="201">
        <f t="shared" si="31"/>
        <v>12</v>
      </c>
      <c r="B183" s="140" t="s">
        <v>112</v>
      </c>
      <c r="C183" s="140" t="s">
        <v>114</v>
      </c>
      <c r="D183" s="128" t="s">
        <v>520</v>
      </c>
      <c r="E183" s="129"/>
      <c r="F183" s="129" t="s">
        <v>520</v>
      </c>
      <c r="G183" s="143" t="s">
        <v>202</v>
      </c>
      <c r="H183" s="143">
        <v>4</v>
      </c>
      <c r="I183" s="144"/>
      <c r="J183" s="131">
        <f t="shared" si="29"/>
        <v>4</v>
      </c>
      <c r="N183" s="101" t="s">
        <v>240</v>
      </c>
      <c r="O183" s="290" t="s">
        <v>234</v>
      </c>
      <c r="P183" s="290" t="s">
        <v>236</v>
      </c>
      <c r="Q183" s="280" t="s">
        <v>190</v>
      </c>
      <c r="R183" s="213"/>
      <c r="S183" s="213" t="s">
        <v>190</v>
      </c>
      <c r="T183" s="213" t="s">
        <v>198</v>
      </c>
      <c r="U183" s="291">
        <f>((($I$134*$G$134)+($I$136*$G$136)+($I$139*$G$139))/1000)*$J$120</f>
        <v>11.458</v>
      </c>
      <c r="V183" s="291">
        <v>300</v>
      </c>
      <c r="W183" s="292">
        <f>ROUNDUP((U183)/V183,0)</f>
        <v>1</v>
      </c>
    </row>
    <row r="184" spans="1:25" s="1" customFormat="1" ht="18" customHeight="1">
      <c r="A184" s="201">
        <f t="shared" si="31"/>
        <v>13</v>
      </c>
      <c r="B184" s="140" t="s">
        <v>115</v>
      </c>
      <c r="C184" s="140" t="s">
        <v>45</v>
      </c>
      <c r="D184" s="139" t="s">
        <v>84</v>
      </c>
      <c r="E184" s="143"/>
      <c r="F184" s="143" t="s">
        <v>84</v>
      </c>
      <c r="G184" s="143" t="s">
        <v>202</v>
      </c>
      <c r="H184" s="143">
        <v>1</v>
      </c>
      <c r="I184" s="144"/>
      <c r="J184" s="131">
        <f t="shared" si="29"/>
        <v>1</v>
      </c>
      <c r="N184" s="101" t="s">
        <v>241</v>
      </c>
      <c r="O184" s="290" t="s">
        <v>235</v>
      </c>
      <c r="P184" s="290" t="s">
        <v>238</v>
      </c>
      <c r="Q184" s="280" t="s">
        <v>71</v>
      </c>
      <c r="R184" s="213"/>
      <c r="S184" s="213" t="s">
        <v>71</v>
      </c>
      <c r="T184" s="213" t="s">
        <v>198</v>
      </c>
      <c r="U184" s="291">
        <f>((($I$134*$G$134)+($I$136*$G$136)+($I$139*$G$139))/1000)*$J$120</f>
        <v>11.458</v>
      </c>
      <c r="V184" s="291">
        <v>100</v>
      </c>
      <c r="W184" s="292">
        <f t="shared" ref="W184:W186" si="32">ROUNDUP((U184)/V184,0)</f>
        <v>1</v>
      </c>
    </row>
    <row r="185" spans="1:25" s="1" customFormat="1" ht="18" customHeight="1">
      <c r="A185" s="201">
        <f t="shared" si="31"/>
        <v>14</v>
      </c>
      <c r="B185" s="140" t="s">
        <v>110</v>
      </c>
      <c r="C185" s="140" t="s">
        <v>66</v>
      </c>
      <c r="D185" s="139" t="s">
        <v>73</v>
      </c>
      <c r="E185" s="143"/>
      <c r="F185" s="143" t="s">
        <v>73</v>
      </c>
      <c r="G185" s="143" t="s">
        <v>202</v>
      </c>
      <c r="H185" s="143">
        <v>2</v>
      </c>
      <c r="I185" s="144"/>
      <c r="J185" s="131">
        <f>$J$120*H185</f>
        <v>2</v>
      </c>
      <c r="N185" s="101" t="s">
        <v>240</v>
      </c>
      <c r="O185" s="290" t="s">
        <v>245</v>
      </c>
      <c r="P185" s="290" t="s">
        <v>237</v>
      </c>
      <c r="Q185" s="280" t="s">
        <v>72</v>
      </c>
      <c r="R185" s="213"/>
      <c r="S185" s="213" t="s">
        <v>72</v>
      </c>
      <c r="T185" s="213" t="s">
        <v>198</v>
      </c>
      <c r="U185" s="291">
        <f>((($I$141*$G$141*2)+($I$143*$G$143*2)+($I$144*$G$144))/1000)*$J$120</f>
        <v>64.457999999999998</v>
      </c>
      <c r="V185" s="291">
        <v>350</v>
      </c>
      <c r="W185" s="292">
        <f t="shared" si="32"/>
        <v>1</v>
      </c>
    </row>
    <row r="186" spans="1:25" s="1" customFormat="1" ht="18" customHeight="1">
      <c r="A186" s="201">
        <f t="shared" si="31"/>
        <v>15</v>
      </c>
      <c r="B186" s="139" t="str">
        <f>IF($D$129="Standard",$O$183,IF($D$129="Soumdproof",$O$184,))</f>
        <v>ยางเฟรมกันน้ำ (ธรรมดา)</v>
      </c>
      <c r="C186" s="139" t="str">
        <f>IF($D$129="Standard",$P$183,IF($D$129="Soumdproof",$P$184,))</f>
        <v>FRAME SEAL (Standard)</v>
      </c>
      <c r="D186" s="139" t="str">
        <f>IF($D$129="Standard",$Q$183,IF($D$129="Soumdproof",$Q$184,))</f>
        <v>02-026</v>
      </c>
      <c r="E186" s="143">
        <f t="shared" ref="E186" si="33">IF($D$129="Standard",R184,IF($D$129="Soumdproof",R185,))</f>
        <v>0</v>
      </c>
      <c r="F186" s="143" t="str">
        <f>IF($D$129="Standard",$S$183,IF($D$129="Soumdproof",$S$184,))</f>
        <v>02-026</v>
      </c>
      <c r="G186" s="143" t="str">
        <f>IF($D$129="Standard",$T$183,IF($D$129="Soumdproof",$T$184,))</f>
        <v>M</v>
      </c>
      <c r="H186" s="261">
        <f>IF($D$129="Standard",$U$183,IF($D$129="Soumdproof",$U$184,))</f>
        <v>11.458</v>
      </c>
      <c r="I186" s="258">
        <f>IF($D$129="Standard",$V$183,IF($D$129="Soumdproof",$V$184,))</f>
        <v>300</v>
      </c>
      <c r="J186" s="267">
        <f>ROUNDUP((H186)/100,0)</f>
        <v>1</v>
      </c>
      <c r="N186" s="101" t="s">
        <v>241</v>
      </c>
      <c r="O186" s="290" t="s">
        <v>246</v>
      </c>
      <c r="P186" s="290" t="s">
        <v>239</v>
      </c>
      <c r="Q186" s="280" t="s">
        <v>193</v>
      </c>
      <c r="R186" s="213"/>
      <c r="S186" s="213" t="s">
        <v>193</v>
      </c>
      <c r="T186" s="213" t="s">
        <v>198</v>
      </c>
      <c r="U186" s="291">
        <f>((($I$141*$G$141*2)+($I$143*$G$143*2)+($I$144*$G$144))/1000)*$J$120</f>
        <v>64.457999999999998</v>
      </c>
      <c r="V186" s="291">
        <v>100</v>
      </c>
      <c r="W186" s="292">
        <f t="shared" si="32"/>
        <v>1</v>
      </c>
    </row>
    <row r="187" spans="1:25" s="1" customFormat="1" ht="18" customHeight="1">
      <c r="A187" s="201">
        <f t="shared" si="31"/>
        <v>16</v>
      </c>
      <c r="B187" s="139" t="str">
        <f>IF($D$129="Standard",$O$185,IF($D$129="Soumdproof",$O$186,))</f>
        <v>ยางแซชกันน้ำ (ธรรมดา)</v>
      </c>
      <c r="C187" s="139" t="str">
        <f>IF($D$129="Standard",$P$185,IF($D$129="Soumdproof",$P$186,))</f>
        <v>SASH SEAL FOAM (Standard)</v>
      </c>
      <c r="D187" s="139" t="str">
        <f>IF($D$129="Standard",$Q$185,IF($D$129="Soumdproof",$Q$186,))</f>
        <v>02-031</v>
      </c>
      <c r="E187" s="143">
        <f t="shared" ref="E187" si="34">IF($D$129="Standard",R186,IF($D$129="Soumdproof",R187,))</f>
        <v>0</v>
      </c>
      <c r="F187" s="143" t="str">
        <f>IF($D$129="Standard",$S$185,IF($D$129="Soumdproof",$S$186,))</f>
        <v>02-031</v>
      </c>
      <c r="G187" s="143" t="str">
        <f>IF($D$129="Standard",$T$185,IF($D$129="Soumdproof",$T$186,))</f>
        <v>M</v>
      </c>
      <c r="H187" s="261">
        <f>IF($D$129="Standard",$U$185,IF($D$129="Soumdproof",$U$186,))</f>
        <v>64.457999999999998</v>
      </c>
      <c r="I187" s="258">
        <f>IF($D$129="Standard",$V$185,IF($D$129="Soumdproof",$V$186,))</f>
        <v>350</v>
      </c>
      <c r="J187" s="267">
        <f>ROUNDUP((H187)/100,0)</f>
        <v>1</v>
      </c>
    </row>
    <row r="188" spans="1:25" s="1" customFormat="1" ht="18" customHeight="1">
      <c r="A188" s="201">
        <f t="shared" si="31"/>
        <v>17</v>
      </c>
      <c r="B188" s="241" t="str">
        <f>IF($D$127=5,$O$174,IF($D$127=6,$O$175,IF($D$127=8,$O$176,IF($D$127=10,$O$174,IF($D$127=12,$O$174,IF($D$127=14,$O$176,IF($D$127=18,$O$174,IF($D$127=20,$O$175,IF($D$127=22,"")))))))))</f>
        <v>6,20 mm ยางอัดกระจก</v>
      </c>
      <c r="C188" s="241" t="str">
        <f>IF($D$127=5,$P$174,IF($D$127=6,$P$175,IF($D$127=8,$P$176,IF($D$127=10,$P$174,IF($D$127=12,$P$174,IF($D$127=14,$P$176,IF($D$127=18,$P$174,IF($D$127=20,$P$175,IF($D$127=22,"")))))))))</f>
        <v>6,20 mm ROLL IN WEDGE</v>
      </c>
      <c r="D188" s="241" t="str">
        <f>IF($D$127=5,$Q$174,IF($D$127=6,$Q$175,IF($D$127=8,$Q$176,IF($D$127=10,$Q$174,IF($D$127=12,$Q$174,IF($D$127=14,$Q$176,IF($D$127=18,$Q$174,IF($D$127=20,$Q$175,IF($D$127=22,"")))))))))</f>
        <v>02-034</v>
      </c>
      <c r="E188" s="241">
        <f t="shared" ref="E188" si="35">IF($D$127=5,R175,IF($D$127=6,R176,IF($D$127=8,R177,IF($D$127=10,R175,IF($D$127=12,R175,IF($D$127=14,R177,IF($D$127=18,R175,IF($D$127=20,R176,IF($D$127=22,"",)))))))))</f>
        <v>0</v>
      </c>
      <c r="F188" s="242" t="str">
        <f>IF($D$127=5,$S$174,IF($D$127=6,$S$175,IF($D$127=8,$S$176,IF($D$127=10,$S$174,IF($D$127=12,$S$174,IF($D$127=14,$S$176,IF($D$127=18,$S$174,IF($D$127=20,$S$175,IF($D$127=22,"")))))))))</f>
        <v>02-034</v>
      </c>
      <c r="G188" s="242" t="str">
        <f>IF($D$127=5,$T$174,IF($D$127=6,$T$175,IF($D$127=8,$T$176,IF($D$127=10,$T$174,IF($D$127=12,$T$174,IF($D$127=14,$T$176,IF($D$127=18,$T$174,IF($D$127=20,$T$175,IF($D$127=22,"")))))))))</f>
        <v>M</v>
      </c>
      <c r="H188" s="261">
        <f>IF($D$127=5,$U$174,IF($D$127=6,$U$175,IF($D$127=8,$U$176,IF($D$127=10,$U$174*2,IF($D$127=12,$U$174,IF($D$127=14,$U$176*2,IF($D$127=18,$U$174,IF($D$127=20,$U$175,IF($D$127=22,"")))))))))</f>
        <v>42.81</v>
      </c>
      <c r="I188" s="258">
        <f>IF($D$127=5,$V$174,IF($D$127=6,$V$175,IF($D$127=8,$V$176,IF($D$127=10,$V$174,IF($D$127=12,$V$174,IF($D$127=14,$V$176,IF($D$127=18,$V$174,IF($D$127=20,$V$175,IF($D$127=22,"")))))))))</f>
        <v>100</v>
      </c>
      <c r="J188" s="267">
        <f>ROUNDUP((H188)/100,0)</f>
        <v>1</v>
      </c>
    </row>
    <row r="189" spans="1:25" s="1" customFormat="1" ht="18" customHeight="1">
      <c r="A189" s="201">
        <f t="shared" si="31"/>
        <v>18</v>
      </c>
      <c r="B189" s="241" t="str">
        <f>IF($D$127=5,$O$172,IF($D$127=6,$O$172,IF($D$127=8,$O$174,IF($D$127=10,"",IF($D$127=12,$O$173,IF($D$127=14,"",IF($D$127=18,$O$172,IF($D$127=20,$O$173,IF($D$127=22,"",)))))))))</f>
        <v>5,6,18 mm ยางรองกระจก</v>
      </c>
      <c r="C189" s="241" t="str">
        <f>IF($D$127=5,$P$172,IF($D$127=6,$P$172,IF($D$127=8,$P$174,IF($D$127=10,"",IF($D$127=12,$P$173,IF($D$127=14,"",IF($D$127=18,$P$172,IF($D$127=20,$P$173,IF($D$127=22,"",)))))))))</f>
        <v>5,6,18 mm CAPTIVE WEDGE</v>
      </c>
      <c r="D189" s="241" t="str">
        <f>IF($D$127=5,$Q$172,IF($D$127=6,$Q$172,IF($D$127=8,$Q$174,IF($D$127=10,"",IF($D$127=12,$Q$173,IF($D$127=14,"",IF($D$127=18,$Q$172,IF($D$127=20,$Q$173,IF($D$127=22,"",)))))))))</f>
        <v>02-022</v>
      </c>
      <c r="E189" s="241">
        <f t="shared" ref="E189" si="36">IF($D$127=5,R173,IF($D$127=6,R173,IF($D$127=8,R175,IF($D$127=10,"",IF($D$127=12,R174,IF($D$127=14,"",IF($D$127=18,R173,IF($D$127=20,R174,IF($D$127=22,"",)))))))))</f>
        <v>0</v>
      </c>
      <c r="F189" s="242" t="str">
        <f>IF($D$127=5,$S$172,IF($D$127=6,$S$172,IF($D$127=8,$S$174,IF($D$127=10,"",IF($D$127=12,$S$173,IF($D$127=14,"",IF($D$127=18,$S$172,IF($D$127=20,$S$173,IF($D$127=22,"",)))))))))</f>
        <v>02-022</v>
      </c>
      <c r="G189" s="242" t="str">
        <f>IF($D$127=5,$T$172,IF($D$127=6,$T$172,IF($D$127=8,$T$174,IF($D$127=10,"",IF($D$127=12,$T$173,IF($D$127=14,"",IF($D$127=18,$T$172,IF($D$127=20,$T$173,IF($D$127=22,"",)))))))))</f>
        <v>M</v>
      </c>
      <c r="H189" s="261">
        <f>IF($D$127=5,$U$172,IF($D$127=6,$U$172,IF($D$127=8,$U$174,IF($D$127=10,"",IF($D$127=12,$U$173,IF($D$127=14,"",IF($D$127=18,$U$172,IF($D$127=20,$U$173,IF($D$127=22,"")))))))))</f>
        <v>42.81</v>
      </c>
      <c r="I189" s="258">
        <f>IF($D$127=5,$V$172,IF($D$127=6,$V$172,IF($D$127=8,$V$174,IF($D$127=10,"",IF($D$127=12,$V$173,IF($D$127=14,"",IF($D$127=18,$V$172,IF($D$127=20,$V$173,IF($D$127=22,"",)))))))))</f>
        <v>100</v>
      </c>
      <c r="J189" s="267">
        <f t="shared" ref="J189" si="37">ROUNDUP((H189)/100,0)</f>
        <v>1</v>
      </c>
    </row>
    <row r="190" spans="1:25" s="1" customFormat="1" ht="18" customHeight="1">
      <c r="A190" s="201" t="str">
        <f t="shared" si="31"/>
        <v/>
      </c>
      <c r="B190" s="140"/>
      <c r="C190" s="140"/>
      <c r="D190" s="139"/>
      <c r="E190" s="143"/>
      <c r="F190" s="143"/>
      <c r="G190" s="143"/>
      <c r="H190" s="143"/>
      <c r="I190" s="130"/>
      <c r="J190" s="131">
        <f t="shared" si="29"/>
        <v>0</v>
      </c>
    </row>
    <row r="191" spans="1:25" s="1" customFormat="1" ht="18" customHeight="1">
      <c r="A191" s="201" t="str">
        <f t="shared" si="31"/>
        <v/>
      </c>
      <c r="B191" s="140"/>
      <c r="C191" s="140"/>
      <c r="D191" s="139"/>
      <c r="E191" s="143"/>
      <c r="F191" s="143"/>
      <c r="G191" s="143"/>
      <c r="H191" s="143"/>
      <c r="I191" s="130"/>
      <c r="J191" s="131">
        <f t="shared" ref="J191:J204" si="38">$J$120*H191</f>
        <v>0</v>
      </c>
    </row>
    <row r="192" spans="1:25" ht="18" customHeight="1">
      <c r="A192" s="201" t="str">
        <f t="shared" si="31"/>
        <v/>
      </c>
      <c r="B192" s="140"/>
      <c r="C192" s="140"/>
      <c r="D192" s="139"/>
      <c r="E192" s="143"/>
      <c r="F192" s="143"/>
      <c r="G192" s="143"/>
      <c r="H192" s="143"/>
      <c r="I192" s="130"/>
      <c r="J192" s="131">
        <f t="shared" si="38"/>
        <v>0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14" s="1" customFormat="1" ht="18" customHeight="1">
      <c r="A193" s="201" t="str">
        <f t="shared" si="31"/>
        <v/>
      </c>
      <c r="B193" s="140"/>
      <c r="C193" s="140"/>
      <c r="D193" s="139"/>
      <c r="E193" s="143"/>
      <c r="F193" s="143"/>
      <c r="G193" s="143"/>
      <c r="H193" s="143"/>
      <c r="I193" s="130"/>
      <c r="J193" s="131">
        <f t="shared" si="38"/>
        <v>0</v>
      </c>
    </row>
    <row r="194" spans="1:14" s="1" customFormat="1" ht="18" customHeight="1">
      <c r="A194" s="201" t="str">
        <f t="shared" si="31"/>
        <v/>
      </c>
      <c r="B194" s="140"/>
      <c r="C194" s="140"/>
      <c r="D194" s="139"/>
      <c r="E194" s="143"/>
      <c r="F194" s="143"/>
      <c r="G194" s="143"/>
      <c r="H194" s="143"/>
      <c r="I194" s="130"/>
      <c r="J194" s="131">
        <f t="shared" si="38"/>
        <v>0</v>
      </c>
    </row>
    <row r="195" spans="1:14" s="1" customFormat="1" ht="18" customHeight="1">
      <c r="A195" s="201" t="str">
        <f t="shared" si="31"/>
        <v/>
      </c>
      <c r="B195" s="140"/>
      <c r="C195" s="140"/>
      <c r="D195" s="139"/>
      <c r="E195" s="143"/>
      <c r="F195" s="143"/>
      <c r="G195" s="143"/>
      <c r="H195" s="143"/>
      <c r="I195" s="130"/>
      <c r="J195" s="131">
        <f t="shared" si="38"/>
        <v>0</v>
      </c>
    </row>
    <row r="196" spans="1:14" s="1" customFormat="1" ht="18" customHeight="1">
      <c r="A196" s="201" t="str">
        <f t="shared" si="31"/>
        <v/>
      </c>
      <c r="B196" s="140"/>
      <c r="C196" s="140"/>
      <c r="D196" s="139"/>
      <c r="E196" s="143"/>
      <c r="F196" s="143"/>
      <c r="G196" s="143"/>
      <c r="H196" s="143"/>
      <c r="I196" s="130"/>
      <c r="J196" s="131">
        <f t="shared" si="38"/>
        <v>0</v>
      </c>
    </row>
    <row r="197" spans="1:14" s="1" customFormat="1" ht="18" customHeight="1">
      <c r="A197" s="201" t="str">
        <f t="shared" si="31"/>
        <v/>
      </c>
      <c r="B197" s="140"/>
      <c r="C197" s="140"/>
      <c r="D197" s="139"/>
      <c r="E197" s="143"/>
      <c r="F197" s="143"/>
      <c r="G197" s="143"/>
      <c r="H197" s="143"/>
      <c r="I197" s="130"/>
      <c r="J197" s="131">
        <f t="shared" si="38"/>
        <v>0</v>
      </c>
    </row>
    <row r="198" spans="1:14" s="1" customFormat="1" ht="18" customHeight="1">
      <c r="A198" s="201" t="str">
        <f t="shared" si="31"/>
        <v/>
      </c>
      <c r="B198" s="140"/>
      <c r="C198" s="140"/>
      <c r="D198" s="139"/>
      <c r="E198" s="143"/>
      <c r="F198" s="143"/>
      <c r="G198" s="143"/>
      <c r="H198" s="143"/>
      <c r="I198" s="130"/>
      <c r="J198" s="131">
        <f t="shared" si="38"/>
        <v>0</v>
      </c>
    </row>
    <row r="199" spans="1:14" s="1" customFormat="1" ht="18" customHeight="1">
      <c r="A199" s="201" t="str">
        <f t="shared" si="31"/>
        <v/>
      </c>
      <c r="B199" s="140"/>
      <c r="C199" s="140"/>
      <c r="D199" s="139"/>
      <c r="E199" s="143"/>
      <c r="F199" s="143"/>
      <c r="G199" s="143"/>
      <c r="H199" s="143"/>
      <c r="I199" s="130"/>
      <c r="J199" s="131"/>
    </row>
    <row r="200" spans="1:14" s="1" customFormat="1" ht="18" customHeight="1">
      <c r="A200" s="201" t="str">
        <f t="shared" si="31"/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si="38"/>
        <v>0</v>
      </c>
    </row>
    <row r="201" spans="1:14" s="1" customFormat="1" ht="18" customHeight="1">
      <c r="A201" s="201" t="str">
        <f t="shared" si="31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si="38"/>
        <v>0</v>
      </c>
    </row>
    <row r="202" spans="1:14" s="1" customFormat="1" ht="18" customHeight="1">
      <c r="A202" s="201" t="str">
        <f t="shared" si="31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si="38"/>
        <v>0</v>
      </c>
    </row>
    <row r="203" spans="1:14" s="1" customFormat="1" ht="18" customHeight="1">
      <c r="A203" s="201" t="str">
        <f t="shared" si="31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si="38"/>
        <v>0</v>
      </c>
    </row>
    <row r="204" spans="1:14" s="1" customFormat="1" ht="18" customHeight="1">
      <c r="A204" s="317" t="str">
        <f>IF(B204="","",+A203+1)</f>
        <v/>
      </c>
      <c r="B204" s="142"/>
      <c r="C204" s="142"/>
      <c r="D204" s="141"/>
      <c r="E204" s="240"/>
      <c r="F204" s="240"/>
      <c r="G204" s="240"/>
      <c r="H204" s="240"/>
      <c r="I204" s="136"/>
      <c r="J204" s="293">
        <f t="shared" si="38"/>
        <v>0</v>
      </c>
    </row>
    <row r="205" spans="1:14" s="1" customFormat="1" ht="18" customHeight="1">
      <c r="A205" s="25"/>
      <c r="B205" s="161"/>
      <c r="C205" s="33"/>
      <c r="D205" s="30"/>
      <c r="E205" s="17"/>
      <c r="F205" s="30"/>
      <c r="G205" s="30"/>
      <c r="H205" s="161"/>
      <c r="I205" s="24"/>
      <c r="J205" s="24"/>
    </row>
    <row r="206" spans="1:14" ht="18" customHeight="1">
      <c r="A206" s="17"/>
      <c r="J206" s="99" t="str">
        <f>LEFT($J$111,11)&amp;"-02"</f>
        <v>FG-240-5P5L-02</v>
      </c>
    </row>
    <row r="207" spans="1:14" ht="12.75" customHeight="1">
      <c r="B207" s="56"/>
      <c r="C207" s="56"/>
      <c r="D207" s="30"/>
      <c r="E207" s="17"/>
      <c r="F207" s="17"/>
      <c r="G207" s="17"/>
      <c r="H207" s="17"/>
      <c r="K207" s="7"/>
      <c r="L207" s="7"/>
      <c r="M207" s="2"/>
      <c r="N207" s="2"/>
    </row>
    <row r="208" spans="1:14" ht="30" customHeight="1">
      <c r="I208" s="95"/>
      <c r="J208" s="90" t="str">
        <f>$J$2</f>
        <v>HOMELIFE</v>
      </c>
      <c r="K208" s="11"/>
      <c r="L208" s="11"/>
      <c r="M208" s="2"/>
      <c r="N208" s="2"/>
    </row>
    <row r="209" spans="1:14" ht="24.9" customHeight="1">
      <c r="B209" s="205"/>
      <c r="C209" s="5"/>
      <c r="D209" s="95"/>
      <c r="E209" s="95"/>
      <c r="F209" s="95"/>
      <c r="G209" s="95"/>
      <c r="H209" s="95"/>
      <c r="I209" s="28"/>
      <c r="J209" s="91" t="str">
        <f>$J$3</f>
        <v>Fabricators Guide</v>
      </c>
      <c r="K209" s="11"/>
      <c r="L209" s="11"/>
      <c r="M209" s="2"/>
      <c r="N209" s="2"/>
    </row>
    <row r="210" spans="1:14" ht="24.9" customHeight="1">
      <c r="B210" s="205"/>
      <c r="C210" s="28"/>
      <c r="D210" s="28"/>
      <c r="E210" s="28"/>
      <c r="F210" s="28"/>
      <c r="G210" s="28"/>
      <c r="H210" s="28"/>
      <c r="I210" s="28"/>
      <c r="J210" s="91" t="str">
        <f>$J$4</f>
        <v xml:space="preserve">240 Series Bi Fold Door </v>
      </c>
      <c r="K210" s="48"/>
      <c r="L210" s="48"/>
      <c r="M210" s="4"/>
      <c r="N210" s="4"/>
    </row>
    <row r="211" spans="1:14" s="1" customFormat="1" ht="15" customHeight="1" thickBot="1">
      <c r="A211" s="78"/>
      <c r="B211" s="8"/>
      <c r="C211" s="28"/>
      <c r="D211" s="28"/>
      <c r="E211" s="28"/>
      <c r="F211" s="28"/>
      <c r="G211" s="28"/>
      <c r="H211" s="28"/>
      <c r="I211" s="78"/>
      <c r="J211" s="113"/>
      <c r="K211" s="4"/>
      <c r="L211" s="4"/>
      <c r="M211" s="4"/>
      <c r="N211" s="4"/>
    </row>
    <row r="212" spans="1:14" s="1" customFormat="1" ht="24.9" customHeight="1" thickBot="1">
      <c r="A212" s="502" t="s">
        <v>30</v>
      </c>
      <c r="B212" s="503"/>
      <c r="C212" s="503"/>
      <c r="D212" s="503"/>
      <c r="E212" s="503"/>
      <c r="F212" s="503"/>
      <c r="G212" s="503"/>
      <c r="H212" s="503"/>
      <c r="I212" s="503"/>
      <c r="J212" s="504"/>
      <c r="K212" s="56"/>
      <c r="L212" s="56"/>
      <c r="M212" s="56"/>
      <c r="N212" s="56"/>
    </row>
    <row r="214" spans="1:14" s="1" customFormat="1" ht="15" customHeight="1">
      <c r="A214" s="93"/>
      <c r="B214"/>
      <c r="C214"/>
      <c r="D214" s="81"/>
      <c r="E214"/>
      <c r="F214"/>
      <c r="G214"/>
      <c r="H214"/>
      <c r="I214" s="160"/>
      <c r="J214" s="116"/>
    </row>
    <row r="215" spans="1:14" s="1" customFormat="1" ht="15" customHeight="1">
      <c r="A215" s="17"/>
      <c r="B215" s="93"/>
      <c r="C215" s="56"/>
      <c r="D215" s="30"/>
      <c r="E215" s="29"/>
      <c r="F215" s="160"/>
      <c r="G215" s="160"/>
      <c r="H215" s="160"/>
      <c r="J215" s="17"/>
    </row>
    <row r="216" spans="1:14" s="1" customFormat="1" ht="15" customHeight="1">
      <c r="A216" s="17"/>
      <c r="B216" s="56"/>
      <c r="C216" s="328"/>
      <c r="D216" s="30"/>
      <c r="E216" s="29"/>
      <c r="F216" s="30"/>
      <c r="J216" s="17"/>
    </row>
    <row r="217" spans="1:14" s="1" customFormat="1" ht="15.6">
      <c r="A217" s="109"/>
      <c r="B217" s="33"/>
      <c r="C217" s="327"/>
      <c r="D217" s="161"/>
      <c r="E217" s="109"/>
      <c r="F217" s="161"/>
      <c r="H217" s="328"/>
      <c r="J217" s="109"/>
    </row>
    <row r="218" spans="1:14" s="1" customFormat="1" ht="15" customHeight="1">
      <c r="A218" s="93"/>
      <c r="B218" s="93"/>
      <c r="C218" s="56"/>
      <c r="D218" s="30"/>
      <c r="E218" s="29"/>
      <c r="F218" s="160"/>
      <c r="H218" s="328"/>
      <c r="I218" s="109"/>
      <c r="J218" s="109"/>
    </row>
    <row r="219" spans="1:14" s="1" customFormat="1" ht="15" customHeight="1">
      <c r="A219" s="17"/>
      <c r="B219" s="56"/>
      <c r="C219" s="89" t="s">
        <v>378</v>
      </c>
      <c r="D219" s="30"/>
      <c r="E219" s="29"/>
      <c r="F219" s="30"/>
      <c r="I219" s="109"/>
      <c r="J219" s="109"/>
    </row>
    <row r="220" spans="1:14" s="1" customFormat="1" ht="15" customHeight="1">
      <c r="A220" s="17"/>
      <c r="B220" s="56"/>
      <c r="C220" s="328" t="s">
        <v>275</v>
      </c>
      <c r="D220" s="30"/>
      <c r="E220" s="29"/>
      <c r="F220" s="30"/>
      <c r="H220" s="89"/>
      <c r="J220" s="12"/>
    </row>
    <row r="221" spans="1:14" s="1" customFormat="1" ht="15" customHeight="1">
      <c r="A221" s="109"/>
      <c r="B221" s="33"/>
      <c r="C221" s="327" t="s">
        <v>273</v>
      </c>
      <c r="D221" s="161"/>
      <c r="E221" s="109"/>
      <c r="F221" s="161"/>
      <c r="J221" s="12"/>
    </row>
    <row r="222" spans="1:14" s="1" customFormat="1" ht="15" customHeight="1">
      <c r="A222" s="109"/>
      <c r="B222" s="33"/>
      <c r="C222" s="374">
        <f>$I$133</f>
        <v>3940</v>
      </c>
      <c r="D222" s="161"/>
      <c r="E222" s="35"/>
      <c r="F222" s="161"/>
      <c r="G222" s="68"/>
      <c r="J222" s="12"/>
    </row>
    <row r="223" spans="1:14" s="1" customFormat="1" ht="15" customHeight="1">
      <c r="A223" s="109"/>
      <c r="B223" s="33"/>
      <c r="C223" s="363">
        <f>$J$133</f>
        <v>1</v>
      </c>
      <c r="D223" s="161"/>
      <c r="E223" s="35"/>
      <c r="F223" s="161"/>
      <c r="G223" s="326"/>
      <c r="I223" s="109"/>
      <c r="J223" s="109"/>
    </row>
    <row r="224" spans="1:14" s="1" customFormat="1" ht="15" customHeight="1">
      <c r="A224" s="109"/>
      <c r="B224" s="33"/>
      <c r="D224" s="161"/>
      <c r="E224" s="109"/>
      <c r="F224" s="161"/>
      <c r="G224" s="326"/>
      <c r="I224" s="109"/>
      <c r="J224" s="109"/>
    </row>
    <row r="225" spans="1:10" s="1" customFormat="1" ht="15.9" customHeight="1">
      <c r="A225" s="92"/>
      <c r="B225" s="92"/>
      <c r="C225" s="13"/>
      <c r="D225" s="161"/>
      <c r="E225" s="109"/>
      <c r="F225" s="161"/>
      <c r="G225" s="68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H226" s="109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32"/>
      <c r="J227" s="40"/>
    </row>
    <row r="228" spans="1:10" s="1" customFormat="1" ht="15.9" customHeight="1">
      <c r="A228" s="92"/>
      <c r="B228" s="92"/>
      <c r="C228" s="327"/>
      <c r="D228" s="161"/>
      <c r="E228" s="109"/>
      <c r="F228" s="161"/>
      <c r="H228" s="109"/>
      <c r="I228" s="203"/>
      <c r="J228" s="117"/>
    </row>
    <row r="229" spans="1:10" s="1" customFormat="1" ht="15.9" customHeight="1">
      <c r="A229" s="45"/>
      <c r="B229" s="45"/>
      <c r="D229" s="161"/>
      <c r="E229" s="109"/>
      <c r="F229" s="161"/>
      <c r="I229" s="203"/>
      <c r="J229" s="117"/>
    </row>
    <row r="230" spans="1:10" s="1" customFormat="1" ht="15.9" customHeight="1">
      <c r="A230" s="109"/>
      <c r="B230" s="109"/>
      <c r="D230" s="161"/>
      <c r="E230" s="109"/>
      <c r="F230" s="161"/>
      <c r="I230" s="203"/>
      <c r="J230" s="117"/>
    </row>
    <row r="231" spans="1:10" s="1" customFormat="1" ht="15.9" customHeight="1">
      <c r="A231" s="39"/>
      <c r="B231" s="38"/>
      <c r="D231" s="161"/>
      <c r="E231" s="109"/>
      <c r="F231" s="109"/>
      <c r="I231" s="203"/>
      <c r="J231" s="117"/>
    </row>
    <row r="232" spans="1:10" s="1" customFormat="1" ht="15.9" customHeight="1">
      <c r="A232" s="44"/>
      <c r="B232" s="44"/>
      <c r="C232" s="89" t="s">
        <v>381</v>
      </c>
      <c r="D232" s="84"/>
      <c r="E232" s="44"/>
      <c r="F232" s="44"/>
      <c r="G232" s="109"/>
      <c r="H232" s="109"/>
      <c r="I232" s="203"/>
      <c r="J232" s="117"/>
    </row>
    <row r="233" spans="1:10" s="1" customFormat="1" ht="15.9" customHeight="1">
      <c r="A233" s="40"/>
      <c r="B233" s="40"/>
      <c r="C233" s="328" t="s">
        <v>652</v>
      </c>
      <c r="D233" s="85"/>
      <c r="E233" s="40"/>
      <c r="F233" s="32"/>
      <c r="G233" s="109"/>
      <c r="H233" s="109"/>
      <c r="J233" s="12"/>
    </row>
    <row r="234" spans="1:10" s="1" customFormat="1" ht="15.9" customHeight="1">
      <c r="A234" s="109"/>
      <c r="B234" s="33"/>
      <c r="C234" s="433" t="s">
        <v>654</v>
      </c>
      <c r="D234" s="161"/>
      <c r="E234" s="109"/>
      <c r="F234" s="161"/>
      <c r="G234" s="109"/>
      <c r="H234" s="109"/>
      <c r="I234" s="109"/>
      <c r="J234" s="24"/>
    </row>
    <row r="235" spans="1:10" s="1" customFormat="1" ht="15.9" customHeight="1">
      <c r="A235" s="109"/>
      <c r="B235" s="33"/>
      <c r="C235" s="374">
        <f>$I$134</f>
        <v>3914</v>
      </c>
      <c r="D235" s="161"/>
      <c r="E235" s="109"/>
      <c r="F235" s="161"/>
      <c r="G235" s="109"/>
      <c r="H235" s="109"/>
      <c r="I235" s="24"/>
      <c r="J235" s="24"/>
    </row>
    <row r="236" spans="1:10" s="1" customFormat="1" ht="15.9" customHeight="1">
      <c r="A236" s="109"/>
      <c r="B236" s="33"/>
      <c r="C236" s="363">
        <f>$J$134</f>
        <v>1</v>
      </c>
      <c r="D236" s="161"/>
      <c r="E236" s="109"/>
      <c r="F236" s="161"/>
      <c r="G236" s="109"/>
      <c r="H236" s="107"/>
      <c r="I236" s="89"/>
      <c r="J236" s="118"/>
    </row>
    <row r="237" spans="1:10" s="1" customFormat="1" ht="15.9" customHeight="1">
      <c r="A237" s="109"/>
      <c r="B237" s="33"/>
      <c r="C237" s="44"/>
      <c r="D237" s="161"/>
      <c r="E237" s="109"/>
      <c r="F237" s="161"/>
      <c r="G237" s="109"/>
      <c r="H237" s="107"/>
      <c r="I237" s="203"/>
      <c r="J237" s="117"/>
    </row>
    <row r="238" spans="1:10" s="1" customFormat="1" ht="15.9" customHeight="1">
      <c r="A238" s="109"/>
      <c r="B238" s="33"/>
      <c r="D238" s="161"/>
      <c r="E238" s="109"/>
      <c r="F238" s="161"/>
      <c r="G238" s="109"/>
      <c r="H238" s="109"/>
      <c r="I238" s="203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4"/>
      <c r="J239" s="24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36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109"/>
      <c r="I241" s="109"/>
      <c r="J241" s="24"/>
    </row>
    <row r="242" spans="1:10" s="1" customFormat="1" ht="15.9" customHeight="1">
      <c r="A242" s="109"/>
      <c r="B242" s="33"/>
      <c r="C242" s="89" t="s">
        <v>370</v>
      </c>
      <c r="D242" s="161"/>
      <c r="E242" s="109"/>
      <c r="F242" s="161"/>
      <c r="G242" s="109"/>
      <c r="H242" s="109"/>
      <c r="I242" s="24"/>
      <c r="J242" s="24"/>
    </row>
    <row r="243" spans="1:10" s="1" customFormat="1" ht="15.9" customHeight="1">
      <c r="A243" s="109"/>
      <c r="B243" s="33"/>
      <c r="C243" s="328" t="s">
        <v>275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" customHeight="1">
      <c r="A244" s="109"/>
      <c r="B244" s="33"/>
      <c r="C244" s="327" t="s">
        <v>273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.9" customHeight="1">
      <c r="A245" s="109"/>
      <c r="B245" s="33"/>
      <c r="C245" s="374">
        <f>$I$135</f>
        <v>3940</v>
      </c>
      <c r="D245" s="161"/>
      <c r="E245" s="109"/>
      <c r="F245" s="161"/>
      <c r="G245" s="109"/>
      <c r="H245" s="109"/>
      <c r="I245" s="44"/>
      <c r="J245" s="119"/>
    </row>
    <row r="246" spans="1:10" s="1" customFormat="1" ht="15.9" customHeight="1">
      <c r="A246" s="109"/>
      <c r="B246" s="33"/>
      <c r="C246" s="363">
        <f>$J$135</f>
        <v>1</v>
      </c>
      <c r="D246" s="161"/>
      <c r="E246" s="109"/>
      <c r="F246" s="161"/>
      <c r="G246" s="109"/>
      <c r="H246" s="109"/>
      <c r="I246" s="32"/>
      <c r="J246" s="40"/>
    </row>
    <row r="247" spans="1:10" s="1" customFormat="1" ht="15.9" customHeight="1">
      <c r="A247" s="109"/>
      <c r="B247" s="33"/>
      <c r="C247" s="161"/>
      <c r="D247" s="161"/>
      <c r="E247" s="109"/>
      <c r="F247" s="161"/>
      <c r="G247" s="109"/>
      <c r="H247" s="109"/>
      <c r="J247" s="12"/>
    </row>
    <row r="248" spans="1:10" s="1" customFormat="1" ht="15.9" customHeight="1">
      <c r="A248" s="109"/>
      <c r="B248" s="33"/>
      <c r="C248" s="33"/>
      <c r="D248" s="161"/>
      <c r="E248" s="109"/>
      <c r="F248" s="109"/>
      <c r="G248" s="44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0"/>
      <c r="H250" s="109"/>
      <c r="I250" s="24"/>
      <c r="J250" s="24"/>
    </row>
    <row r="251" spans="1:10" s="1" customFormat="1" ht="15.9" customHeight="1">
      <c r="A251" s="109"/>
      <c r="B251" s="33"/>
      <c r="D251" s="161"/>
      <c r="E251" s="109"/>
      <c r="F251" s="109"/>
      <c r="G251" s="109"/>
      <c r="H251" s="109"/>
      <c r="I251" s="24"/>
      <c r="J251" s="24"/>
    </row>
    <row r="252" spans="1:10" s="1" customFormat="1" ht="15.9" customHeight="1">
      <c r="A252" s="44"/>
      <c r="B252" s="44"/>
      <c r="D252" s="84"/>
      <c r="E252" s="44"/>
      <c r="F252" s="44"/>
      <c r="G252" s="109"/>
      <c r="H252" s="109"/>
      <c r="I252" s="24"/>
      <c r="J252" s="24"/>
    </row>
    <row r="253" spans="1:10" s="1" customFormat="1" ht="15.9" customHeight="1">
      <c r="A253" s="40"/>
      <c r="B253" s="40"/>
      <c r="C253" s="89" t="s">
        <v>371</v>
      </c>
      <c r="D253" s="85"/>
      <c r="E253" s="40"/>
      <c r="F253" s="32"/>
      <c r="G253" s="109"/>
      <c r="I253" s="24"/>
      <c r="J253" s="24"/>
    </row>
    <row r="254" spans="1:10" s="1" customFormat="1" ht="15.9" customHeight="1">
      <c r="A254" s="27"/>
      <c r="B254" s="33"/>
      <c r="C254" s="328" t="s">
        <v>275</v>
      </c>
      <c r="D254" s="161"/>
      <c r="E254" s="109"/>
      <c r="F254" s="109"/>
      <c r="G254" s="109"/>
      <c r="I254" s="24"/>
      <c r="J254" s="24"/>
    </row>
    <row r="255" spans="1:10" s="1" customFormat="1" ht="15.9" customHeight="1">
      <c r="A255" s="27"/>
      <c r="B255" s="33"/>
      <c r="C255" s="327" t="s">
        <v>273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74">
        <f>$I$136</f>
        <v>3940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63">
        <f>$J$136</f>
        <v>1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3"/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46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161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33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89" t="s">
        <v>373</v>
      </c>
      <c r="D263" s="161"/>
      <c r="E263" s="109"/>
      <c r="F263" s="109"/>
      <c r="G263" s="109"/>
      <c r="H263" s="109"/>
      <c r="I263" s="24"/>
      <c r="J263" s="24"/>
    </row>
    <row r="264" spans="1:10" s="1" customFormat="1" ht="15.9" customHeight="1">
      <c r="A264" s="27"/>
      <c r="B264" s="33"/>
      <c r="C264" s="328" t="s">
        <v>379</v>
      </c>
      <c r="D264" s="328"/>
      <c r="E264" s="328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7" t="s">
        <v>279</v>
      </c>
      <c r="D265" s="327"/>
      <c r="E265" s="327"/>
      <c r="F265" s="109"/>
      <c r="G265" s="109"/>
      <c r="H265" s="109"/>
      <c r="J265" s="12"/>
    </row>
    <row r="266" spans="1:10" s="1" customFormat="1" ht="15.9" customHeight="1">
      <c r="A266" s="27"/>
      <c r="B266" s="33"/>
      <c r="C266" s="374">
        <f>$I$137</f>
        <v>3700</v>
      </c>
      <c r="D266" s="161"/>
      <c r="E266" s="109"/>
      <c r="F266" s="109"/>
      <c r="G266" s="33"/>
      <c r="H266" s="33"/>
      <c r="J266" s="12"/>
    </row>
    <row r="267" spans="1:10" s="1" customFormat="1" ht="15.9" customHeight="1">
      <c r="A267" s="27"/>
      <c r="B267" s="33"/>
      <c r="C267" s="363">
        <f>$J$137+$J$138</f>
        <v>2</v>
      </c>
      <c r="D267" s="161"/>
      <c r="E267" s="109"/>
      <c r="F267" s="109"/>
      <c r="G267" s="109"/>
      <c r="H267" s="109"/>
      <c r="J267" s="12"/>
    </row>
    <row r="268" spans="1:10" s="1" customFormat="1" ht="15.9" customHeight="1">
      <c r="A268" s="27"/>
      <c r="B268" s="33"/>
      <c r="D268" s="89"/>
      <c r="E268" s="8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D270" s="328"/>
      <c r="E270" s="328"/>
      <c r="F270" s="109"/>
      <c r="G270" s="109"/>
      <c r="H270" s="109"/>
      <c r="J270" s="12"/>
    </row>
    <row r="271" spans="1:10" s="1" customFormat="1" ht="15.9" customHeight="1">
      <c r="A271" s="27"/>
      <c r="D271" s="328"/>
      <c r="E271" s="328"/>
      <c r="F271" s="109"/>
      <c r="G271" s="109"/>
      <c r="H271" s="109"/>
      <c r="J271" s="12"/>
    </row>
    <row r="272" spans="1:10" s="1" customFormat="1" ht="15.9" customHeight="1">
      <c r="A272" s="27"/>
      <c r="B272" s="33"/>
      <c r="D272" s="328"/>
      <c r="E272" s="328"/>
      <c r="F272" s="109"/>
      <c r="G272" s="109"/>
      <c r="I272" s="24"/>
      <c r="J272" s="24"/>
    </row>
    <row r="273" spans="1:10" s="1" customFormat="1" ht="15.9" customHeight="1">
      <c r="A273" s="27"/>
      <c r="B273" s="33"/>
      <c r="C273" s="33"/>
      <c r="D273" s="161"/>
      <c r="E273" s="109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89" t="s">
        <v>383</v>
      </c>
      <c r="D274" s="162"/>
      <c r="E274" s="24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328" t="s">
        <v>649</v>
      </c>
      <c r="D275" s="328"/>
      <c r="E275" s="328"/>
      <c r="F275" s="109"/>
      <c r="G275" s="109"/>
      <c r="I275" s="109"/>
      <c r="J275" s="24"/>
    </row>
    <row r="276" spans="1:10" s="1" customFormat="1" ht="15.9" customHeight="1">
      <c r="A276" s="27"/>
      <c r="B276" s="33"/>
      <c r="C276" s="433" t="s">
        <v>650</v>
      </c>
      <c r="D276" s="327"/>
      <c r="E276" s="327"/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374">
        <f>$I$139</f>
        <v>3604</v>
      </c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363">
        <f>$J$139+$J$140</f>
        <v>2</v>
      </c>
      <c r="F278" s="109"/>
      <c r="G278" s="109"/>
      <c r="I278" s="109"/>
      <c r="J278" s="24"/>
    </row>
    <row r="279" spans="1:10" s="1" customFormat="1" ht="15.9" customHeight="1">
      <c r="A279" s="27"/>
      <c r="B279" s="33"/>
      <c r="F279" s="109"/>
      <c r="G279" s="109"/>
      <c r="H279" s="109"/>
      <c r="J279" s="12"/>
    </row>
    <row r="280" spans="1:10" s="1" customFormat="1" ht="15.9" customHeight="1">
      <c r="A280" s="27"/>
      <c r="B280" s="33"/>
      <c r="F280" s="109"/>
      <c r="G280" s="109"/>
      <c r="H280" s="109"/>
      <c r="J280" s="12"/>
    </row>
    <row r="281" spans="1:10" s="1" customFormat="1" ht="15.9" customHeight="1">
      <c r="A281" s="27"/>
      <c r="B281" s="33"/>
      <c r="C281" s="33"/>
      <c r="D281" s="161"/>
      <c r="E281" s="109"/>
      <c r="F281" s="109"/>
      <c r="G281" s="109"/>
      <c r="H281" s="109"/>
      <c r="J281" s="12"/>
    </row>
    <row r="282" spans="1:10" s="1" customFormat="1" ht="15.9" customHeight="1">
      <c r="A282" s="27"/>
      <c r="B282" s="33"/>
      <c r="F282" s="109"/>
      <c r="G282" s="109"/>
      <c r="H282" s="109"/>
      <c r="J282" s="12"/>
    </row>
    <row r="283" spans="1:10" s="1" customFormat="1" ht="15.9" customHeight="1">
      <c r="A283" s="27"/>
      <c r="B283" s="33"/>
      <c r="F283" s="109"/>
      <c r="G283" s="109"/>
      <c r="H283" s="109"/>
      <c r="I283" s="162"/>
      <c r="J283" s="24"/>
    </row>
    <row r="284" spans="1:10" s="1" customFormat="1" ht="15.9" customHeight="1">
      <c r="A284" s="27"/>
      <c r="B284" s="33"/>
      <c r="C284" s="89" t="s">
        <v>375</v>
      </c>
      <c r="F284" s="109"/>
      <c r="G284" s="109"/>
      <c r="H284" s="109"/>
      <c r="I284" s="109"/>
      <c r="J284" s="24"/>
    </row>
    <row r="285" spans="1:10" s="1" customFormat="1" ht="15.9" customHeight="1">
      <c r="A285" s="27"/>
      <c r="B285" s="33"/>
      <c r="C285" s="94" t="s">
        <v>453</v>
      </c>
      <c r="D285" s="161"/>
      <c r="E285" s="109"/>
      <c r="F285" s="109"/>
      <c r="G285" s="109"/>
      <c r="H285" s="109"/>
      <c r="I285" s="24"/>
      <c r="J285" s="24"/>
    </row>
    <row r="286" spans="1:10" s="1" customFormat="1" ht="15.9" customHeight="1">
      <c r="A286" s="27"/>
      <c r="B286" s="33"/>
      <c r="C286" s="327" t="s">
        <v>454</v>
      </c>
      <c r="D286" s="161"/>
      <c r="E286" s="109"/>
      <c r="F286" s="109"/>
      <c r="G286" s="109"/>
      <c r="H286" s="109"/>
      <c r="I286" s="24"/>
      <c r="J286" s="24"/>
    </row>
    <row r="287" spans="1:10" s="1" customFormat="1" ht="15.9" customHeight="1">
      <c r="A287" s="27"/>
      <c r="B287" s="33"/>
      <c r="C287" s="328" t="s">
        <v>281</v>
      </c>
      <c r="D287" s="328"/>
      <c r="E287" s="328"/>
      <c r="F287" s="109"/>
      <c r="G287" s="109"/>
      <c r="I287" s="24"/>
      <c r="J287" s="24"/>
    </row>
    <row r="288" spans="1:10" s="23" customFormat="1" ht="15.9" customHeight="1">
      <c r="A288" s="27"/>
      <c r="B288" s="33"/>
      <c r="C288" s="327" t="s">
        <v>282</v>
      </c>
      <c r="D288" s="327"/>
      <c r="E288" s="327"/>
      <c r="F288" s="109"/>
      <c r="G288" s="109"/>
      <c r="H288" s="1"/>
      <c r="I288" s="109"/>
      <c r="J288" s="109"/>
    </row>
    <row r="289" spans="1:10" s="1" customFormat="1" ht="15.9" customHeight="1">
      <c r="A289" s="27"/>
      <c r="B289" s="33"/>
      <c r="C289" s="374">
        <f>$I$141</f>
        <v>673</v>
      </c>
      <c r="F289" s="109"/>
      <c r="G289" s="109"/>
      <c r="I289" s="44"/>
      <c r="J289" s="119"/>
    </row>
    <row r="290" spans="1:10" s="1" customFormat="1" ht="15.9" customHeight="1">
      <c r="A290" s="27"/>
      <c r="B290" s="33"/>
      <c r="C290" s="363">
        <f>$J$141+$J$142</f>
        <v>10</v>
      </c>
      <c r="D290" s="161"/>
      <c r="E290" s="109"/>
      <c r="F290" s="109"/>
      <c r="G290" s="109"/>
      <c r="H290" s="161"/>
      <c r="I290" s="32"/>
      <c r="J290" s="40"/>
    </row>
    <row r="291" spans="1:10" s="1" customFormat="1" ht="15.9" customHeight="1">
      <c r="A291" s="27"/>
      <c r="B291" s="33"/>
      <c r="C291" s="374">
        <f>$I$143</f>
        <v>3608</v>
      </c>
      <c r="D291" s="161"/>
      <c r="E291" s="109"/>
      <c r="F291" s="109"/>
      <c r="G291" s="109"/>
      <c r="H291" s="109"/>
      <c r="I291" s="24"/>
      <c r="J291" s="24"/>
    </row>
    <row r="292" spans="1:10" s="1" customFormat="1" ht="15.9" customHeight="1">
      <c r="A292" s="27"/>
      <c r="B292" s="33"/>
      <c r="C292" s="363">
        <f>$J$143+$J$144+$J$145</f>
        <v>10</v>
      </c>
      <c r="D292" s="161"/>
      <c r="E292" s="109"/>
      <c r="F292" s="109"/>
      <c r="G292" s="109"/>
      <c r="H292" s="109"/>
      <c r="I292" s="24"/>
      <c r="J292" s="24"/>
    </row>
    <row r="293" spans="1:10" s="1" customFormat="1" ht="15.9" customHeight="1">
      <c r="A293" s="27"/>
      <c r="B293" s="33"/>
      <c r="D293" s="161"/>
      <c r="E293" s="109"/>
      <c r="F293" s="109"/>
      <c r="G293" s="109"/>
      <c r="H293" s="109"/>
      <c r="I293" s="24"/>
      <c r="J293" s="24"/>
    </row>
    <row r="294" spans="1:10" s="1" customFormat="1" ht="15.9" customHeight="1">
      <c r="A294" s="27"/>
      <c r="B294" s="33"/>
      <c r="C294" s="33"/>
      <c r="D294" s="161"/>
      <c r="E294" s="109"/>
      <c r="F294" s="109"/>
      <c r="G294" s="109"/>
      <c r="H294" s="109"/>
      <c r="I294" s="109"/>
      <c r="J294" s="24"/>
    </row>
    <row r="295" spans="1:10" s="1" customFormat="1" ht="15.9" customHeight="1">
      <c r="A295" s="27"/>
      <c r="B295" s="33"/>
      <c r="C295" s="23"/>
      <c r="D295" s="161"/>
      <c r="E295" s="109"/>
      <c r="F295" s="109"/>
      <c r="G295" s="109"/>
      <c r="H295" s="109"/>
      <c r="I295" s="109"/>
      <c r="J295" s="24"/>
    </row>
    <row r="296" spans="1:10" s="1" customFormat="1" ht="15.9" customHeight="1">
      <c r="A296" s="27"/>
      <c r="B296" s="33"/>
      <c r="C296" s="89" t="s">
        <v>376</v>
      </c>
      <c r="D296" s="161"/>
      <c r="E296" s="109"/>
      <c r="F296" s="109"/>
      <c r="G296" s="109"/>
      <c r="H296" s="109"/>
      <c r="I296" s="109"/>
      <c r="J296" s="24"/>
    </row>
    <row r="297" spans="1:10" s="1" customFormat="1" ht="15.9" customHeight="1">
      <c r="A297" s="27"/>
      <c r="B297" s="33"/>
      <c r="C297" s="94" t="s">
        <v>453</v>
      </c>
      <c r="D297" s="161"/>
      <c r="E297" s="109"/>
      <c r="F297" s="109"/>
      <c r="G297" s="44"/>
      <c r="H297" s="44"/>
      <c r="I297" s="109"/>
      <c r="J297" s="24"/>
    </row>
    <row r="298" spans="1:10" s="1" customFormat="1" ht="15.9" customHeight="1">
      <c r="A298" s="27"/>
      <c r="B298" s="33"/>
      <c r="C298" s="327" t="s">
        <v>454</v>
      </c>
      <c r="D298" s="328"/>
      <c r="E298" s="328"/>
      <c r="F298" s="109"/>
      <c r="G298" s="40"/>
      <c r="H298" s="32"/>
      <c r="I298" s="109"/>
      <c r="J298" s="24"/>
    </row>
    <row r="299" spans="1:10" s="1" customFormat="1" ht="15.9" customHeight="1">
      <c r="A299" s="41"/>
      <c r="B299" s="33"/>
      <c r="C299" s="328" t="s">
        <v>286</v>
      </c>
      <c r="D299" s="327"/>
      <c r="E299" s="327"/>
      <c r="F299" s="109"/>
      <c r="G299" s="109"/>
      <c r="H299" s="109"/>
      <c r="I299" s="109"/>
      <c r="J299" s="24"/>
    </row>
    <row r="300" spans="1:10" s="1" customFormat="1" ht="15.9" customHeight="1">
      <c r="A300" s="44"/>
      <c r="B300" s="44"/>
      <c r="C300" s="327" t="s">
        <v>285</v>
      </c>
      <c r="D300" s="86"/>
      <c r="E300" s="79"/>
      <c r="F300" s="44"/>
      <c r="G300" s="109"/>
      <c r="H300" s="109"/>
      <c r="I300" s="109"/>
      <c r="J300" s="24"/>
    </row>
    <row r="301" spans="1:10" s="1" customFormat="1" ht="15.9" customHeight="1">
      <c r="A301" s="40"/>
      <c r="B301" s="40"/>
      <c r="C301" s="374">
        <f>$I$146</f>
        <v>673</v>
      </c>
      <c r="D301" s="87"/>
      <c r="E301" s="80"/>
      <c r="F301" s="32"/>
      <c r="G301" s="109"/>
      <c r="H301" s="109"/>
      <c r="I301" s="109"/>
      <c r="J301" s="24"/>
    </row>
    <row r="302" spans="1:10" s="1" customFormat="1" ht="15.9" customHeight="1">
      <c r="A302" s="109"/>
      <c r="B302" s="33"/>
      <c r="C302" s="363">
        <f>$J$146</f>
        <v>10</v>
      </c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C303" s="374">
        <f>$I$147</f>
        <v>3458</v>
      </c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C304" s="363">
        <f>$J$147</f>
        <v>10</v>
      </c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D306" s="15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D307" s="15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89"/>
      <c r="D308" s="161"/>
      <c r="E308" s="109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28"/>
      <c r="D309" s="328"/>
      <c r="E309" s="328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D310" s="15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D311" s="15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25"/>
      <c r="B313" s="33"/>
      <c r="D313" s="162"/>
      <c r="E313" s="24"/>
      <c r="F313" s="109"/>
      <c r="G313" s="109"/>
      <c r="H313" s="109"/>
      <c r="I313" s="27"/>
      <c r="J313" s="99" t="str">
        <f>LEFT($J$111,11)&amp;"-03"</f>
        <v>FG-240-5P5L-03</v>
      </c>
    </row>
    <row r="314" spans="1:14" ht="12.75" customHeight="1">
      <c r="A314" s="17"/>
      <c r="B314" s="26"/>
      <c r="C314" s="26"/>
      <c r="D314" s="83"/>
      <c r="E314" s="25"/>
      <c r="F314" s="25"/>
      <c r="G314" s="25"/>
      <c r="H314" s="25"/>
      <c r="I314" s="179"/>
      <c r="J314" s="179"/>
    </row>
    <row r="315" spans="1:14" ht="30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90" t="str">
        <f>$J$2</f>
        <v>HOMELIFE</v>
      </c>
    </row>
    <row r="316" spans="1:14" ht="24.9" customHeight="1">
      <c r="B316" s="205"/>
      <c r="C316" s="5"/>
      <c r="D316" s="95"/>
      <c r="E316" s="95"/>
      <c r="F316" s="95"/>
      <c r="G316" s="95"/>
      <c r="H316" s="95"/>
      <c r="I316" s="28"/>
      <c r="J316" s="91" t="str">
        <f>$J$3</f>
        <v>Fabricators Guide</v>
      </c>
      <c r="K316" s="11"/>
      <c r="L316" s="11"/>
      <c r="M316" s="2"/>
      <c r="N316" s="2"/>
    </row>
    <row r="317" spans="1:14" ht="24.9" customHeight="1">
      <c r="B317" s="205"/>
      <c r="C317" s="28"/>
      <c r="D317" s="28"/>
      <c r="E317" s="28"/>
      <c r="F317" s="28"/>
      <c r="G317" s="28"/>
      <c r="H317" s="28"/>
      <c r="I317" s="28"/>
      <c r="J317" s="91" t="str">
        <f>$J$4</f>
        <v xml:space="preserve">240 Series Bi Fold Door </v>
      </c>
      <c r="K317" s="48"/>
      <c r="L317" s="48"/>
      <c r="M317" s="4"/>
      <c r="N317" s="4"/>
    </row>
    <row r="318" spans="1:14" s="1" customFormat="1" ht="15" customHeight="1" thickBot="1">
      <c r="A318" s="78"/>
      <c r="B318" s="8"/>
      <c r="C318" s="28"/>
      <c r="D318" s="28"/>
      <c r="E318" s="28"/>
      <c r="F318" s="28"/>
      <c r="G318" s="28"/>
      <c r="H318" s="28"/>
      <c r="I318" s="78"/>
      <c r="J318" s="113"/>
      <c r="K318" s="4"/>
      <c r="L318" s="4"/>
      <c r="M318" s="4"/>
      <c r="N318" s="4"/>
    </row>
    <row r="319" spans="1:14" ht="24.9" customHeight="1" thickBot="1">
      <c r="A319" s="502" t="s">
        <v>33</v>
      </c>
      <c r="B319" s="503"/>
      <c r="C319" s="503"/>
      <c r="D319" s="503"/>
      <c r="E319" s="503"/>
      <c r="F319" s="503"/>
      <c r="G319" s="503"/>
      <c r="H319" s="503"/>
      <c r="I319" s="503"/>
      <c r="J319" s="504"/>
      <c r="K319" s="4"/>
      <c r="L319" s="4"/>
      <c r="M319" s="4"/>
      <c r="N319" s="4"/>
    </row>
    <row r="321" spans="1:10" s="1" customFormat="1" ht="15" customHeight="1">
      <c r="A321" s="63"/>
      <c r="B321"/>
      <c r="C321"/>
      <c r="D321" s="81"/>
      <c r="E321"/>
      <c r="F321"/>
      <c r="G321"/>
      <c r="H321"/>
      <c r="I321" s="160"/>
      <c r="J321" s="116"/>
    </row>
    <row r="322" spans="1:10" s="1" customFormat="1" ht="15" customHeight="1">
      <c r="A322" s="17"/>
      <c r="B322" s="72"/>
      <c r="C322" s="56"/>
      <c r="D322" s="30"/>
      <c r="E322" s="29"/>
      <c r="F322" s="160"/>
      <c r="G322" s="160"/>
      <c r="H322" s="160"/>
      <c r="I322" s="31"/>
      <c r="J322" s="17"/>
    </row>
    <row r="323" spans="1:10" s="1" customFormat="1" ht="15" customHeight="1">
      <c r="A323" s="17"/>
      <c r="B323" s="56"/>
      <c r="C323" s="56"/>
      <c r="D323" s="30"/>
      <c r="E323" s="29"/>
      <c r="F323" s="30"/>
      <c r="G323" s="31"/>
      <c r="H323" s="31"/>
      <c r="I323" s="17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09"/>
      <c r="B325" s="56"/>
      <c r="C325" s="30"/>
      <c r="D325" s="30"/>
      <c r="E325" s="29"/>
      <c r="F325" s="30"/>
      <c r="G325" s="17"/>
      <c r="H325" s="31"/>
      <c r="I325" s="109"/>
      <c r="J325" s="109"/>
    </row>
    <row r="326" spans="1:10" s="1" customFormat="1" ht="15" customHeight="1">
      <c r="A326" s="109"/>
      <c r="B326" s="33"/>
      <c r="C326" s="161"/>
      <c r="D326" s="161"/>
      <c r="E326" s="109"/>
      <c r="F326" s="161"/>
      <c r="G326" s="109"/>
      <c r="H326" s="34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35"/>
      <c r="F327" s="163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1"/>
      <c r="G328" s="109"/>
      <c r="H328" s="34"/>
      <c r="I328" s="42"/>
      <c r="J328" s="109"/>
    </row>
    <row r="329" spans="1:10" s="1" customFormat="1" ht="15" customHeight="1">
      <c r="A329" s="39"/>
      <c r="B329" s="33"/>
      <c r="C329" s="42"/>
      <c r="D329" s="161"/>
      <c r="E329" s="109"/>
      <c r="F329" s="505"/>
      <c r="G329" s="505"/>
      <c r="H329" s="202"/>
      <c r="I329" s="163"/>
      <c r="J329" s="109"/>
    </row>
    <row r="330" spans="1:10" s="1" customFormat="1" ht="15" customHeight="1">
      <c r="A330" s="92"/>
      <c r="B330" s="39"/>
      <c r="C330" s="163"/>
      <c r="D330" s="161"/>
      <c r="E330" s="109"/>
      <c r="F330" s="507"/>
      <c r="G330" s="507"/>
      <c r="H330" s="202"/>
      <c r="I330" s="161"/>
      <c r="J330" s="109"/>
    </row>
    <row r="331" spans="1:10" s="1" customFormat="1" ht="15" customHeight="1">
      <c r="A331" s="64" t="str">
        <f>A18</f>
        <v>240-5 Panel (5L)</v>
      </c>
      <c r="B331" s="92"/>
      <c r="C331" s="161"/>
      <c r="D331" s="161"/>
      <c r="E331" s="109"/>
      <c r="F331" s="202"/>
      <c r="G331" s="202"/>
      <c r="H331" s="202"/>
      <c r="I331" s="109"/>
      <c r="J331" s="109"/>
    </row>
    <row r="332" spans="1:10" s="1" customFormat="1" ht="15" customHeight="1">
      <c r="A332" s="76" t="str">
        <f>A19</f>
        <v xml:space="preserve">Outside Bi Fold Door </v>
      </c>
      <c r="B332" s="92"/>
      <c r="C332" s="161"/>
      <c r="D332" s="161"/>
      <c r="E332" s="109"/>
      <c r="F332" s="202"/>
      <c r="G332" s="202"/>
      <c r="H332" s="202"/>
      <c r="I332" s="109"/>
      <c r="J332" s="109"/>
    </row>
    <row r="333" spans="1:10" s="1" customFormat="1" ht="15.9" customHeight="1">
      <c r="A333" s="109"/>
      <c r="B333" s="45"/>
      <c r="C333" s="42"/>
      <c r="D333" s="161"/>
      <c r="E333" s="109"/>
      <c r="F333" s="507"/>
      <c r="G333" s="507"/>
      <c r="H333" s="202"/>
      <c r="I333" s="109"/>
      <c r="J333" s="109"/>
    </row>
    <row r="334" spans="1:10" s="1" customFormat="1" ht="15.9" customHeight="1">
      <c r="A334" s="39"/>
      <c r="B334" s="109"/>
      <c r="C334" s="161"/>
      <c r="D334" s="161"/>
      <c r="E334" s="109"/>
      <c r="F334" s="37"/>
      <c r="G334" s="38"/>
      <c r="H334" s="109"/>
      <c r="I334" s="109"/>
      <c r="J334" s="109"/>
    </row>
    <row r="335" spans="1:10" s="1" customFormat="1" ht="15.9" customHeight="1">
      <c r="A335" s="44"/>
      <c r="C335" s="43"/>
      <c r="D335" s="161"/>
      <c r="E335" s="109"/>
      <c r="F335" s="109"/>
      <c r="G335" s="109"/>
      <c r="H335" s="109"/>
      <c r="I335" s="44"/>
      <c r="J335" s="119"/>
    </row>
    <row r="336" spans="1:10" s="1" customFormat="1" ht="15.9" customHeight="1">
      <c r="A336" s="40"/>
      <c r="C336" s="44"/>
      <c r="D336" s="84"/>
      <c r="E336" s="44"/>
      <c r="F336" s="44"/>
      <c r="G336" s="44"/>
      <c r="H336" s="44"/>
      <c r="I336" s="32"/>
      <c r="J336" s="40"/>
    </row>
    <row r="337" spans="1:10" s="1" customFormat="1" ht="15.9" customHeight="1">
      <c r="A337" s="109"/>
      <c r="C337" s="161"/>
      <c r="D337" s="85"/>
      <c r="E337" s="40"/>
      <c r="F337" s="32"/>
      <c r="G337" s="40"/>
      <c r="H337" s="32"/>
      <c r="I337" s="24"/>
      <c r="J337" s="24"/>
    </row>
    <row r="338" spans="1:10" s="1" customFormat="1" ht="15.9" customHeight="1">
      <c r="A338" s="109"/>
      <c r="C338" s="163"/>
      <c r="D338" s="161"/>
      <c r="E338" s="109"/>
      <c r="F338" s="161"/>
      <c r="G338" s="109"/>
      <c r="H338" s="109"/>
      <c r="I338" s="24"/>
      <c r="J338" s="24"/>
    </row>
    <row r="339" spans="1:10" s="1" customFormat="1" ht="15.9" customHeight="1">
      <c r="A339" s="109"/>
      <c r="B339" s="33"/>
      <c r="C339" s="161"/>
      <c r="D339" s="161"/>
      <c r="E339" s="109"/>
      <c r="F339" s="161"/>
      <c r="G339" s="109"/>
      <c r="H339" s="109"/>
      <c r="I339" s="162"/>
      <c r="J339" s="162"/>
    </row>
    <row r="340" spans="1:10" s="1" customFormat="1" ht="15.9" customHeight="1">
      <c r="A340" s="109"/>
      <c r="B340" s="33"/>
      <c r="C340" s="44"/>
      <c r="D340" s="161"/>
      <c r="E340" s="109"/>
      <c r="F340" s="161"/>
      <c r="G340" s="109"/>
      <c r="H340" s="162"/>
      <c r="I340" s="161"/>
      <c r="J340" s="161"/>
    </row>
    <row r="341" spans="1:10" s="1" customFormat="1" ht="15.9" customHeight="1">
      <c r="A341" s="109"/>
      <c r="B341" s="33"/>
      <c r="C341" s="42"/>
      <c r="D341" s="161"/>
      <c r="E341" s="109"/>
      <c r="F341" s="161"/>
      <c r="G341" s="109"/>
      <c r="H341" s="161"/>
      <c r="I341" s="161"/>
      <c r="J341" s="161"/>
    </row>
    <row r="342" spans="1:10" s="1" customFormat="1" ht="15.9" customHeight="1">
      <c r="A342" s="109"/>
      <c r="B342" s="33"/>
      <c r="C342" s="163"/>
      <c r="D342" s="161"/>
      <c r="E342" s="109"/>
      <c r="F342" s="161"/>
      <c r="G342" s="109"/>
      <c r="H342" s="161"/>
      <c r="I342" s="109"/>
      <c r="J342" s="24"/>
    </row>
    <row r="343" spans="1:10" s="1" customFormat="1" ht="15.9" customHeight="1">
      <c r="A343" s="109"/>
      <c r="B343" s="33"/>
      <c r="C343" s="161"/>
      <c r="D343" s="161"/>
      <c r="E343" s="109"/>
      <c r="F343" s="161"/>
      <c r="G343" s="109"/>
      <c r="H343" s="109"/>
      <c r="I343" s="24"/>
      <c r="J343" s="24"/>
    </row>
    <row r="344" spans="1:10" s="1" customFormat="1" ht="15.9" customHeight="1">
      <c r="A344" s="109"/>
      <c r="B344" s="33"/>
      <c r="C344" s="33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44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161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3"/>
      <c r="D349" s="161"/>
      <c r="E349" s="109"/>
      <c r="F349" s="161"/>
      <c r="G349" s="109"/>
      <c r="H349" s="109"/>
      <c r="I349" s="109"/>
      <c r="J349" s="24"/>
    </row>
    <row r="350" spans="1:10" s="1" customFormat="1" ht="15.9" customHeight="1">
      <c r="A350" s="109"/>
      <c r="B350" s="33"/>
      <c r="C350" s="161"/>
      <c r="D350" s="161"/>
      <c r="E350" s="109"/>
      <c r="F350" s="161"/>
      <c r="G350" s="109"/>
      <c r="H350" s="109"/>
      <c r="I350" s="24"/>
      <c r="J350" s="24"/>
    </row>
    <row r="351" spans="1:10" s="1" customFormat="1" ht="15.9" customHeight="1">
      <c r="A351" s="109"/>
      <c r="B351" s="33"/>
      <c r="C351" s="33"/>
      <c r="D351" s="161"/>
      <c r="E351" s="109"/>
      <c r="F351" s="109"/>
      <c r="G351" s="109"/>
      <c r="H351" s="109"/>
      <c r="I351" s="24"/>
      <c r="J351" s="24"/>
    </row>
    <row r="352" spans="1:10" s="1" customFormat="1" ht="15" customHeight="1">
      <c r="A352" s="109"/>
      <c r="B352" s="33"/>
      <c r="C352" s="33"/>
      <c r="D352" s="161"/>
      <c r="E352" s="109"/>
      <c r="F352" s="109"/>
      <c r="G352" s="109"/>
      <c r="H352" s="107"/>
      <c r="I352" s="24"/>
      <c r="J352" s="24"/>
    </row>
    <row r="353" spans="1:10" s="23" customFormat="1" ht="15.9" customHeight="1">
      <c r="A353" s="109"/>
      <c r="B353" s="33"/>
      <c r="C353" s="33"/>
      <c r="D353" s="161"/>
      <c r="E353" s="109"/>
      <c r="F353" s="109"/>
      <c r="G353" s="109"/>
      <c r="H353" s="109"/>
      <c r="I353" s="109"/>
      <c r="J353" s="109"/>
    </row>
    <row r="354" spans="1:10" s="1" customFormat="1" ht="15.9" customHeight="1">
      <c r="A354" s="44"/>
      <c r="B354" s="33"/>
      <c r="C354" s="33"/>
      <c r="D354" s="161"/>
      <c r="E354" s="109"/>
      <c r="F354" s="109"/>
      <c r="G354" s="109"/>
      <c r="H354" s="109"/>
      <c r="I354" s="44"/>
      <c r="J354" s="119"/>
    </row>
    <row r="355" spans="1:10" s="1" customFormat="1" ht="15.9" customHeight="1">
      <c r="A355" s="40"/>
      <c r="B355" s="44"/>
      <c r="C355" s="44"/>
      <c r="D355" s="84"/>
      <c r="E355" s="44"/>
      <c r="F355" s="44"/>
      <c r="G355" s="44"/>
      <c r="H355" s="44"/>
      <c r="I355" s="32"/>
      <c r="J355" s="40"/>
    </row>
    <row r="356" spans="1:10" s="1" customFormat="1" ht="15.9" customHeight="1">
      <c r="A356" s="27"/>
      <c r="B356" s="40"/>
      <c r="C356" s="44"/>
      <c r="D356" s="85"/>
      <c r="E356" s="40"/>
      <c r="F356" s="32"/>
      <c r="G356" s="40"/>
      <c r="H356" s="32"/>
      <c r="I356" s="24"/>
      <c r="J356" s="24"/>
    </row>
    <row r="357" spans="1:10" s="1" customFormat="1" ht="15.9" customHeight="1">
      <c r="A357" s="27"/>
      <c r="B357" s="33"/>
      <c r="C357" s="42"/>
      <c r="D357" s="161"/>
      <c r="E357" s="109"/>
      <c r="F357" s="109"/>
      <c r="G357" s="109"/>
      <c r="H357" s="42"/>
      <c r="I357" s="163"/>
      <c r="J357" s="163"/>
    </row>
    <row r="358" spans="1:10" s="1" customFormat="1" ht="15.9" customHeight="1">
      <c r="A358" s="27"/>
      <c r="B358" s="33"/>
      <c r="C358" s="163"/>
      <c r="D358" s="161"/>
      <c r="E358" s="109"/>
      <c r="F358" s="109"/>
      <c r="G358" s="109"/>
      <c r="H358" s="163"/>
      <c r="I358" s="161"/>
      <c r="J358" s="161"/>
    </row>
    <row r="359" spans="1:10" s="1" customFormat="1" ht="15.9" customHeight="1">
      <c r="A359" s="27"/>
      <c r="B359" s="33"/>
      <c r="C359" s="161"/>
      <c r="D359" s="161"/>
      <c r="E359" s="109"/>
      <c r="F359" s="109"/>
      <c r="G359" s="109"/>
      <c r="H359" s="161"/>
      <c r="I359" s="24"/>
      <c r="J359" s="24"/>
    </row>
    <row r="360" spans="1:10" s="1" customFormat="1" ht="15.9" customHeight="1">
      <c r="A360" s="27"/>
      <c r="B360" s="33"/>
      <c r="C360" s="33"/>
      <c r="D360" s="161"/>
      <c r="E360" s="109"/>
      <c r="F360" s="109"/>
      <c r="G360" s="109"/>
      <c r="H360" s="109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46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161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33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B369" s="33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D371" s="161"/>
      <c r="E371" s="109"/>
      <c r="F371" s="109"/>
      <c r="G371" s="33"/>
      <c r="H371" s="33"/>
      <c r="I371" s="24"/>
      <c r="J371" s="24"/>
    </row>
    <row r="372" spans="1:10" s="1" customFormat="1" ht="15.9" customHeight="1">
      <c r="A372" s="27"/>
      <c r="B372" s="33"/>
      <c r="C372" s="33"/>
      <c r="D372" s="161"/>
      <c r="E372" s="109"/>
      <c r="F372" s="109"/>
      <c r="G372" s="109"/>
      <c r="H372" s="109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42"/>
      <c r="I375" s="163"/>
      <c r="J375" s="163"/>
    </row>
    <row r="376" spans="1:10" s="1" customFormat="1" ht="15.9" customHeight="1">
      <c r="A376" s="27"/>
      <c r="B376" s="33"/>
      <c r="C376" s="47"/>
      <c r="D376" s="161"/>
      <c r="E376" s="109"/>
      <c r="F376" s="109"/>
      <c r="G376" s="109"/>
      <c r="H376" s="163"/>
      <c r="I376" s="161"/>
      <c r="J376" s="161"/>
    </row>
    <row r="377" spans="1:10" s="1" customFormat="1" ht="15.9" customHeight="1">
      <c r="A377" s="27"/>
      <c r="B377" s="33"/>
      <c r="C377" s="46"/>
      <c r="D377" s="161"/>
      <c r="E377" s="109"/>
      <c r="F377" s="109"/>
      <c r="G377" s="109"/>
      <c r="H377" s="161"/>
      <c r="I377" s="24"/>
      <c r="J377" s="24"/>
    </row>
    <row r="378" spans="1:10" s="1" customFormat="1" ht="15.9" customHeight="1">
      <c r="A378" s="27"/>
      <c r="B378" s="33"/>
      <c r="C378" s="161"/>
      <c r="D378" s="161"/>
      <c r="E378" s="109"/>
      <c r="F378" s="109"/>
      <c r="G378" s="109"/>
      <c r="H378" s="42"/>
      <c r="I378" s="163"/>
      <c r="J378" s="163"/>
    </row>
    <row r="379" spans="1:10" s="1" customFormat="1" ht="15.9" customHeight="1">
      <c r="A379" s="27"/>
      <c r="B379" s="33"/>
      <c r="C379" s="33"/>
      <c r="D379" s="161"/>
      <c r="E379" s="109"/>
      <c r="F379" s="109"/>
      <c r="G379" s="109"/>
      <c r="H379" s="163"/>
      <c r="I379" s="161"/>
      <c r="J379" s="161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1"/>
      <c r="I380" s="24"/>
      <c r="J380" s="24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09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109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64"/>
      <c r="J387" s="16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64"/>
      <c r="I388" s="165"/>
      <c r="J388" s="165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5"/>
      <c r="I389" s="161"/>
      <c r="J389" s="161"/>
    </row>
    <row r="390" spans="1:10" s="1" customFormat="1" ht="15.9" customHeight="1">
      <c r="A390" s="27"/>
      <c r="B390" s="33"/>
      <c r="C390" s="47"/>
      <c r="D390" s="161"/>
      <c r="E390" s="109"/>
      <c r="F390" s="109"/>
      <c r="G390" s="109"/>
      <c r="H390" s="161"/>
      <c r="I390" s="24"/>
      <c r="J390" s="24"/>
    </row>
    <row r="391" spans="1:10" s="1" customFormat="1" ht="15.9" customHeight="1">
      <c r="A391" s="27"/>
      <c r="B391" s="33"/>
      <c r="C391" s="46"/>
      <c r="D391" s="161"/>
      <c r="E391" s="109"/>
      <c r="F391" s="109"/>
      <c r="G391" s="109"/>
      <c r="H391" s="109"/>
      <c r="I391" s="109"/>
      <c r="J391" s="24"/>
    </row>
    <row r="392" spans="1:10" s="1" customFormat="1" ht="15.9" customHeight="1">
      <c r="A392" s="27"/>
      <c r="B392" s="33"/>
      <c r="C392" s="161"/>
      <c r="D392" s="161"/>
      <c r="E392" s="109"/>
      <c r="F392" s="109"/>
      <c r="G392" s="109"/>
      <c r="H392" s="109"/>
      <c r="I392" s="24"/>
      <c r="J392" s="24"/>
    </row>
    <row r="393" spans="1:10" s="1" customFormat="1" ht="15.9" customHeight="1">
      <c r="A393" s="27"/>
      <c r="B393" s="33"/>
      <c r="C393" s="33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41"/>
      <c r="B395" s="33"/>
      <c r="C395" s="33"/>
      <c r="D395" s="161"/>
      <c r="E395" s="109"/>
      <c r="F395" s="109"/>
      <c r="G395" s="109"/>
      <c r="H395" s="109"/>
      <c r="I395" s="109"/>
      <c r="J395" s="109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23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1" customFormat="1" ht="15.9" customHeight="1">
      <c r="A404" s="44"/>
      <c r="B404" s="33"/>
      <c r="C404" s="33"/>
      <c r="D404" s="161"/>
      <c r="E404" s="109"/>
      <c r="F404" s="109"/>
      <c r="G404" s="109"/>
      <c r="H404" s="109"/>
      <c r="I404" s="44"/>
      <c r="J404" s="119"/>
    </row>
    <row r="405" spans="1:10" s="1" customFormat="1" ht="15.9" customHeight="1">
      <c r="A405" s="44"/>
      <c r="B405" s="44"/>
      <c r="C405" s="44"/>
      <c r="D405" s="84"/>
      <c r="E405" s="44"/>
      <c r="F405" s="44"/>
      <c r="G405" s="44"/>
      <c r="H405" s="44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109"/>
      <c r="B418" s="44"/>
      <c r="C418" s="44"/>
      <c r="D418" s="84"/>
      <c r="E418" s="44"/>
      <c r="F418" s="44"/>
      <c r="G418" s="44"/>
      <c r="H418" s="44"/>
      <c r="I418" s="24"/>
      <c r="J418" s="24"/>
      <c r="K418" s="71"/>
    </row>
    <row r="419" spans="1:14" s="1" customFormat="1" ht="15.9" customHeight="1">
      <c r="A419" s="109"/>
      <c r="B419" s="33"/>
      <c r="C419" s="33"/>
      <c r="D419" s="161"/>
      <c r="E419" s="109"/>
      <c r="F419" s="109"/>
      <c r="G419" s="109"/>
      <c r="H419" s="109"/>
      <c r="I419" s="24"/>
    </row>
    <row r="420" spans="1:14" ht="18">
      <c r="A420" s="109"/>
      <c r="B420" s="33"/>
      <c r="C420" s="33"/>
      <c r="D420" s="161"/>
      <c r="E420" s="109"/>
      <c r="F420" s="109"/>
      <c r="G420" s="109"/>
      <c r="H420" s="109"/>
      <c r="I420" s="109"/>
      <c r="J420" s="99" t="str">
        <f>LEFT($J$111,11)&amp;"-04"</f>
        <v>FG-240-5P5L-04</v>
      </c>
      <c r="K420" s="7"/>
      <c r="L420" s="7"/>
      <c r="M420" s="2"/>
      <c r="N420" s="2"/>
    </row>
    <row r="421" spans="1:14" ht="12.75" customHeight="1">
      <c r="A421" s="109"/>
      <c r="B421" s="33"/>
      <c r="C421" s="33"/>
      <c r="D421" s="161"/>
      <c r="E421" s="109"/>
      <c r="F421" s="109"/>
      <c r="G421" s="109"/>
      <c r="H421" s="109"/>
      <c r="I421" s="109"/>
      <c r="J421" s="114"/>
      <c r="K421" s="7"/>
      <c r="L421" s="7"/>
      <c r="M421" s="2"/>
      <c r="N421" s="2"/>
    </row>
    <row r="422" spans="1:14" ht="30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90" t="str">
        <f>$J$2</f>
        <v>HOMELIFE</v>
      </c>
      <c r="K422" s="7"/>
      <c r="L422" s="7"/>
      <c r="M422" s="2"/>
      <c r="N422" s="2"/>
    </row>
    <row r="423" spans="1:14" ht="24.9" customHeight="1">
      <c r="A423" s="109"/>
      <c r="B423" s="33"/>
      <c r="C423" s="33"/>
      <c r="D423" s="161"/>
      <c r="E423" s="109"/>
      <c r="F423" s="109"/>
      <c r="G423" s="109"/>
      <c r="H423" s="109"/>
      <c r="I423" s="109"/>
      <c r="J423" s="91" t="str">
        <f>$J$3</f>
        <v>Fabricators Guide</v>
      </c>
      <c r="K423" s="7"/>
      <c r="L423" s="7"/>
      <c r="M423" s="2"/>
      <c r="N423" s="2"/>
    </row>
    <row r="424" spans="1:14" ht="24.9" customHeight="1">
      <c r="B424" s="205"/>
      <c r="C424" s="28"/>
      <c r="D424" s="28"/>
      <c r="E424" s="28"/>
      <c r="F424" s="28"/>
      <c r="G424" s="28"/>
      <c r="H424" s="28"/>
      <c r="I424" s="28"/>
      <c r="J424" s="91" t="str">
        <f>$J$4</f>
        <v xml:space="preserve">240 Series Bi Fold Door </v>
      </c>
      <c r="K424" s="48"/>
      <c r="L424" s="48"/>
      <c r="M424" s="4"/>
      <c r="N424" s="4"/>
    </row>
    <row r="425" spans="1:14" s="1" customFormat="1" ht="15" customHeight="1" thickBot="1">
      <c r="A425" s="78"/>
      <c r="B425" s="8"/>
      <c r="C425" s="28"/>
      <c r="D425" s="28"/>
      <c r="E425" s="28"/>
      <c r="F425" s="28"/>
      <c r="G425" s="28"/>
      <c r="H425" s="28"/>
      <c r="I425" s="78"/>
      <c r="J425" s="100"/>
      <c r="K425" s="4"/>
      <c r="L425" s="4"/>
      <c r="M425" s="4"/>
      <c r="N425" s="4"/>
    </row>
    <row r="426" spans="1:14" s="1" customFormat="1" ht="24.9" customHeight="1" thickBot="1">
      <c r="A426" s="502" t="s">
        <v>34</v>
      </c>
      <c r="B426" s="503"/>
      <c r="C426" s="503"/>
      <c r="D426" s="503"/>
      <c r="E426" s="503"/>
      <c r="F426" s="503"/>
      <c r="G426" s="503"/>
      <c r="H426" s="503"/>
      <c r="I426" s="503"/>
      <c r="J426" s="504"/>
      <c r="K426" s="4"/>
      <c r="L426" s="4"/>
      <c r="M426" s="4"/>
      <c r="N426" s="4"/>
    </row>
    <row r="427" spans="1:14" s="1" customFormat="1" ht="15" customHeight="1">
      <c r="A427" s="193"/>
      <c r="B427" s="194"/>
      <c r="C427" s="194"/>
      <c r="D427" s="194"/>
      <c r="E427" s="194"/>
      <c r="F427" s="194"/>
      <c r="G427" s="194"/>
      <c r="H427" s="194"/>
      <c r="I427" s="193"/>
      <c r="K427" s="56"/>
      <c r="L427" s="56"/>
      <c r="M427" s="56"/>
      <c r="N427" s="56"/>
    </row>
    <row r="428" spans="1:14" s="1" customFormat="1" ht="15" customHeight="1">
      <c r="A428" s="45"/>
      <c r="B428" s="193"/>
      <c r="C428" s="193"/>
      <c r="D428" s="193"/>
      <c r="E428" s="193"/>
      <c r="F428" s="193"/>
      <c r="G428" s="193"/>
      <c r="H428" s="193"/>
      <c r="I428" s="44"/>
      <c r="J428" s="119"/>
    </row>
    <row r="429" spans="1:14" s="1" customFormat="1" ht="15" customHeight="1">
      <c r="A429" s="109"/>
      <c r="B429" s="39"/>
      <c r="C429" s="33"/>
      <c r="D429" s="161"/>
      <c r="E429" s="35"/>
      <c r="F429" s="39"/>
      <c r="G429" s="193"/>
      <c r="H429" s="44"/>
      <c r="I429" s="44"/>
      <c r="J429" s="119"/>
    </row>
    <row r="430" spans="1:14" s="1" customFormat="1" ht="15" customHeight="1">
      <c r="A430" s="109"/>
      <c r="B430" s="33"/>
      <c r="C430" s="33"/>
      <c r="D430" s="161"/>
      <c r="E430" s="35"/>
      <c r="F430" s="161"/>
      <c r="G430" s="193"/>
      <c r="H430" s="44"/>
      <c r="I430" s="44"/>
      <c r="J430" s="119"/>
    </row>
    <row r="431" spans="1:14" s="1" customFormat="1" ht="15" customHeight="1">
      <c r="A431" s="109"/>
      <c r="B431" s="56"/>
      <c r="C431" s="56"/>
      <c r="D431" s="30"/>
      <c r="E431" s="29"/>
      <c r="F431" s="30"/>
      <c r="H431" s="44"/>
      <c r="I431" s="44"/>
      <c r="J431" s="119"/>
    </row>
    <row r="432" spans="1:14" s="1" customFormat="1" ht="15" customHeight="1">
      <c r="A432" s="109"/>
      <c r="B432" s="33"/>
      <c r="C432" s="161"/>
      <c r="D432" s="161"/>
      <c r="E432" s="109"/>
      <c r="F432" s="161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35"/>
      <c r="F433" s="163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1"/>
      <c r="H434" s="44"/>
      <c r="I434" s="44"/>
      <c r="J434" s="119"/>
    </row>
    <row r="435" spans="1:10" s="1" customFormat="1" ht="15" customHeight="1">
      <c r="A435" s="39"/>
      <c r="B435" s="33"/>
      <c r="C435" s="42"/>
      <c r="D435" s="161"/>
      <c r="E435" s="109"/>
      <c r="F435" s="69"/>
      <c r="H435" s="44"/>
      <c r="I435" s="44"/>
      <c r="J435" s="119"/>
    </row>
    <row r="436" spans="1:10" s="1" customFormat="1" ht="15" customHeight="1">
      <c r="A436" s="92"/>
      <c r="B436" s="39"/>
      <c r="C436" s="163"/>
      <c r="D436" s="161"/>
      <c r="E436" s="109"/>
      <c r="F436" s="68"/>
      <c r="H436" s="44"/>
      <c r="I436" s="44"/>
      <c r="J436" s="119"/>
    </row>
    <row r="437" spans="1:10" s="1" customFormat="1" ht="15" customHeight="1">
      <c r="B437" s="92"/>
      <c r="C437" s="161"/>
      <c r="D437" s="161"/>
      <c r="E437" s="109"/>
      <c r="F437" s="202"/>
      <c r="H437" s="44"/>
      <c r="I437" s="44"/>
      <c r="J437" s="119"/>
    </row>
    <row r="438" spans="1:10" s="1" customFormat="1" ht="15" customHeight="1">
      <c r="A438" s="64" t="str">
        <f>A18</f>
        <v>240-5 Panel (5L)</v>
      </c>
      <c r="B438" s="92"/>
      <c r="C438" s="161"/>
      <c r="D438" s="161"/>
      <c r="E438" s="109"/>
      <c r="F438" s="202"/>
      <c r="H438" s="44"/>
      <c r="I438" s="44"/>
      <c r="J438" s="119"/>
    </row>
    <row r="439" spans="1:10" s="1" customFormat="1" ht="15.9" customHeight="1">
      <c r="A439" s="76" t="str">
        <f>A19</f>
        <v xml:space="preserve">Outside Bi Fold Door </v>
      </c>
      <c r="C439" s="42"/>
      <c r="D439" s="161"/>
      <c r="E439" s="109"/>
      <c r="F439" s="68"/>
      <c r="H439" s="44"/>
      <c r="I439" s="44"/>
      <c r="J439" s="119"/>
    </row>
    <row r="440" spans="1:10" s="1" customFormat="1" ht="15.9" customHeight="1">
      <c r="A440" s="39"/>
      <c r="C440" s="161"/>
      <c r="D440" s="161"/>
      <c r="E440" s="109"/>
      <c r="F440" s="37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39"/>
      <c r="C442" s="161"/>
      <c r="D442" s="161"/>
      <c r="E442" s="109"/>
      <c r="F442" s="37"/>
      <c r="H442" s="44"/>
      <c r="I442" s="44"/>
      <c r="J442" s="119"/>
    </row>
    <row r="443" spans="1:10" s="1" customFormat="1" ht="15.9" customHeight="1">
      <c r="A443" s="44"/>
      <c r="B443" s="38"/>
      <c r="C443" s="43"/>
      <c r="D443" s="161"/>
      <c r="E443" s="109"/>
      <c r="F443" s="109"/>
      <c r="H443" s="44"/>
      <c r="I443" s="44"/>
      <c r="J443" s="119"/>
    </row>
    <row r="444" spans="1:10" s="1" customFormat="1" ht="15.9" customHeight="1">
      <c r="A444" s="40"/>
      <c r="C444" s="44"/>
      <c r="D444" s="84"/>
      <c r="E444" s="44"/>
      <c r="F444" s="44"/>
      <c r="H444" s="44"/>
      <c r="I444" s="44"/>
      <c r="J444" s="119"/>
    </row>
    <row r="445" spans="1:10" ht="15.6">
      <c r="B445" s="64"/>
      <c r="C445" s="163"/>
      <c r="D445" s="161"/>
      <c r="E445" s="109"/>
      <c r="F445" s="161"/>
      <c r="G445" s="109"/>
      <c r="H445" s="109"/>
    </row>
    <row r="450" spans="1:10" s="1" customFormat="1" ht="15.9" customHeight="1">
      <c r="A450" s="109"/>
      <c r="B450"/>
      <c r="C450"/>
      <c r="D450" s="81"/>
      <c r="E450"/>
      <c r="F450"/>
      <c r="G450"/>
      <c r="H450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44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1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163"/>
      <c r="D456" s="161"/>
      <c r="E456" s="109"/>
      <c r="F456" s="161"/>
      <c r="G456" s="109"/>
      <c r="H456" s="109"/>
      <c r="I456" s="109"/>
      <c r="J456" s="24"/>
    </row>
    <row r="457" spans="1:10" s="1" customFormat="1" ht="15.9" customHeight="1">
      <c r="A457" s="109"/>
      <c r="B457" s="33"/>
      <c r="C457" s="161"/>
      <c r="D457" s="161"/>
      <c r="E457" s="109"/>
      <c r="F457" s="161"/>
      <c r="G457" s="109"/>
      <c r="H457" s="109"/>
      <c r="I457" s="24"/>
      <c r="J457" s="24"/>
    </row>
    <row r="458" spans="1:10" s="1" customFormat="1" ht="15.9" customHeight="1">
      <c r="A458" s="109"/>
      <c r="B458" s="33"/>
      <c r="C458" s="33"/>
      <c r="D458" s="161"/>
      <c r="E458" s="109"/>
      <c r="F458" s="109"/>
      <c r="G458" s="109"/>
      <c r="H458" s="109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7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" customHeight="1">
      <c r="A476" s="109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23" customFormat="1" ht="15.9" customHeight="1">
      <c r="A477" s="109"/>
      <c r="B477" s="33"/>
      <c r="C477" s="33"/>
      <c r="D477" s="161"/>
      <c r="E477" s="109"/>
      <c r="F477" s="109"/>
      <c r="G477" s="109"/>
      <c r="H477" s="109"/>
      <c r="I477" s="109"/>
      <c r="J477" s="109"/>
    </row>
    <row r="478" spans="1:10" s="1" customFormat="1" ht="15.9" customHeight="1">
      <c r="A478" s="44"/>
      <c r="B478" s="33"/>
      <c r="C478" s="33"/>
      <c r="D478" s="161"/>
      <c r="E478" s="109"/>
      <c r="F478" s="109"/>
      <c r="G478" s="109"/>
      <c r="H478" s="109"/>
      <c r="I478" s="44"/>
      <c r="J478" s="119"/>
    </row>
    <row r="479" spans="1:10" s="1" customFormat="1" ht="15.9" customHeight="1">
      <c r="A479" s="40"/>
      <c r="B479" s="44"/>
      <c r="C479" s="44"/>
      <c r="D479" s="84"/>
      <c r="E479" s="44"/>
      <c r="F479" s="44"/>
      <c r="G479" s="44"/>
      <c r="H479" s="44"/>
      <c r="I479" s="32"/>
      <c r="J479" s="40"/>
    </row>
    <row r="480" spans="1:10" s="1" customFormat="1" ht="15.9" customHeight="1">
      <c r="A480" s="27"/>
      <c r="B480" s="40"/>
      <c r="C480" s="44"/>
      <c r="D480" s="85"/>
      <c r="E480" s="40"/>
      <c r="F480" s="32"/>
      <c r="G480" s="40"/>
      <c r="H480" s="32"/>
      <c r="I480" s="24"/>
      <c r="J480" s="24"/>
    </row>
    <row r="481" spans="1:10" s="1" customFormat="1" ht="15.9" customHeight="1">
      <c r="A481" s="27"/>
      <c r="B481" s="33"/>
      <c r="C481" s="42"/>
      <c r="D481" s="161"/>
      <c r="E481" s="109"/>
      <c r="F481" s="109"/>
      <c r="G481" s="109"/>
      <c r="H481" s="42"/>
      <c r="I481" s="67"/>
      <c r="J481" s="165"/>
    </row>
    <row r="482" spans="1:10" s="1" customFormat="1" ht="15.9" customHeight="1">
      <c r="A482" s="27"/>
      <c r="B482" s="33"/>
      <c r="C482" s="163"/>
      <c r="D482" s="161"/>
      <c r="E482" s="109"/>
      <c r="F482" s="109"/>
      <c r="G482" s="109"/>
      <c r="H482" s="67"/>
      <c r="I482" s="38"/>
      <c r="J482" s="109"/>
    </row>
    <row r="483" spans="1:10" s="1" customFormat="1" ht="15.9" customHeight="1">
      <c r="A483" s="27"/>
      <c r="B483" s="33"/>
      <c r="C483" s="161"/>
      <c r="D483" s="161"/>
      <c r="E483" s="109"/>
      <c r="F483" s="109"/>
      <c r="G483" s="109"/>
      <c r="H483" s="38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46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161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D495" s="161"/>
      <c r="E495" s="109"/>
      <c r="F495" s="109"/>
      <c r="G495" s="33"/>
      <c r="H495" s="33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42"/>
      <c r="I499" s="67"/>
      <c r="J499" s="165"/>
    </row>
    <row r="500" spans="1:10" s="1" customFormat="1" ht="15.9" customHeight="1">
      <c r="A500" s="27"/>
      <c r="B500" s="33"/>
      <c r="C500" s="47"/>
      <c r="D500" s="161"/>
      <c r="E500" s="109"/>
      <c r="F500" s="109"/>
      <c r="G500" s="109"/>
      <c r="H500" s="67"/>
      <c r="I500" s="38"/>
      <c r="J500" s="109"/>
    </row>
    <row r="501" spans="1:10" s="1" customFormat="1" ht="15.9" customHeight="1">
      <c r="A501" s="27"/>
      <c r="B501" s="33"/>
      <c r="C501" s="46"/>
      <c r="D501" s="161"/>
      <c r="E501" s="109"/>
      <c r="F501" s="109"/>
      <c r="G501" s="109"/>
      <c r="H501" s="38"/>
      <c r="I501" s="24"/>
      <c r="J501" s="24"/>
    </row>
    <row r="502" spans="1:10" s="1" customFormat="1" ht="15.9" customHeight="1">
      <c r="A502" s="27"/>
      <c r="B502" s="33"/>
      <c r="C502" s="161"/>
      <c r="D502" s="161"/>
      <c r="E502" s="109"/>
      <c r="F502" s="109"/>
      <c r="G502" s="109"/>
      <c r="H502" s="42"/>
      <c r="I502" s="67"/>
      <c r="J502" s="165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67"/>
      <c r="I503" s="38"/>
      <c r="J503" s="109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38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43"/>
      <c r="J511" s="107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43"/>
      <c r="J512" s="107"/>
    </row>
    <row r="513" spans="1:15" s="1" customFormat="1" ht="15.9" customHeight="1">
      <c r="A513" s="27"/>
      <c r="B513" s="33"/>
      <c r="C513" s="33"/>
      <c r="D513" s="161"/>
      <c r="E513" s="109"/>
      <c r="F513" s="109"/>
      <c r="G513" s="109"/>
      <c r="H513" s="109"/>
      <c r="I513" s="43"/>
      <c r="J513" s="107"/>
    </row>
    <row r="514" spans="1:15" s="1" customFormat="1" ht="15.9" customHeight="1">
      <c r="A514" s="44"/>
      <c r="B514" s="33"/>
      <c r="C514" s="33"/>
      <c r="D514" s="161"/>
      <c r="E514" s="109"/>
      <c r="F514" s="109"/>
      <c r="G514" s="109"/>
      <c r="H514" s="67"/>
      <c r="I514" s="44"/>
      <c r="J514" s="119"/>
    </row>
    <row r="515" spans="1:15" s="1" customFormat="1" ht="15.9" customHeight="1">
      <c r="A515" s="44"/>
      <c r="B515" s="44"/>
      <c r="C515" s="44"/>
      <c r="D515" s="84"/>
      <c r="E515" s="44"/>
      <c r="F515" s="44"/>
      <c r="G515" s="44"/>
      <c r="H515" s="44"/>
      <c r="I515" s="44"/>
      <c r="J515" s="119"/>
    </row>
    <row r="516" spans="1:15" s="1" customFormat="1" ht="15.9" customHeight="1">
      <c r="B516" s="44"/>
      <c r="C516" s="44"/>
      <c r="D516" s="84"/>
      <c r="E516" s="44"/>
      <c r="F516" s="44"/>
      <c r="G516" s="44"/>
      <c r="H516" s="44"/>
    </row>
    <row r="517" spans="1:15" s="1" customFormat="1" ht="15.9" customHeight="1" thickBot="1"/>
    <row r="518" spans="1:15" s="1" customFormat="1" ht="24.9" customHeight="1" thickBot="1">
      <c r="A518" s="502" t="s">
        <v>401</v>
      </c>
      <c r="B518" s="503"/>
      <c r="C518" s="503"/>
      <c r="D518" s="503"/>
      <c r="E518" s="503"/>
      <c r="F518" s="503"/>
      <c r="G518" s="503"/>
      <c r="H518" s="503"/>
      <c r="I518" s="503"/>
      <c r="J518" s="504"/>
    </row>
    <row r="519" spans="1:15" s="1" customFormat="1" ht="35.1" customHeight="1" thickBot="1">
      <c r="A519" s="102" t="s">
        <v>2</v>
      </c>
      <c r="B519" s="103" t="s">
        <v>3</v>
      </c>
      <c r="C519" s="103" t="s">
        <v>3</v>
      </c>
      <c r="D519" s="104" t="s">
        <v>35</v>
      </c>
      <c r="E519" s="103" t="s">
        <v>5</v>
      </c>
      <c r="F519" s="339" t="s">
        <v>27</v>
      </c>
      <c r="G519" s="305"/>
      <c r="H519" s="104" t="s">
        <v>27</v>
      </c>
      <c r="I519" s="104" t="s">
        <v>26</v>
      </c>
      <c r="J519" s="115" t="s">
        <v>6</v>
      </c>
      <c r="N519" s="249" t="s">
        <v>3</v>
      </c>
      <c r="O519" s="249" t="s">
        <v>3</v>
      </c>
    </row>
    <row r="520" spans="1:15" s="1" customFormat="1" ht="15.9" customHeight="1">
      <c r="A520" s="123">
        <f>IF(C520="","",1)</f>
        <v>1</v>
      </c>
      <c r="B520" s="121" t="str">
        <f>IF($D$127=5,N520,IF($D$127=6,N521,IF($D$127=8,N522,IF($D$127=10,N523,IF($D$127=12,N524,IF($D$127=14,N525,IF($D$127=18,N526,IF($D$127=20,N527,IF($D$127=22,N528,)))))))))</f>
        <v>กระจก 6 mm (สูง) (กว้าง)</v>
      </c>
      <c r="C520" s="121" t="str">
        <f>IF($D$127=5,O520,IF($D$127=6,O521,IF($D$127=8,O522,IF($D$127=10,O523,IF($D$127=12,O524,IF($D$127=14,O525,IF($D$127=18,O526,IF($D$127=20,O527,IF($D$127=22,O528,)))))))))</f>
        <v>GLASS thk.6 mm (H) (W)</v>
      </c>
      <c r="D520" s="124">
        <f>$J$123-215</f>
        <v>3485</v>
      </c>
      <c r="E520" s="123" t="s">
        <v>11</v>
      </c>
      <c r="F520" s="527" t="s">
        <v>271</v>
      </c>
      <c r="G520" s="528"/>
      <c r="H520" s="123" t="s">
        <v>406</v>
      </c>
      <c r="I520" s="124">
        <f>(($J$126-182-(113.25*4))/5)-13</f>
        <v>660</v>
      </c>
      <c r="J520" s="151">
        <f>$J$120*5</f>
        <v>5</v>
      </c>
      <c r="M520" s="1">
        <f>ROW()</f>
        <v>520</v>
      </c>
      <c r="N520" s="19" t="s">
        <v>194</v>
      </c>
      <c r="O520" s="19" t="s">
        <v>195</v>
      </c>
    </row>
    <row r="521" spans="1:15" s="1" customFormat="1" ht="15.9" customHeight="1">
      <c r="A521" s="346"/>
      <c r="B521" s="295"/>
      <c r="C521" s="295"/>
      <c r="D521" s="296"/>
      <c r="E521" s="238"/>
      <c r="F521" s="251"/>
      <c r="G521" s="297"/>
      <c r="H521" s="238"/>
      <c r="I521" s="298"/>
      <c r="J521" s="299"/>
      <c r="M521" s="1">
        <f>ROW()</f>
        <v>521</v>
      </c>
      <c r="N521" s="19" t="s">
        <v>53</v>
      </c>
      <c r="O521" s="19" t="s">
        <v>54</v>
      </c>
    </row>
    <row r="522" spans="1:15" s="1" customFormat="1" ht="15.9" customHeight="1">
      <c r="A522" s="346"/>
      <c r="B522" s="295"/>
      <c r="C522" s="295"/>
      <c r="D522" s="296"/>
      <c r="E522" s="238"/>
      <c r="F522" s="251"/>
      <c r="G522" s="297"/>
      <c r="H522" s="238"/>
      <c r="I522" s="298"/>
      <c r="J522" s="299"/>
      <c r="M522" s="1">
        <f>ROW()</f>
        <v>522</v>
      </c>
      <c r="N522" s="19" t="s">
        <v>257</v>
      </c>
      <c r="O522" s="19" t="s">
        <v>258</v>
      </c>
    </row>
    <row r="523" spans="1:15" s="1" customFormat="1" ht="15.9" customHeight="1">
      <c r="A523" s="129" t="str">
        <f>IF(B523="","",+#REF!+1)</f>
        <v/>
      </c>
      <c r="B523" s="127"/>
      <c r="C523" s="127"/>
      <c r="D523" s="128"/>
      <c r="E523" s="129"/>
      <c r="F523" s="155"/>
      <c r="G523" s="157"/>
      <c r="H523" s="129"/>
      <c r="I523" s="144"/>
      <c r="J523" s="130"/>
      <c r="M523" s="1">
        <f>ROW()</f>
        <v>523</v>
      </c>
      <c r="N523" s="19" t="s">
        <v>259</v>
      </c>
      <c r="O523" s="19" t="s">
        <v>265</v>
      </c>
    </row>
    <row r="524" spans="1:15" s="1" customFormat="1" ht="15.9" customHeight="1">
      <c r="A524" s="135" t="str">
        <f>IF(B524="","",+A523+1)</f>
        <v/>
      </c>
      <c r="B524" s="133"/>
      <c r="C524" s="133"/>
      <c r="D524" s="134"/>
      <c r="E524" s="135"/>
      <c r="F524" s="158"/>
      <c r="G524" s="159"/>
      <c r="H524" s="135"/>
      <c r="I524" s="145"/>
      <c r="J524" s="136"/>
      <c r="M524" s="1">
        <f>ROW()</f>
        <v>524</v>
      </c>
      <c r="N524" s="19" t="s">
        <v>260</v>
      </c>
      <c r="O524" s="19" t="s">
        <v>266</v>
      </c>
    </row>
    <row r="525" spans="1:15" s="1" customFormat="1" ht="15.9" customHeight="1">
      <c r="A525" s="17"/>
      <c r="B525" s="56"/>
      <c r="C525" s="56"/>
      <c r="D525" s="30"/>
      <c r="E525" s="17"/>
      <c r="F525" s="17"/>
      <c r="G525" s="17"/>
      <c r="H525" s="109"/>
      <c r="I525" s="109"/>
      <c r="J525" s="24"/>
      <c r="M525" s="1">
        <f>ROW()</f>
        <v>525</v>
      </c>
      <c r="N525" s="19" t="s">
        <v>261</v>
      </c>
      <c r="O525" s="19" t="s">
        <v>267</v>
      </c>
    </row>
    <row r="526" spans="1:15">
      <c r="J526" s="99" t="str">
        <f>LEFT($J$111,11)&amp;"-05"</f>
        <v>FG-240-5P5L-05</v>
      </c>
      <c r="M526" s="1">
        <f>ROW()</f>
        <v>526</v>
      </c>
      <c r="N526" s="19" t="s">
        <v>262</v>
      </c>
      <c r="O526" s="19" t="s">
        <v>268</v>
      </c>
    </row>
    <row r="527" spans="1:15">
      <c r="M527" s="1">
        <f>ROW()</f>
        <v>527</v>
      </c>
      <c r="N527" s="19" t="s">
        <v>263</v>
      </c>
      <c r="O527" s="19" t="s">
        <v>269</v>
      </c>
    </row>
    <row r="528" spans="1:15">
      <c r="M528" s="1">
        <f>ROW()</f>
        <v>528</v>
      </c>
      <c r="N528" s="19" t="s">
        <v>264</v>
      </c>
      <c r="O528" s="19" t="s">
        <v>270</v>
      </c>
    </row>
  </sheetData>
  <dataConsolidate function="product">
    <dataRefs count="1">
      <dataRef ref="O154:O162" sheet="240_2Panel(L)" r:id="rId1"/>
    </dataRefs>
  </dataConsolidate>
  <mergeCells count="43">
    <mergeCell ref="A131:J131"/>
    <mergeCell ref="A6:J6"/>
    <mergeCell ref="H120:I121"/>
    <mergeCell ref="J120:J121"/>
    <mergeCell ref="A117:J117"/>
    <mergeCell ref="D121:G121"/>
    <mergeCell ref="D119:G119"/>
    <mergeCell ref="D129:G129"/>
    <mergeCell ref="H123:I124"/>
    <mergeCell ref="J123:J124"/>
    <mergeCell ref="A125:B125"/>
    <mergeCell ref="H126:I127"/>
    <mergeCell ref="J126:J127"/>
    <mergeCell ref="D123:G123"/>
    <mergeCell ref="D125:G125"/>
    <mergeCell ref="D127:G127"/>
    <mergeCell ref="I154:J154"/>
    <mergeCell ref="I155:J155"/>
    <mergeCell ref="I156:J156"/>
    <mergeCell ref="I168:J168"/>
    <mergeCell ref="I161:J161"/>
    <mergeCell ref="I157:J157"/>
    <mergeCell ref="I158:J158"/>
    <mergeCell ref="D159:D160"/>
    <mergeCell ref="H159:H160"/>
    <mergeCell ref="I159:J160"/>
    <mergeCell ref="D161:D162"/>
    <mergeCell ref="D163:D167"/>
    <mergeCell ref="F520:G520"/>
    <mergeCell ref="I162:J165"/>
    <mergeCell ref="I166:J167"/>
    <mergeCell ref="A518:J518"/>
    <mergeCell ref="A426:J426"/>
    <mergeCell ref="A319:J319"/>
    <mergeCell ref="A212:J212"/>
    <mergeCell ref="F330:G330"/>
    <mergeCell ref="F333:G333"/>
    <mergeCell ref="F329:G329"/>
    <mergeCell ref="A170:J170"/>
    <mergeCell ref="D168:D169"/>
    <mergeCell ref="H163:H167"/>
    <mergeCell ref="H161:H162"/>
    <mergeCell ref="H168:H169"/>
  </mergeCells>
  <dataValidations count="4">
    <dataValidation type="list" allowBlank="1" showInputMessage="1" showErrorMessage="1" sqref="D127:G127">
      <formula1>$N$120:$N$128</formula1>
    </dataValidation>
    <dataValidation type="list" allowBlank="1" showInputMessage="1" showErrorMessage="1" sqref="C205">
      <formula1>$O$172:$O$190</formula1>
    </dataValidation>
    <dataValidation type="list" allowBlank="1" showInputMessage="1" showErrorMessage="1" sqref="D129:G129">
      <formula1>$O$120</formula1>
    </dataValidation>
    <dataValidation type="list" allowBlank="1" showInputMessage="1" showErrorMessage="1" sqref="D123:G123">
      <formula1>$P$119:$P$128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4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6" max="9" man="1"/>
    <brk id="313" max="16383" man="1"/>
    <brk id="420" max="9" man="1"/>
  </rowBreaks>
  <drawing r:id="rId3"/>
  <legacyDrawing r:id="rId4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>
    <tabColor theme="5" tint="-0.249977111117893"/>
  </sheetPr>
  <dimension ref="A1:Y527"/>
  <sheetViews>
    <sheetView showGridLines="0" view="pageBreakPreview" topLeftCell="A109" zoomScale="75" zoomScaleNormal="75" zoomScaleSheetLayoutView="75" workbookViewId="0">
      <selection activeCell="J128" sqref="J128"/>
    </sheetView>
  </sheetViews>
  <sheetFormatPr defaultRowHeight="14.4" outlineLevelRow="1" outlineLevelCol="1"/>
  <cols>
    <col min="1" max="1" width="7" customWidth="1"/>
    <col min="2" max="2" width="40.6640625" customWidth="1"/>
    <col min="3" max="3" width="61.3320312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7.88671875" bestFit="1" customWidth="1"/>
    <col min="9" max="9" width="11.109375" bestFit="1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41.554687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3.4414062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05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05"/>
      <c r="E3" s="205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153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>
      <c r="G45" s="10"/>
    </row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/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339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05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05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5.6">
      <c r="A118" s="12"/>
      <c r="C118" s="8"/>
      <c r="D118" s="15"/>
      <c r="E118" s="13"/>
      <c r="J118" s="204"/>
      <c r="K118" s="11"/>
      <c r="L118" s="56"/>
      <c r="M118" s="56"/>
      <c r="N118" s="56"/>
    </row>
    <row r="119" spans="1:16" s="1" customFormat="1" ht="15" customHeight="1">
      <c r="A119" s="12"/>
      <c r="C119" s="110" t="s">
        <v>635</v>
      </c>
      <c r="D119" s="524" t="s">
        <v>672</v>
      </c>
      <c r="E119" s="525"/>
      <c r="F119" s="525"/>
      <c r="G119" s="526"/>
      <c r="I119" s="16"/>
      <c r="J119" s="12"/>
      <c r="N119" s="243" t="s">
        <v>191</v>
      </c>
      <c r="O119" s="12" t="s">
        <v>227</v>
      </c>
      <c r="P119" s="247" t="s">
        <v>16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4">
        <v>5</v>
      </c>
      <c r="O120" s="12" t="s">
        <v>243</v>
      </c>
      <c r="P120" s="335" t="s">
        <v>389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6</v>
      </c>
      <c r="O121" s="12" t="s">
        <v>244</v>
      </c>
      <c r="P121" s="336" t="s">
        <v>390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8</v>
      </c>
      <c r="P122" s="336" t="s">
        <v>391</v>
      </c>
    </row>
    <row r="123" spans="1:16" s="1" customFormat="1" ht="15" customHeight="1">
      <c r="A123" s="12"/>
      <c r="C123" s="110" t="s">
        <v>629</v>
      </c>
      <c r="D123" s="524" t="s">
        <v>396</v>
      </c>
      <c r="E123" s="525"/>
      <c r="F123" s="525"/>
      <c r="G123" s="526"/>
      <c r="H123" s="519" t="s">
        <v>638</v>
      </c>
      <c r="I123" s="520"/>
      <c r="J123" s="517">
        <v>2700</v>
      </c>
      <c r="N123" s="245">
        <v>10</v>
      </c>
      <c r="P123" s="336" t="s">
        <v>392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12</v>
      </c>
      <c r="P124" s="335" t="s">
        <v>393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202"/>
      <c r="L125" s="77"/>
      <c r="N125" s="245">
        <v>14</v>
      </c>
      <c r="P125" s="335" t="s">
        <v>394</v>
      </c>
    </row>
    <row r="126" spans="1:16" s="1" customFormat="1" ht="15" customHeight="1">
      <c r="A126" s="204"/>
      <c r="B126" s="204"/>
      <c r="C126" s="423" t="s">
        <v>631</v>
      </c>
      <c r="D126" s="15"/>
      <c r="H126" s="519" t="s">
        <v>639</v>
      </c>
      <c r="I126" s="520"/>
      <c r="J126" s="517">
        <v>2750</v>
      </c>
      <c r="K126" s="202"/>
      <c r="L126" s="77"/>
      <c r="N126" s="245">
        <v>18</v>
      </c>
      <c r="P126" s="335" t="s">
        <v>395</v>
      </c>
    </row>
    <row r="127" spans="1:16" s="1" customFormat="1" ht="15" customHeight="1">
      <c r="A127" s="204"/>
      <c r="B127" s="204"/>
      <c r="C127" s="110" t="s">
        <v>633</v>
      </c>
      <c r="D127" s="534">
        <v>6</v>
      </c>
      <c r="E127" s="535"/>
      <c r="F127" s="535"/>
      <c r="G127" s="536"/>
      <c r="H127" s="520"/>
      <c r="I127" s="520"/>
      <c r="J127" s="518"/>
      <c r="N127" s="245">
        <v>20</v>
      </c>
      <c r="P127" s="335" t="s">
        <v>396</v>
      </c>
    </row>
    <row r="128" spans="1:16" s="1" customFormat="1" ht="18.75" customHeight="1">
      <c r="C128" s="423" t="s">
        <v>632</v>
      </c>
      <c r="I128" s="12"/>
      <c r="J128" s="12"/>
      <c r="N128" s="245">
        <v>22</v>
      </c>
      <c r="P128" s="335" t="s">
        <v>397</v>
      </c>
    </row>
    <row r="129" spans="1:23" s="1" customFormat="1" ht="15" customHeight="1">
      <c r="A129" s="88" t="str">
        <f>A18</f>
        <v>240-5 Panel (5R)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2690</v>
      </c>
      <c r="J133" s="125">
        <f t="shared" ref="J133:J153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10</v>
      </c>
      <c r="U133" s="283" t="s">
        <v>297</v>
      </c>
      <c r="V133" s="285">
        <f>($J$126-182-(113.25*4))/5</f>
        <v>423</v>
      </c>
      <c r="W133" s="286">
        <f>$J$121*T133</f>
        <v>0</v>
      </c>
    </row>
    <row r="134" spans="1:23" s="1" customFormat="1" ht="18" customHeight="1">
      <c r="A134" s="143">
        <f t="shared" ref="A134:A153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2664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10</v>
      </c>
      <c r="U134" s="129" t="s">
        <v>297</v>
      </c>
      <c r="V134" s="285">
        <f t="shared" ref="V134:V135" si="2">($J$126-182-(113.25*4))/5</f>
        <v>423</v>
      </c>
      <c r="W134" s="131">
        <f t="shared" ref="W134:W135" si="3">$J$121*T134</f>
        <v>0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2690</v>
      </c>
      <c r="J135" s="131">
        <f t="shared" si="0"/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10</v>
      </c>
      <c r="U135" s="135" t="s">
        <v>297</v>
      </c>
      <c r="V135" s="285">
        <f t="shared" si="2"/>
        <v>423</v>
      </c>
      <c r="W135" s="293">
        <f t="shared" si="3"/>
        <v>0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2690</v>
      </c>
      <c r="J136" s="131">
        <f t="shared" si="0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10</v>
      </c>
      <c r="U136" s="283" t="s">
        <v>64</v>
      </c>
      <c r="V136" s="288">
        <f>$J$123-242</f>
        <v>2458</v>
      </c>
      <c r="W136" s="286">
        <f>$J$121*T136</f>
        <v>0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508</v>
      </c>
      <c r="G137" s="143">
        <v>1</v>
      </c>
      <c r="H137" s="143" t="s">
        <v>61</v>
      </c>
      <c r="I137" s="130">
        <f>$J$123</f>
        <v>2700</v>
      </c>
      <c r="J137" s="131">
        <f t="shared" si="0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10</v>
      </c>
      <c r="U137" s="129" t="s">
        <v>64</v>
      </c>
      <c r="V137" s="130">
        <f>$J$123-242</f>
        <v>2458</v>
      </c>
      <c r="W137" s="131">
        <f t="shared" ref="W137:W138" si="4">$J$121*T137</f>
        <v>0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2700</v>
      </c>
      <c r="J138" s="131">
        <f t="shared" si="0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10</v>
      </c>
      <c r="U138" s="135" t="s">
        <v>64</v>
      </c>
      <c r="V138" s="136">
        <f>$J$123-242</f>
        <v>2458</v>
      </c>
      <c r="W138" s="293">
        <f t="shared" si="4"/>
        <v>0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2604</v>
      </c>
      <c r="J139" s="131">
        <f t="shared" si="0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2604</v>
      </c>
      <c r="J140" s="131">
        <f t="shared" ref="J140" si="5">$J$120*G140</f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5</v>
      </c>
      <c r="H141" s="143" t="s">
        <v>297</v>
      </c>
      <c r="I141" s="178">
        <f>($J$126-182-(113.25*4))/5</f>
        <v>423</v>
      </c>
      <c r="J141" s="131">
        <f t="shared" ref="J141:J147" si="6">$J$120*G141</f>
        <v>5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5</v>
      </c>
      <c r="H142" s="143" t="s">
        <v>297</v>
      </c>
      <c r="I142" s="178">
        <f>($J$126-182-(113.25*4))/5</f>
        <v>423</v>
      </c>
      <c r="J142" s="131">
        <f t="shared" si="6"/>
        <v>5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7</v>
      </c>
      <c r="H143" s="143" t="s">
        <v>63</v>
      </c>
      <c r="I143" s="130">
        <f>$J$123-92</f>
        <v>2608</v>
      </c>
      <c r="J143" s="131">
        <f t="shared" si="6"/>
        <v>7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496</v>
      </c>
      <c r="G144" s="143">
        <v>2</v>
      </c>
      <c r="H144" s="143" t="s">
        <v>63</v>
      </c>
      <c r="I144" s="130">
        <f t="shared" ref="I144:I145" si="7">$J$123-92</f>
        <v>2608</v>
      </c>
      <c r="J144" s="131">
        <f t="shared" si="6"/>
        <v>2</v>
      </c>
      <c r="N144" s="98"/>
    </row>
    <row r="145" spans="1:14" s="1" customFormat="1" ht="18" customHeight="1">
      <c r="A145" s="143">
        <f t="shared" si="1"/>
        <v>13</v>
      </c>
      <c r="B145" s="140" t="s">
        <v>116</v>
      </c>
      <c r="C145" s="140" t="s">
        <v>99</v>
      </c>
      <c r="D145" s="139" t="s">
        <v>50</v>
      </c>
      <c r="E145" s="143">
        <v>1.1060000000000001</v>
      </c>
      <c r="F145" s="139" t="s">
        <v>507</v>
      </c>
      <c r="G145" s="143">
        <v>1</v>
      </c>
      <c r="H145" s="143" t="s">
        <v>63</v>
      </c>
      <c r="I145" s="130">
        <f t="shared" si="7"/>
        <v>2608</v>
      </c>
      <c r="J145" s="131">
        <f t="shared" si="6"/>
        <v>1</v>
      </c>
      <c r="N145" s="98"/>
    </row>
    <row r="146" spans="1:14" s="1" customFormat="1" ht="18" customHeight="1">
      <c r="A146" s="143">
        <f t="shared" si="1"/>
        <v>14</v>
      </c>
      <c r="B146" s="140" t="str">
        <f t="shared" ref="B146:I146" si="8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40" t="str">
        <f t="shared" si="8"/>
        <v>5-6mm GLAZING BEAD HORIZONTAL</v>
      </c>
      <c r="D146" s="140" t="str">
        <f t="shared" si="8"/>
        <v>B24008</v>
      </c>
      <c r="E146" s="140">
        <f t="shared" si="8"/>
        <v>0.23100000000000001</v>
      </c>
      <c r="F146" s="140" t="str">
        <f t="shared" si="8"/>
        <v>B24008-001</v>
      </c>
      <c r="G146" s="143">
        <f t="shared" si="8"/>
        <v>10</v>
      </c>
      <c r="H146" s="129" t="str">
        <f t="shared" si="8"/>
        <v>(W-182-(113.25 × 4))/5</v>
      </c>
      <c r="I146" s="178">
        <f t="shared" si="8"/>
        <v>423</v>
      </c>
      <c r="J146" s="131">
        <f t="shared" si="6"/>
        <v>10</v>
      </c>
      <c r="N146" s="98"/>
    </row>
    <row r="147" spans="1:14" s="1" customFormat="1" ht="18" customHeight="1">
      <c r="A147" s="143">
        <f t="shared" si="1"/>
        <v>15</v>
      </c>
      <c r="B147" s="140" t="str">
        <f t="shared" ref="B147:I147" si="9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40" t="str">
        <f t="shared" si="9"/>
        <v>5-6mm GLAZING BEAD VERTICAL</v>
      </c>
      <c r="D147" s="140" t="str">
        <f t="shared" si="9"/>
        <v>B24008</v>
      </c>
      <c r="E147" s="140">
        <f t="shared" si="9"/>
        <v>0.23100000000000001</v>
      </c>
      <c r="F147" s="140" t="str">
        <f t="shared" si="9"/>
        <v>B24008-002</v>
      </c>
      <c r="G147" s="143">
        <f t="shared" si="9"/>
        <v>10</v>
      </c>
      <c r="H147" s="129" t="str">
        <f t="shared" si="9"/>
        <v>H-242</v>
      </c>
      <c r="I147" s="144">
        <f t="shared" si="9"/>
        <v>2458</v>
      </c>
      <c r="J147" s="131">
        <f t="shared" si="6"/>
        <v>10</v>
      </c>
      <c r="N147" s="98"/>
    </row>
    <row r="148" spans="1:14" s="1" customFormat="1" ht="18" customHeight="1">
      <c r="A148" s="143" t="str">
        <f t="shared" si="1"/>
        <v/>
      </c>
      <c r="B148" s="140"/>
      <c r="C148" s="140"/>
      <c r="D148" s="139"/>
      <c r="E148" s="143"/>
      <c r="F148" s="139"/>
      <c r="G148" s="143"/>
      <c r="H148" s="143"/>
      <c r="I148" s="130"/>
      <c r="J148" s="131">
        <f t="shared" si="0"/>
        <v>0</v>
      </c>
      <c r="N148" s="98"/>
    </row>
    <row r="149" spans="1:14" s="1" customFormat="1" ht="18" customHeight="1">
      <c r="A149" s="143" t="str">
        <f t="shared" si="1"/>
        <v/>
      </c>
      <c r="B149" s="140"/>
      <c r="C149" s="140"/>
      <c r="D149" s="139"/>
      <c r="E149" s="143"/>
      <c r="F149" s="139"/>
      <c r="G149" s="143"/>
      <c r="H149" s="143"/>
      <c r="I149" s="130"/>
      <c r="J149" s="131">
        <f t="shared" si="0"/>
        <v>0</v>
      </c>
      <c r="N149" s="98"/>
    </row>
    <row r="150" spans="1:14" s="1" customFormat="1" ht="18" customHeight="1">
      <c r="A150" s="143" t="str">
        <f t="shared" si="1"/>
        <v/>
      </c>
      <c r="B150" s="140"/>
      <c r="C150" s="140"/>
      <c r="D150" s="139"/>
      <c r="E150" s="143"/>
      <c r="F150" s="139"/>
      <c r="G150" s="143"/>
      <c r="H150" s="143"/>
      <c r="I150" s="130"/>
      <c r="J150" s="131"/>
      <c r="N150" s="98"/>
    </row>
    <row r="151" spans="1:14" s="1" customFormat="1" ht="18" customHeight="1">
      <c r="A151" s="143" t="str">
        <f t="shared" si="1"/>
        <v/>
      </c>
      <c r="B151" s="140"/>
      <c r="C151" s="140"/>
      <c r="D151" s="139"/>
      <c r="E151" s="143"/>
      <c r="F151" s="139"/>
      <c r="G151" s="143"/>
      <c r="H151" s="143"/>
      <c r="I151" s="130"/>
      <c r="J151" s="131">
        <f t="shared" si="0"/>
        <v>0</v>
      </c>
      <c r="N151" s="98"/>
    </row>
    <row r="152" spans="1:14" s="1" customFormat="1" ht="18" customHeight="1">
      <c r="A152" s="143" t="str">
        <f t="shared" si="1"/>
        <v/>
      </c>
      <c r="B152" s="127"/>
      <c r="C152" s="127"/>
      <c r="D152" s="128"/>
      <c r="E152" s="129"/>
      <c r="F152" s="128"/>
      <c r="G152" s="129"/>
      <c r="H152" s="129"/>
      <c r="I152" s="144"/>
      <c r="J152" s="131">
        <f t="shared" si="0"/>
        <v>0</v>
      </c>
      <c r="N152" s="98"/>
    </row>
    <row r="153" spans="1:14" s="1" customFormat="1" ht="18" customHeight="1" thickBot="1">
      <c r="A153" s="143" t="str">
        <f t="shared" si="1"/>
        <v/>
      </c>
      <c r="B153" s="167"/>
      <c r="C153" s="167"/>
      <c r="D153" s="168"/>
      <c r="E153" s="166"/>
      <c r="F153" s="168"/>
      <c r="G153" s="166"/>
      <c r="H153" s="166"/>
      <c r="I153" s="171"/>
      <c r="J153" s="172">
        <f t="shared" si="0"/>
        <v>0</v>
      </c>
    </row>
    <row r="154" spans="1:14" s="1" customFormat="1" ht="27" outlineLevel="1" thickBot="1">
      <c r="A154" s="169" t="s">
        <v>2</v>
      </c>
      <c r="B154" s="169" t="s">
        <v>29</v>
      </c>
      <c r="C154" s="169" t="s">
        <v>3</v>
      </c>
      <c r="D154" s="169" t="s">
        <v>4</v>
      </c>
      <c r="E154" s="169" t="s">
        <v>5</v>
      </c>
      <c r="F154" s="177" t="s">
        <v>85</v>
      </c>
      <c r="G154" s="169" t="s">
        <v>22</v>
      </c>
      <c r="H154" s="170" t="s">
        <v>23</v>
      </c>
      <c r="I154" s="540"/>
      <c r="J154" s="541"/>
    </row>
    <row r="155" spans="1:14" s="1" customFormat="1" ht="15" customHeight="1" outlineLevel="1">
      <c r="A155" s="21">
        <f>IF(B155="","",1)</f>
        <v>1</v>
      </c>
      <c r="B155" s="173" t="str">
        <f t="shared" ref="B155:C161" si="10">B133</f>
        <v>เฟรมบน</v>
      </c>
      <c r="C155" s="173" t="str">
        <f t="shared" si="10"/>
        <v>HEAD</v>
      </c>
      <c r="D155" s="174" t="str">
        <f>VLOOKUP(C155,$C$133:$H$153,2,0)</f>
        <v>B24001</v>
      </c>
      <c r="E155" s="175">
        <f t="shared" ref="E155:E161" si="11">VLOOKUP(C155,$C$133:$H$153,3,0)</f>
        <v>1.603</v>
      </c>
      <c r="F155" s="353">
        <f>VLOOKUP(C155,$C$133:$J$153,7,0)</f>
        <v>2690</v>
      </c>
      <c r="G155" s="175">
        <f t="shared" ref="G155:G161" si="12">VLOOKUP(C155,$C$133:$J$153,8,0)</f>
        <v>1</v>
      </c>
      <c r="H155" s="191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ref="A156:A161" si="13">IF(B156="","",+A155+1)</f>
        <v>2</v>
      </c>
      <c r="B156" s="173" t="str">
        <f t="shared" si="10"/>
        <v>บังใบบน</v>
      </c>
      <c r="C156" s="173" t="str">
        <f t="shared" si="10"/>
        <v>DOOR STOP HEAD</v>
      </c>
      <c r="D156" s="174" t="str">
        <f>VLOOKUP(C156,$C$133:$H$153,2,0)</f>
        <v>B24002</v>
      </c>
      <c r="E156" s="175">
        <f t="shared" si="11"/>
        <v>0.27800000000000002</v>
      </c>
      <c r="F156" s="353">
        <f t="shared" ref="F156:F161" si="14">VLOOKUP(C156,$C$133:$I$153,7,0)</f>
        <v>2664</v>
      </c>
      <c r="G156" s="175">
        <f t="shared" si="12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si="13"/>
        <v>3</v>
      </c>
      <c r="B157" s="173" t="str">
        <f t="shared" si="10"/>
        <v xml:space="preserve">เฟรมล่าง </v>
      </c>
      <c r="C157" s="173" t="str">
        <f t="shared" si="10"/>
        <v>SILL</v>
      </c>
      <c r="D157" s="174" t="str">
        <f>VLOOKUP(C157,$C$133:$H$153,2,0)</f>
        <v>B24003</v>
      </c>
      <c r="E157" s="175">
        <f t="shared" si="11"/>
        <v>1.603</v>
      </c>
      <c r="F157" s="353">
        <f t="shared" si="14"/>
        <v>2690</v>
      </c>
      <c r="G157" s="175">
        <f t="shared" si="12"/>
        <v>1</v>
      </c>
      <c r="H157" s="192">
        <f t="shared" ref="H157:H158" si="15">ROUNDUP((F157*G157)/6400,0)</f>
        <v>1</v>
      </c>
      <c r="I157" s="501"/>
      <c r="J157" s="501"/>
    </row>
    <row r="158" spans="1:14" s="1" customFormat="1" ht="15" customHeight="1" outlineLevel="1">
      <c r="A158" s="18">
        <f t="shared" si="13"/>
        <v>4</v>
      </c>
      <c r="B158" s="173" t="str">
        <f t="shared" si="10"/>
        <v>ตัวตับธรณี</v>
      </c>
      <c r="C158" s="173" t="str">
        <f t="shared" si="10"/>
        <v>DOOR STOP SILL</v>
      </c>
      <c r="D158" s="174" t="str">
        <f>VLOOKUP(C158,$C$133:$H$153,2,0)</f>
        <v>B24004</v>
      </c>
      <c r="E158" s="175">
        <f t="shared" si="11"/>
        <v>0.51600000000000001</v>
      </c>
      <c r="F158" s="353">
        <f t="shared" si="14"/>
        <v>2690</v>
      </c>
      <c r="G158" s="175">
        <f t="shared" si="12"/>
        <v>1</v>
      </c>
      <c r="H158" s="192">
        <f t="shared" si="15"/>
        <v>1</v>
      </c>
      <c r="I158" s="501"/>
      <c r="J158" s="501"/>
    </row>
    <row r="159" spans="1:14" s="1" customFormat="1" ht="15" customHeight="1" outlineLevel="1">
      <c r="A159" s="18">
        <f t="shared" si="13"/>
        <v>5</v>
      </c>
      <c r="B159" s="173" t="str">
        <f t="shared" si="10"/>
        <v>เฟรมข้าง (ซ้าย)</v>
      </c>
      <c r="C159" s="173" t="str">
        <f t="shared" si="10"/>
        <v>JAMB (L)</v>
      </c>
      <c r="D159" s="508" t="str">
        <f>VLOOKUP(C159,$C$133:$H$153,2,0)</f>
        <v>B24005</v>
      </c>
      <c r="E159" s="175">
        <f t="shared" si="11"/>
        <v>0.89300000000000002</v>
      </c>
      <c r="F159" s="353">
        <f t="shared" si="14"/>
        <v>2700</v>
      </c>
      <c r="G159" s="175">
        <f t="shared" si="12"/>
        <v>1</v>
      </c>
      <c r="H159" s="516">
        <f>ROUNDUP(((F159*G159)+(F160*G160))/6400,0)</f>
        <v>1</v>
      </c>
      <c r="I159" s="506"/>
      <c r="J159" s="506"/>
    </row>
    <row r="160" spans="1:14" s="1" customFormat="1" ht="15" customHeight="1" outlineLevel="1">
      <c r="A160" s="18">
        <f t="shared" si="13"/>
        <v>6</v>
      </c>
      <c r="B160" s="173" t="str">
        <f t="shared" si="10"/>
        <v>เฟรมข้าง (ขวา)</v>
      </c>
      <c r="C160" s="173" t="str">
        <f t="shared" si="10"/>
        <v>JAMB (R)</v>
      </c>
      <c r="D160" s="509"/>
      <c r="E160" s="175">
        <f t="shared" si="11"/>
        <v>0.89300000000000002</v>
      </c>
      <c r="F160" s="353">
        <f t="shared" si="14"/>
        <v>2700</v>
      </c>
      <c r="G160" s="175">
        <f t="shared" si="12"/>
        <v>1</v>
      </c>
      <c r="H160" s="516"/>
      <c r="I160" s="506"/>
      <c r="J160" s="506"/>
    </row>
    <row r="161" spans="1:23" s="1" customFormat="1" ht="15" customHeight="1" outlineLevel="1">
      <c r="A161" s="18">
        <f t="shared" si="13"/>
        <v>7</v>
      </c>
      <c r="B161" s="173" t="str">
        <f t="shared" si="10"/>
        <v>บังใบข้าง (ซ้าย)</v>
      </c>
      <c r="C161" s="173" t="str">
        <f t="shared" si="10"/>
        <v>DOOR STOP JAMB (L)</v>
      </c>
      <c r="D161" s="508" t="str">
        <f>VLOOKUP(C161,$C$133:$H$153,2,0)</f>
        <v>B24006</v>
      </c>
      <c r="E161" s="175">
        <f t="shared" si="11"/>
        <v>0.23499999999999999</v>
      </c>
      <c r="F161" s="353">
        <f t="shared" si="14"/>
        <v>2604</v>
      </c>
      <c r="G161" s="175">
        <f t="shared" si="12"/>
        <v>1</v>
      </c>
      <c r="H161" s="516">
        <f>ROUNDUP(((F161*G161)+(F162*G162))/6400,0)</f>
        <v>1</v>
      </c>
      <c r="I161" s="501"/>
      <c r="J161" s="501"/>
    </row>
    <row r="162" spans="1:23" s="1" customFormat="1" ht="15" customHeight="1" outlineLevel="1">
      <c r="A162" s="18">
        <f t="shared" ref="A162:A169" si="16">IF(B162="","",+A161+1)</f>
        <v>8</v>
      </c>
      <c r="B162" s="173" t="str">
        <f t="shared" ref="B162:C162" si="17">B140</f>
        <v>บังใบข้าง (ขวา)</v>
      </c>
      <c r="C162" s="173" t="str">
        <f t="shared" si="17"/>
        <v>DOOR STOP JAMB (R)</v>
      </c>
      <c r="D162" s="509"/>
      <c r="E162" s="175">
        <f t="shared" ref="E162:E169" si="18">VLOOKUP(C162,$C$133:$H$153,3,0)</f>
        <v>0.23499999999999999</v>
      </c>
      <c r="F162" s="353">
        <f t="shared" ref="F162:F169" si="19">VLOOKUP(C162,$C$133:$I$153,7,0)</f>
        <v>2604</v>
      </c>
      <c r="G162" s="175">
        <f t="shared" ref="G162:G169" si="20">VLOOKUP(C162,$C$133:$J$153,8,0)</f>
        <v>1</v>
      </c>
      <c r="H162" s="516"/>
      <c r="I162" s="506"/>
      <c r="J162" s="506"/>
    </row>
    <row r="163" spans="1:23" s="1" customFormat="1" ht="13.8" outlineLevel="1">
      <c r="A163" s="18">
        <f t="shared" si="16"/>
        <v>9</v>
      </c>
      <c r="B163" s="173" t="str">
        <f t="shared" ref="B163:C163" si="21">B141</f>
        <v>ขวางบน</v>
      </c>
      <c r="C163" s="173" t="str">
        <f t="shared" si="21"/>
        <v>SASH (Hor) (T)</v>
      </c>
      <c r="D163" s="508" t="str">
        <f t="shared" ref="D163:D168" si="22">VLOOKUP(C163,$C$133:$H$153,2,0)</f>
        <v>B24007</v>
      </c>
      <c r="E163" s="175">
        <f t="shared" si="18"/>
        <v>1.1060000000000001</v>
      </c>
      <c r="F163" s="353">
        <f t="shared" si="19"/>
        <v>423</v>
      </c>
      <c r="G163" s="175">
        <f t="shared" si="20"/>
        <v>5</v>
      </c>
      <c r="H163" s="512">
        <f>ROUNDUP(((F163*G163)+(F164*G164)+(F165*G165)+(F166*G166)+(F167*G167))/6400,0)</f>
        <v>5</v>
      </c>
      <c r="I163" s="506"/>
      <c r="J163" s="506"/>
    </row>
    <row r="164" spans="1:23" s="1" customFormat="1" ht="13.8" outlineLevel="1">
      <c r="A164" s="18">
        <f t="shared" si="16"/>
        <v>10</v>
      </c>
      <c r="B164" s="173" t="str">
        <f t="shared" ref="B164:C164" si="23">B142</f>
        <v>ขวางล่าง</v>
      </c>
      <c r="C164" s="173" t="str">
        <f t="shared" si="23"/>
        <v>SASH (Hor) (B)</v>
      </c>
      <c r="D164" s="510"/>
      <c r="E164" s="175">
        <f t="shared" si="18"/>
        <v>1.1060000000000001</v>
      </c>
      <c r="F164" s="353">
        <f t="shared" si="19"/>
        <v>423</v>
      </c>
      <c r="G164" s="175">
        <f t="shared" si="20"/>
        <v>5</v>
      </c>
      <c r="H164" s="514"/>
      <c r="I164" s="506"/>
      <c r="J164" s="506"/>
    </row>
    <row r="165" spans="1:23" s="1" customFormat="1" ht="13.8" outlineLevel="1">
      <c r="A165" s="18">
        <f t="shared" si="16"/>
        <v>11</v>
      </c>
      <c r="B165" s="173" t="str">
        <f t="shared" ref="B165:C165" si="24">B143</f>
        <v>เสา</v>
      </c>
      <c r="C165" s="173" t="str">
        <f t="shared" si="24"/>
        <v xml:space="preserve">SASH (Ver) </v>
      </c>
      <c r="D165" s="510"/>
      <c r="E165" s="175">
        <f t="shared" si="18"/>
        <v>1.1060000000000001</v>
      </c>
      <c r="F165" s="353">
        <f t="shared" si="19"/>
        <v>2608</v>
      </c>
      <c r="G165" s="175">
        <f t="shared" si="20"/>
        <v>7</v>
      </c>
      <c r="H165" s="514"/>
      <c r="I165" s="506"/>
      <c r="J165" s="506"/>
    </row>
    <row r="166" spans="1:23" s="1" customFormat="1" ht="13.8" outlineLevel="1">
      <c r="A166" s="18">
        <f t="shared" si="16"/>
        <v>12</v>
      </c>
      <c r="B166" s="173" t="str">
        <f t="shared" ref="B166:C166" si="25">B144</f>
        <v>เสากุญแจ</v>
      </c>
      <c r="C166" s="173" t="str">
        <f t="shared" si="25"/>
        <v xml:space="preserve">SASH (Ver) LOCK </v>
      </c>
      <c r="D166" s="510"/>
      <c r="E166" s="175">
        <f t="shared" si="18"/>
        <v>1.1060000000000001</v>
      </c>
      <c r="F166" s="353">
        <f t="shared" si="19"/>
        <v>2608</v>
      </c>
      <c r="G166" s="175">
        <f t="shared" si="20"/>
        <v>2</v>
      </c>
      <c r="H166" s="514"/>
      <c r="I166" s="506"/>
      <c r="J166" s="506"/>
    </row>
    <row r="167" spans="1:23" s="1" customFormat="1" ht="15" customHeight="1" outlineLevel="1">
      <c r="A167" s="18">
        <f t="shared" si="16"/>
        <v>13</v>
      </c>
      <c r="B167" s="173" t="str">
        <f t="shared" ref="B167:C167" si="26">B145</f>
        <v>เสากุญแจมือจับ</v>
      </c>
      <c r="C167" s="173" t="str">
        <f t="shared" si="26"/>
        <v>SASH (Ver) LOCK HANDLE</v>
      </c>
      <c r="D167" s="509"/>
      <c r="E167" s="175">
        <f t="shared" si="18"/>
        <v>1.1060000000000001</v>
      </c>
      <c r="F167" s="353">
        <f t="shared" si="19"/>
        <v>2608</v>
      </c>
      <c r="G167" s="175">
        <f t="shared" si="20"/>
        <v>1</v>
      </c>
      <c r="H167" s="514"/>
      <c r="I167" s="506"/>
      <c r="J167" s="506"/>
    </row>
    <row r="168" spans="1:23" s="1" customFormat="1" ht="13.8" outlineLevel="1">
      <c r="A168" s="18">
        <f t="shared" si="16"/>
        <v>14</v>
      </c>
      <c r="B168" s="173" t="str">
        <f t="shared" ref="B168:C168" si="27">B146</f>
        <v>5-6mm คิ้วตบกระจกแนวนอน</v>
      </c>
      <c r="C168" s="173" t="str">
        <f t="shared" si="27"/>
        <v>5-6mm GLAZING BEAD HORIZONTAL</v>
      </c>
      <c r="D168" s="508" t="str">
        <f t="shared" si="22"/>
        <v>B24008</v>
      </c>
      <c r="E168" s="175">
        <f t="shared" si="18"/>
        <v>0.23100000000000001</v>
      </c>
      <c r="F168" s="353">
        <f t="shared" si="19"/>
        <v>423</v>
      </c>
      <c r="G168" s="175">
        <f t="shared" si="20"/>
        <v>10</v>
      </c>
      <c r="H168" s="516">
        <f>ROUNDUP(((F168*G168)+(F169*G169))/6400,0)</f>
        <v>5</v>
      </c>
      <c r="I168" s="501"/>
      <c r="J168" s="501"/>
    </row>
    <row r="169" spans="1:23" s="1" customFormat="1" outlineLevel="1" thickBot="1">
      <c r="A169" s="18">
        <f t="shared" si="16"/>
        <v>15</v>
      </c>
      <c r="B169" s="173" t="str">
        <f t="shared" ref="B169:C169" si="28">B147</f>
        <v>5-6mm คิ้วตบกระจกแนวตั้ง</v>
      </c>
      <c r="C169" s="173" t="str">
        <f t="shared" si="28"/>
        <v>5-6mm GLAZING BEAD VERTICAL</v>
      </c>
      <c r="D169" s="511"/>
      <c r="E169" s="175">
        <f t="shared" si="18"/>
        <v>0.23100000000000001</v>
      </c>
      <c r="F169" s="353">
        <f t="shared" si="19"/>
        <v>2458</v>
      </c>
      <c r="G169" s="175">
        <f t="shared" si="20"/>
        <v>10</v>
      </c>
      <c r="H169" s="516"/>
      <c r="I169" s="206"/>
      <c r="J169" s="206"/>
    </row>
    <row r="170" spans="1:23" s="1" customFormat="1" ht="24.9" customHeight="1" thickBot="1">
      <c r="A170" s="529" t="s">
        <v>9</v>
      </c>
      <c r="B170" s="530"/>
      <c r="C170" s="530"/>
      <c r="D170" s="530"/>
      <c r="E170" s="530"/>
      <c r="F170" s="530"/>
      <c r="G170" s="530"/>
      <c r="H170" s="530"/>
      <c r="I170" s="530"/>
      <c r="J170" s="531"/>
    </row>
    <row r="171" spans="1:23" s="1" customFormat="1" ht="35.1" customHeight="1" thickBot="1">
      <c r="A171" s="102" t="s">
        <v>2</v>
      </c>
      <c r="B171" s="103" t="s">
        <v>29</v>
      </c>
      <c r="C171" s="103" t="s">
        <v>3</v>
      </c>
      <c r="D171" s="103" t="s">
        <v>199</v>
      </c>
      <c r="E171" s="103" t="s">
        <v>5</v>
      </c>
      <c r="F171" s="104" t="s">
        <v>28</v>
      </c>
      <c r="G171" s="103" t="s">
        <v>19</v>
      </c>
      <c r="H171" s="104" t="s">
        <v>200</v>
      </c>
      <c r="I171" s="104" t="s">
        <v>20</v>
      </c>
      <c r="J171" s="115" t="s">
        <v>201</v>
      </c>
      <c r="N171" s="101" t="s">
        <v>191</v>
      </c>
      <c r="O171" s="246" t="s">
        <v>29</v>
      </c>
      <c r="P171" s="246" t="s">
        <v>3</v>
      </c>
      <c r="Q171" s="246" t="s">
        <v>199</v>
      </c>
      <c r="R171" s="246" t="s">
        <v>5</v>
      </c>
      <c r="S171" s="246" t="s">
        <v>28</v>
      </c>
      <c r="T171" s="246" t="s">
        <v>19</v>
      </c>
      <c r="U171" s="246" t="s">
        <v>200</v>
      </c>
      <c r="V171" s="246" t="s">
        <v>20</v>
      </c>
      <c r="W171" s="246" t="s">
        <v>201</v>
      </c>
    </row>
    <row r="172" spans="1:23" s="1" customFormat="1" ht="18" customHeight="1">
      <c r="A172" s="200">
        <f>IF(B172="","",1)</f>
        <v>1</v>
      </c>
      <c r="B172" s="140" t="s">
        <v>111</v>
      </c>
      <c r="C172" s="140" t="s">
        <v>67</v>
      </c>
      <c r="D172" s="139" t="s">
        <v>74</v>
      </c>
      <c r="E172" s="143"/>
      <c r="F172" s="143" t="s">
        <v>74</v>
      </c>
      <c r="G172" s="143" t="s">
        <v>202</v>
      </c>
      <c r="H172" s="143">
        <v>10</v>
      </c>
      <c r="I172" s="184"/>
      <c r="J172" s="131">
        <f>$J$120*H172</f>
        <v>10</v>
      </c>
      <c r="N172" s="101" t="s">
        <v>226</v>
      </c>
      <c r="O172" s="280" t="s">
        <v>252</v>
      </c>
      <c r="P172" s="290" t="s">
        <v>248</v>
      </c>
      <c r="Q172" s="280" t="s">
        <v>69</v>
      </c>
      <c r="R172" s="213"/>
      <c r="S172" s="213" t="s">
        <v>69</v>
      </c>
      <c r="T172" s="213" t="s">
        <v>198</v>
      </c>
      <c r="U172" s="291">
        <f>((($I$141*$G$141)+($I$142*$G$142)+($I$143*$G$143)+($I$144*$G$144)+($I$145*$G$145))/1000)*$J$120</f>
        <v>30.31</v>
      </c>
      <c r="V172" s="291">
        <v>100</v>
      </c>
      <c r="W172" s="292">
        <f>ROUNDUP((U172)/100,0)</f>
        <v>1</v>
      </c>
    </row>
    <row r="173" spans="1:23" s="1" customFormat="1" ht="18" customHeight="1">
      <c r="A173" s="201">
        <f>IF(B173="","",+A172+1)</f>
        <v>2</v>
      </c>
      <c r="B173" s="140" t="s">
        <v>106</v>
      </c>
      <c r="C173" s="140" t="s">
        <v>503</v>
      </c>
      <c r="D173" s="139" t="s">
        <v>75</v>
      </c>
      <c r="E173" s="143"/>
      <c r="F173" s="143" t="s">
        <v>75</v>
      </c>
      <c r="G173" s="143" t="s">
        <v>202</v>
      </c>
      <c r="H173" s="143">
        <v>2</v>
      </c>
      <c r="I173" s="184"/>
      <c r="J173" s="131">
        <f t="shared" ref="J173:J190" si="29">$J$120*H173</f>
        <v>2</v>
      </c>
      <c r="N173" s="101" t="s">
        <v>230</v>
      </c>
      <c r="O173" s="280" t="s">
        <v>253</v>
      </c>
      <c r="P173" s="290" t="s">
        <v>249</v>
      </c>
      <c r="Q173" s="280" t="s">
        <v>188</v>
      </c>
      <c r="R173" s="213"/>
      <c r="S173" s="213" t="s">
        <v>188</v>
      </c>
      <c r="T173" s="213" t="s">
        <v>198</v>
      </c>
      <c r="U173" s="291">
        <f>((($I$141*$G$141)+($I$142*$G$142)+($I$143*$G$143)+($I$144*$G$144)+($I$145*$G$145))/1000)*$J$120</f>
        <v>30.31</v>
      </c>
      <c r="V173" s="291">
        <v>100</v>
      </c>
      <c r="W173" s="292">
        <f t="shared" ref="W173:W175" si="30">ROUNDUP((U173)/100,0)</f>
        <v>1</v>
      </c>
    </row>
    <row r="174" spans="1:23" s="1" customFormat="1" ht="18" customHeight="1">
      <c r="A174" s="201">
        <f t="shared" ref="A174:A203" si="31">IF(B174="","",+A173+1)</f>
        <v>3</v>
      </c>
      <c r="B174" s="140" t="s">
        <v>107</v>
      </c>
      <c r="C174" s="140" t="s">
        <v>504</v>
      </c>
      <c r="D174" s="139" t="s">
        <v>76</v>
      </c>
      <c r="E174" s="143"/>
      <c r="F174" s="143" t="s">
        <v>76</v>
      </c>
      <c r="G174" s="143" t="s">
        <v>202</v>
      </c>
      <c r="H174" s="143">
        <v>2</v>
      </c>
      <c r="I174" s="130"/>
      <c r="J174" s="131">
        <f t="shared" si="29"/>
        <v>2</v>
      </c>
      <c r="N174" s="101" t="s">
        <v>229</v>
      </c>
      <c r="O174" s="290" t="s">
        <v>254</v>
      </c>
      <c r="P174" s="290" t="s">
        <v>250</v>
      </c>
      <c r="Q174" s="280" t="s">
        <v>70</v>
      </c>
      <c r="R174" s="213"/>
      <c r="S174" s="213" t="s">
        <v>70</v>
      </c>
      <c r="T174" s="213" t="s">
        <v>198</v>
      </c>
      <c r="U174" s="291">
        <f>((($I$141*$G$141)+($I$142*$G$142)+($I$143*$G$143)+($I$144*$G$144)+($I$145*$G$145))/1000)*$J$120</f>
        <v>30.31</v>
      </c>
      <c r="V174" s="291">
        <v>100</v>
      </c>
      <c r="W174" s="292">
        <f t="shared" si="30"/>
        <v>1</v>
      </c>
    </row>
    <row r="175" spans="1:23" s="1" customFormat="1" ht="18" customHeight="1">
      <c r="A175" s="201">
        <f t="shared" si="31"/>
        <v>4</v>
      </c>
      <c r="B175" s="140" t="s">
        <v>108</v>
      </c>
      <c r="C175" s="140" t="s">
        <v>10</v>
      </c>
      <c r="D175" s="139">
        <v>9</v>
      </c>
      <c r="E175" s="143"/>
      <c r="F175" s="143">
        <v>9</v>
      </c>
      <c r="G175" s="143" t="s">
        <v>202</v>
      </c>
      <c r="H175" s="143">
        <v>8</v>
      </c>
      <c r="I175" s="130"/>
      <c r="J175" s="131">
        <f t="shared" si="29"/>
        <v>8</v>
      </c>
      <c r="N175" s="101" t="s">
        <v>231</v>
      </c>
      <c r="O175" s="290" t="s">
        <v>255</v>
      </c>
      <c r="P175" s="290" t="s">
        <v>251</v>
      </c>
      <c r="Q175" s="280" t="s">
        <v>189</v>
      </c>
      <c r="R175" s="213"/>
      <c r="S175" s="213" t="s">
        <v>189</v>
      </c>
      <c r="T175" s="213" t="s">
        <v>198</v>
      </c>
      <c r="U175" s="291">
        <f>((($I$141*$G$141)+($I$142*$G$142)+($I$143*$G$143)+($I$144*$G$144)+($I$145*$G$145))/1000)*$J$120</f>
        <v>30.31</v>
      </c>
      <c r="V175" s="291">
        <v>100</v>
      </c>
      <c r="W175" s="292">
        <f t="shared" si="30"/>
        <v>1</v>
      </c>
    </row>
    <row r="176" spans="1:23" s="1" customFormat="1" ht="18" customHeight="1">
      <c r="A176" s="201">
        <f t="shared" si="31"/>
        <v>5</v>
      </c>
      <c r="B176" s="140" t="s">
        <v>109</v>
      </c>
      <c r="C176" s="140" t="s">
        <v>68</v>
      </c>
      <c r="D176" s="139">
        <v>9</v>
      </c>
      <c r="E176" s="143"/>
      <c r="F176" s="143">
        <v>9</v>
      </c>
      <c r="G176" s="143" t="s">
        <v>202</v>
      </c>
      <c r="H176" s="143">
        <v>110</v>
      </c>
      <c r="I176" s="130"/>
      <c r="J176" s="131">
        <f t="shared" si="29"/>
        <v>110</v>
      </c>
      <c r="N176" s="101" t="s">
        <v>232</v>
      </c>
      <c r="O176" s="290" t="s">
        <v>256</v>
      </c>
      <c r="P176" s="290" t="s">
        <v>247</v>
      </c>
      <c r="Q176" s="280" t="s">
        <v>233</v>
      </c>
      <c r="R176" s="213"/>
      <c r="S176" s="213" t="s">
        <v>233</v>
      </c>
      <c r="T176" s="213" t="s">
        <v>198</v>
      </c>
      <c r="U176" s="291">
        <f>((($I$141*$G$141)+($I$142*$G$142)+($I$143*$G$143)+($I$144*$G$144)+($I$145*$G$145))/1000)*$J$120</f>
        <v>30.31</v>
      </c>
      <c r="V176" s="291">
        <v>100</v>
      </c>
      <c r="W176" s="292">
        <f>ROUNDUP((U176)/100,0)</f>
        <v>1</v>
      </c>
    </row>
    <row r="177" spans="1:25" s="1" customFormat="1" ht="18" customHeight="1">
      <c r="A177" s="201">
        <f t="shared" si="31"/>
        <v>6</v>
      </c>
      <c r="B177" s="140" t="s">
        <v>120</v>
      </c>
      <c r="C177" s="140" t="s">
        <v>94</v>
      </c>
      <c r="D177" s="139" t="s">
        <v>96</v>
      </c>
      <c r="E177" s="143"/>
      <c r="F177" s="143" t="s">
        <v>96</v>
      </c>
      <c r="G177" s="143" t="s">
        <v>185</v>
      </c>
      <c r="H177" s="143">
        <v>1</v>
      </c>
      <c r="I177" s="130"/>
      <c r="J177" s="131">
        <f t="shared" si="29"/>
        <v>1</v>
      </c>
    </row>
    <row r="178" spans="1:25" s="1" customFormat="1" ht="18" customHeight="1">
      <c r="A178" s="201">
        <f t="shared" si="31"/>
        <v>7</v>
      </c>
      <c r="B178" s="140" t="s">
        <v>117</v>
      </c>
      <c r="C178" s="140" t="s">
        <v>79</v>
      </c>
      <c r="D178" s="139" t="s">
        <v>82</v>
      </c>
      <c r="E178" s="143"/>
      <c r="F178" s="143" t="s">
        <v>82</v>
      </c>
      <c r="G178" s="143" t="s">
        <v>185</v>
      </c>
      <c r="H178" s="143">
        <v>1</v>
      </c>
      <c r="I178" s="130"/>
      <c r="J178" s="131">
        <f t="shared" si="29"/>
        <v>1</v>
      </c>
    </row>
    <row r="179" spans="1:25" s="1" customFormat="1" ht="18" customHeight="1">
      <c r="A179" s="201">
        <f t="shared" si="31"/>
        <v>8</v>
      </c>
      <c r="B179" s="140" t="s">
        <v>131</v>
      </c>
      <c r="C179" s="140" t="s">
        <v>100</v>
      </c>
      <c r="D179" s="139" t="s">
        <v>102</v>
      </c>
      <c r="E179" s="143"/>
      <c r="F179" s="143" t="s">
        <v>102</v>
      </c>
      <c r="G179" s="143" t="s">
        <v>185</v>
      </c>
      <c r="H179" s="143">
        <v>2</v>
      </c>
      <c r="I179" s="130"/>
      <c r="J179" s="131">
        <f t="shared" si="29"/>
        <v>2</v>
      </c>
    </row>
    <row r="180" spans="1:25" s="1" customFormat="1" ht="18" customHeight="1">
      <c r="A180" s="201">
        <f t="shared" si="31"/>
        <v>9</v>
      </c>
      <c r="B180" s="140" t="s">
        <v>143</v>
      </c>
      <c r="C180" s="140" t="s">
        <v>121</v>
      </c>
      <c r="D180" s="139" t="s">
        <v>103</v>
      </c>
      <c r="E180" s="143"/>
      <c r="F180" s="143" t="s">
        <v>103</v>
      </c>
      <c r="G180" s="143" t="s">
        <v>185</v>
      </c>
      <c r="H180" s="143">
        <v>1</v>
      </c>
      <c r="I180" s="130"/>
      <c r="J180" s="131">
        <f t="shared" si="29"/>
        <v>1</v>
      </c>
    </row>
    <row r="181" spans="1:25" s="1" customFormat="1" ht="18" customHeight="1">
      <c r="A181" s="201">
        <f t="shared" si="31"/>
        <v>10</v>
      </c>
      <c r="B181" s="140" t="s">
        <v>113</v>
      </c>
      <c r="C181" s="140" t="s">
        <v>502</v>
      </c>
      <c r="D181" s="139" t="s">
        <v>83</v>
      </c>
      <c r="E181" s="143"/>
      <c r="F181" s="143" t="s">
        <v>83</v>
      </c>
      <c r="G181" s="143" t="s">
        <v>185</v>
      </c>
      <c r="H181" s="143">
        <v>2</v>
      </c>
      <c r="I181" s="130"/>
      <c r="J181" s="131">
        <f t="shared" si="29"/>
        <v>2</v>
      </c>
      <c r="N181" s="56"/>
      <c r="O181" s="56"/>
      <c r="P181" s="56"/>
      <c r="Q181" s="289"/>
      <c r="R181" s="289"/>
      <c r="S181" s="289"/>
      <c r="T181" s="17"/>
      <c r="U181" s="17"/>
      <c r="V181" s="17"/>
      <c r="W181" s="56"/>
    </row>
    <row r="182" spans="1:25" s="1" customFormat="1" ht="18" customHeight="1">
      <c r="A182" s="201">
        <f t="shared" si="31"/>
        <v>11</v>
      </c>
      <c r="B182" s="140" t="s">
        <v>122</v>
      </c>
      <c r="C182" s="140" t="s">
        <v>101</v>
      </c>
      <c r="D182" s="139" t="s">
        <v>104</v>
      </c>
      <c r="E182" s="143"/>
      <c r="F182" s="143" t="s">
        <v>104</v>
      </c>
      <c r="G182" s="143" t="s">
        <v>185</v>
      </c>
      <c r="H182" s="143">
        <v>1</v>
      </c>
      <c r="I182" s="144"/>
      <c r="J182" s="131">
        <f t="shared" si="29"/>
        <v>1</v>
      </c>
      <c r="N182" s="101" t="s">
        <v>227</v>
      </c>
      <c r="O182" s="246" t="s">
        <v>29</v>
      </c>
      <c r="P182" s="246" t="s">
        <v>3</v>
      </c>
      <c r="Q182" s="246" t="s">
        <v>199</v>
      </c>
      <c r="R182" s="246" t="s">
        <v>5</v>
      </c>
      <c r="S182" s="246" t="s">
        <v>28</v>
      </c>
      <c r="T182" s="246" t="s">
        <v>19</v>
      </c>
      <c r="U182" s="246" t="s">
        <v>200</v>
      </c>
      <c r="V182" s="246" t="s">
        <v>20</v>
      </c>
      <c r="W182" s="246" t="s">
        <v>201</v>
      </c>
    </row>
    <row r="183" spans="1:25" s="1" customFormat="1" ht="18" customHeight="1">
      <c r="A183" s="201">
        <f t="shared" si="31"/>
        <v>12</v>
      </c>
      <c r="B183" s="140" t="s">
        <v>112</v>
      </c>
      <c r="C183" s="140" t="s">
        <v>114</v>
      </c>
      <c r="D183" s="128" t="s">
        <v>520</v>
      </c>
      <c r="E183" s="129"/>
      <c r="F183" s="129" t="s">
        <v>520</v>
      </c>
      <c r="G183" s="143" t="s">
        <v>202</v>
      </c>
      <c r="H183" s="143">
        <v>4</v>
      </c>
      <c r="I183" s="144"/>
      <c r="J183" s="131">
        <f t="shared" si="29"/>
        <v>4</v>
      </c>
      <c r="N183" s="101" t="s">
        <v>240</v>
      </c>
      <c r="O183" s="290" t="s">
        <v>234</v>
      </c>
      <c r="P183" s="290" t="s">
        <v>236</v>
      </c>
      <c r="Q183" s="280" t="s">
        <v>190</v>
      </c>
      <c r="R183" s="213"/>
      <c r="S183" s="213" t="s">
        <v>190</v>
      </c>
      <c r="T183" s="213" t="s">
        <v>198</v>
      </c>
      <c r="U183" s="291">
        <f>((($I$134*$G$134)+($I$136*$G$136)+($I$139*$G$139))/1000)*$J$120</f>
        <v>7.9580000000000002</v>
      </c>
      <c r="V183" s="291">
        <v>300</v>
      </c>
      <c r="W183" s="292">
        <f>ROUNDUP((U183)/V183,0)</f>
        <v>1</v>
      </c>
    </row>
    <row r="184" spans="1:25" s="1" customFormat="1" ht="18" customHeight="1">
      <c r="A184" s="201">
        <f t="shared" si="31"/>
        <v>13</v>
      </c>
      <c r="B184" s="140" t="s">
        <v>115</v>
      </c>
      <c r="C184" s="140" t="s">
        <v>45</v>
      </c>
      <c r="D184" s="139" t="s">
        <v>84</v>
      </c>
      <c r="E184" s="143"/>
      <c r="F184" s="143" t="s">
        <v>84</v>
      </c>
      <c r="G184" s="143" t="s">
        <v>202</v>
      </c>
      <c r="H184" s="143">
        <v>1</v>
      </c>
      <c r="I184" s="144"/>
      <c r="J184" s="131">
        <f t="shared" si="29"/>
        <v>1</v>
      </c>
      <c r="N184" s="101" t="s">
        <v>241</v>
      </c>
      <c r="O184" s="290" t="s">
        <v>235</v>
      </c>
      <c r="P184" s="290" t="s">
        <v>238</v>
      </c>
      <c r="Q184" s="280" t="s">
        <v>71</v>
      </c>
      <c r="R184" s="213"/>
      <c r="S184" s="213" t="s">
        <v>71</v>
      </c>
      <c r="T184" s="213" t="s">
        <v>198</v>
      </c>
      <c r="U184" s="291">
        <f>((($I$134*$G$134)+($I$136*$G$136)+($I$139*$G$139))/1000)*$J$120</f>
        <v>7.9580000000000002</v>
      </c>
      <c r="V184" s="291">
        <v>100</v>
      </c>
      <c r="W184" s="292">
        <f t="shared" ref="W184:W186" si="32">ROUNDUP((U184)/V184,0)</f>
        <v>1</v>
      </c>
    </row>
    <row r="185" spans="1:25" s="1" customFormat="1" ht="18" customHeight="1">
      <c r="A185" s="201">
        <f t="shared" si="31"/>
        <v>14</v>
      </c>
      <c r="B185" s="140" t="s">
        <v>110</v>
      </c>
      <c r="C185" s="140" t="s">
        <v>66</v>
      </c>
      <c r="D185" s="139" t="s">
        <v>73</v>
      </c>
      <c r="E185" s="143"/>
      <c r="F185" s="143" t="s">
        <v>73</v>
      </c>
      <c r="G185" s="143" t="s">
        <v>202</v>
      </c>
      <c r="H185" s="143">
        <v>2</v>
      </c>
      <c r="I185" s="144"/>
      <c r="J185" s="131">
        <f>$J$120*H185</f>
        <v>2</v>
      </c>
      <c r="N185" s="101" t="s">
        <v>240</v>
      </c>
      <c r="O185" s="290" t="s">
        <v>245</v>
      </c>
      <c r="P185" s="290" t="s">
        <v>237</v>
      </c>
      <c r="Q185" s="280" t="s">
        <v>72</v>
      </c>
      <c r="R185" s="213"/>
      <c r="S185" s="213" t="s">
        <v>72</v>
      </c>
      <c r="T185" s="213" t="s">
        <v>198</v>
      </c>
      <c r="U185" s="291">
        <f>((($I$141*$G$141*2)+($I$143*$G$143*2)+($I$144*$G$144))/1000)*$J$120</f>
        <v>45.957999999999998</v>
      </c>
      <c r="V185" s="291">
        <v>350</v>
      </c>
      <c r="W185" s="292">
        <f t="shared" si="32"/>
        <v>1</v>
      </c>
    </row>
    <row r="186" spans="1:25" s="1" customFormat="1" ht="18" customHeight="1">
      <c r="A186" s="201">
        <f t="shared" si="31"/>
        <v>15</v>
      </c>
      <c r="B186" s="139" t="str">
        <f>IF($D$129="Standard",$O$183,IF($D$129="Soumdproof",$O$184,))</f>
        <v>ยางเฟรมกันน้ำ (ธรรมดา)</v>
      </c>
      <c r="C186" s="139" t="str">
        <f>IF($D$129="Standard",$P$183,IF($D$129="Soumdproof",$P$184,))</f>
        <v>FRAME SEAL (Standard)</v>
      </c>
      <c r="D186" s="139" t="str">
        <f>IF($D$129="Standard",$Q$183,IF($D$129="Soumdproof",$Q$184,))</f>
        <v>02-026</v>
      </c>
      <c r="E186" s="143">
        <f t="shared" ref="E186" si="33">IF($D$129="Standard",R184,IF($D$129="Soumdproof",R185,))</f>
        <v>0</v>
      </c>
      <c r="F186" s="143" t="str">
        <f>IF($D$129="Standard",$S$183,IF($D$129="Soumdproof",$S$184,))</f>
        <v>02-026</v>
      </c>
      <c r="G186" s="143" t="str">
        <f>IF($D$129="Standard",$T$183,IF($D$129="Soumdproof",$T$184,))</f>
        <v>M</v>
      </c>
      <c r="H186" s="261">
        <f>IF($D$129="Standard",$U$183,IF($D$129="Soumdproof",$U$184,))</f>
        <v>7.9580000000000002</v>
      </c>
      <c r="I186" s="258">
        <f>IF($D$129="Standard",$V$183,IF($D$129="Soumdproof",$V$184,))</f>
        <v>300</v>
      </c>
      <c r="J186" s="267">
        <f>ROUNDUP((H186)/100,0)</f>
        <v>1</v>
      </c>
      <c r="N186" s="101" t="s">
        <v>241</v>
      </c>
      <c r="O186" s="290" t="s">
        <v>246</v>
      </c>
      <c r="P186" s="290" t="s">
        <v>239</v>
      </c>
      <c r="Q186" s="280" t="s">
        <v>193</v>
      </c>
      <c r="R186" s="213"/>
      <c r="S186" s="213" t="s">
        <v>193</v>
      </c>
      <c r="T186" s="213" t="s">
        <v>198</v>
      </c>
      <c r="U186" s="291">
        <f>((($I$141*$G$141*2)+($I$143*$G$143*2)+($I$144*$G$144))/1000)*$J$120</f>
        <v>45.957999999999998</v>
      </c>
      <c r="V186" s="291">
        <v>100</v>
      </c>
      <c r="W186" s="292">
        <f t="shared" si="32"/>
        <v>1</v>
      </c>
    </row>
    <row r="187" spans="1:25" s="1" customFormat="1" ht="18" customHeight="1">
      <c r="A187" s="201">
        <f t="shared" si="31"/>
        <v>16</v>
      </c>
      <c r="B187" s="139" t="str">
        <f>IF($D$129="Standard",$O$185,IF($D$129="Soumdproof",$O$186,))</f>
        <v>ยางแซชกันน้ำ (ธรรมดา)</v>
      </c>
      <c r="C187" s="139" t="str">
        <f>IF($D$129="Standard",$P$185,IF($D$129="Soumdproof",$P$186,))</f>
        <v>SASH SEAL FOAM (Standard)</v>
      </c>
      <c r="D187" s="139" t="str">
        <f>IF($D$129="Standard",$Q$185,IF($D$129="Soumdproof",$Q$186,))</f>
        <v>02-031</v>
      </c>
      <c r="E187" s="143">
        <f t="shared" ref="E187" si="34">IF($D$129="Standard",R186,IF($D$129="Soumdproof",R187,))</f>
        <v>0</v>
      </c>
      <c r="F187" s="143" t="str">
        <f>IF($D$129="Standard",$S$185,IF($D$129="Soumdproof",$S$186,))</f>
        <v>02-031</v>
      </c>
      <c r="G187" s="143" t="str">
        <f>IF($D$129="Standard",$T$185,IF($D$129="Soumdproof",$T$186,))</f>
        <v>M</v>
      </c>
      <c r="H187" s="261">
        <f>IF($D$129="Standard",$U$185,IF($D$129="Soumdproof",$U$186,))</f>
        <v>45.957999999999998</v>
      </c>
      <c r="I187" s="258">
        <f>IF($D$129="Standard",$V$185,IF($D$129="Soumdproof",$V$186,))</f>
        <v>350</v>
      </c>
      <c r="J187" s="267">
        <f>ROUNDUP((H187)/100,0)</f>
        <v>1</v>
      </c>
    </row>
    <row r="188" spans="1:25" s="1" customFormat="1" ht="18" customHeight="1">
      <c r="A188" s="201">
        <f t="shared" si="31"/>
        <v>17</v>
      </c>
      <c r="B188" s="241" t="str">
        <f>IF($D$127=5,$O$174,IF($D$127=6,$O$175,IF($D$127=8,$O$176,IF($D$127=10,$O$174,IF($D$127=12,$O$174,IF($D$127=14,$O$176,IF($D$127=18,$O$174,IF($D$127=20,$O$175,IF($D$127=22,"")))))))))</f>
        <v>6,20 mm ยางอัดกระจก</v>
      </c>
      <c r="C188" s="241" t="str">
        <f>IF($D$127=5,$P$174,IF($D$127=6,$P$175,IF($D$127=8,$P$176,IF($D$127=10,$P$174,IF($D$127=12,$P$174,IF($D$127=14,$P$176,IF($D$127=18,$P$174,IF($D$127=20,$P$175,IF($D$127=22,"")))))))))</f>
        <v>6,20 mm ROLL IN WEDGE</v>
      </c>
      <c r="D188" s="241" t="str">
        <f>IF($D$127=5,$Q$174,IF($D$127=6,$Q$175,IF($D$127=8,$Q$176,IF($D$127=10,$Q$174,IF($D$127=12,$Q$174,IF($D$127=14,$Q$176,IF($D$127=18,$Q$174,IF($D$127=20,$Q$175,IF($D$127=22,"")))))))))</f>
        <v>02-034</v>
      </c>
      <c r="E188" s="241">
        <f t="shared" ref="E188" si="35">IF($D$127=5,R175,IF($D$127=6,R176,IF($D$127=8,R177,IF($D$127=10,R175,IF($D$127=12,R175,IF($D$127=14,R177,IF($D$127=18,R175,IF($D$127=20,R176,IF($D$127=22,"",)))))))))</f>
        <v>0</v>
      </c>
      <c r="F188" s="242" t="str">
        <f>IF($D$127=5,$S$174,IF($D$127=6,$S$175,IF($D$127=8,$S$176,IF($D$127=10,$S$174,IF($D$127=12,$S$174,IF($D$127=14,$S$176,IF($D$127=18,$S$174,IF($D$127=20,$S$175,IF($D$127=22,"")))))))))</f>
        <v>02-034</v>
      </c>
      <c r="G188" s="242" t="str">
        <f>IF($D$127=5,$T$174,IF($D$127=6,$T$175,IF($D$127=8,$T$176,IF($D$127=10,$T$174,IF($D$127=12,$T$174,IF($D$127=14,$T$176,IF($D$127=18,$T$174,IF($D$127=20,$T$175,IF($D$127=22,"")))))))))</f>
        <v>M</v>
      </c>
      <c r="H188" s="261">
        <f>IF($D$127=5,$U$174,IF($D$127=6,$U$175,IF($D$127=8,$U$176,IF($D$127=10,$U$174*2,IF($D$127=12,$U$174,IF($D$127=14,$U$176*2,IF($D$127=18,$U$174,IF($D$127=20,$U$175,IF($D$127=22,"")))))))))</f>
        <v>30.31</v>
      </c>
      <c r="I188" s="258">
        <f>IF($D$127=5,$V$174,IF($D$127=6,$V$175,IF($D$127=8,$V$176,IF($D$127=10,$V$174,IF($D$127=12,$V$174,IF($D$127=14,$V$176,IF($D$127=18,$V$174,IF($D$127=20,$V$175,IF($D$127=22,"")))))))))</f>
        <v>100</v>
      </c>
      <c r="J188" s="267">
        <f t="shared" ref="J188:J189" si="36">ROUNDUP((H188)/100,0)</f>
        <v>1</v>
      </c>
    </row>
    <row r="189" spans="1:25" s="1" customFormat="1" ht="18" customHeight="1">
      <c r="A189" s="201">
        <f t="shared" si="31"/>
        <v>18</v>
      </c>
      <c r="B189" s="241" t="str">
        <f>IF($D$127=5,$O$172,IF($D$127=6,$O$172,IF($D$127=8,$O$174,IF($D$127=10,"",IF($D$127=12,$O$173,IF($D$127=14,"",IF($D$127=18,$O$172,IF($D$127=20,$O$173,IF($D$127=22,"",)))))))))</f>
        <v>5,6,18 mm ยางรองกระจก</v>
      </c>
      <c r="C189" s="241" t="str">
        <f>IF($D$127=5,$P$172,IF($D$127=6,$P$172,IF($D$127=8,$P$174,IF($D$127=10,"",IF($D$127=12,$P$173,IF($D$127=14,"",IF($D$127=18,$P$172,IF($D$127=20,$P$173,IF($D$127=22,"",)))))))))</f>
        <v>5,6,18 mm CAPTIVE WEDGE</v>
      </c>
      <c r="D189" s="241" t="str">
        <f>IF($D$127=5,$Q$172,IF($D$127=6,$Q$172,IF($D$127=8,$Q$174,IF($D$127=10,"",IF($D$127=12,$Q$173,IF($D$127=14,"",IF($D$127=18,$Q$172,IF($D$127=20,$Q$173,IF($D$127=22,"",)))))))))</f>
        <v>02-022</v>
      </c>
      <c r="E189" s="241">
        <f t="shared" ref="E189" si="37">IF($D$127=5,R173,IF($D$127=6,R173,IF($D$127=8,R175,IF($D$127=10,"",IF($D$127=12,R174,IF($D$127=14,"",IF($D$127=18,R173,IF($D$127=20,R174,IF($D$127=22,"",)))))))))</f>
        <v>0</v>
      </c>
      <c r="F189" s="242" t="str">
        <f>IF($D$127=5,$S$172,IF($D$127=6,$S$172,IF($D$127=8,$S$174,IF($D$127=10,"",IF($D$127=12,$S$173,IF($D$127=14,"",IF($D$127=18,$S$172,IF($D$127=20,$S$173,IF($D$127=22,"",)))))))))</f>
        <v>02-022</v>
      </c>
      <c r="G189" s="242" t="str">
        <f>IF($D$127=5,$T$172,IF($D$127=6,$T$172,IF($D$127=8,$T$174,IF($D$127=10,"",IF($D$127=12,$T$173,IF($D$127=14,"",IF($D$127=18,$T$172,IF($D$127=20,$T$173,IF($D$127=22,"",)))))))))</f>
        <v>M</v>
      </c>
      <c r="H189" s="261">
        <f>IF($D$127=5,$U$172,IF($D$127=6,$U$172,IF($D$127=8,$U$174,IF($D$127=10,"",IF($D$127=12,$U$173,IF($D$127=14,"",IF($D$127=18,$U$172,IF($D$127=20,$U$173,IF($D$127=22,"")))))))))</f>
        <v>30.31</v>
      </c>
      <c r="I189" s="258">
        <f>IF($D$127=5,$V$172,IF($D$127=6,$V$172,IF($D$127=8,$V$174,IF($D$127=10,"",IF($D$127=12,$V$173,IF($D$127=14,"",IF($D$127=18,$V$172,IF($D$127=20,$V$173,IF($D$127=22,"",)))))))))</f>
        <v>100</v>
      </c>
      <c r="J189" s="267">
        <f t="shared" si="36"/>
        <v>1</v>
      </c>
    </row>
    <row r="190" spans="1:25" s="1" customFormat="1" ht="18" customHeight="1">
      <c r="A190" s="201" t="str">
        <f t="shared" si="31"/>
        <v/>
      </c>
      <c r="B190" s="140"/>
      <c r="C190" s="140"/>
      <c r="D190" s="139"/>
      <c r="E190" s="143"/>
      <c r="F190" s="143"/>
      <c r="G190" s="143"/>
      <c r="H190" s="143"/>
      <c r="I190" s="130"/>
      <c r="J190" s="131">
        <f t="shared" si="29"/>
        <v>0</v>
      </c>
    </row>
    <row r="191" spans="1:25" s="1" customFormat="1" ht="18" customHeight="1">
      <c r="A191" s="201" t="str">
        <f t="shared" si="31"/>
        <v/>
      </c>
      <c r="B191" s="140"/>
      <c r="C191" s="140"/>
      <c r="D191" s="139"/>
      <c r="E191" s="143"/>
      <c r="F191" s="143"/>
      <c r="G191" s="143"/>
      <c r="H191" s="143"/>
      <c r="I191" s="130"/>
      <c r="J191" s="131">
        <f t="shared" ref="J191:J204" si="38">$J$120*H191</f>
        <v>0</v>
      </c>
    </row>
    <row r="192" spans="1:25" ht="18" customHeight="1">
      <c r="A192" s="201" t="str">
        <f t="shared" si="31"/>
        <v/>
      </c>
      <c r="B192" s="140"/>
      <c r="C192" s="140"/>
      <c r="D192" s="139"/>
      <c r="E192" s="143"/>
      <c r="F192" s="143"/>
      <c r="G192" s="143"/>
      <c r="H192" s="143"/>
      <c r="I192" s="130"/>
      <c r="J192" s="131">
        <f t="shared" si="38"/>
        <v>0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14" s="1" customFormat="1" ht="18" customHeight="1">
      <c r="A193" s="201" t="str">
        <f t="shared" si="31"/>
        <v/>
      </c>
      <c r="B193" s="140"/>
      <c r="C193" s="140"/>
      <c r="D193" s="139"/>
      <c r="E193" s="143"/>
      <c r="F193" s="143"/>
      <c r="G193" s="143"/>
      <c r="H193" s="143"/>
      <c r="I193" s="130"/>
      <c r="J193" s="131">
        <f t="shared" si="38"/>
        <v>0</v>
      </c>
    </row>
    <row r="194" spans="1:14" s="1" customFormat="1" ht="18" customHeight="1">
      <c r="A194" s="201" t="str">
        <f t="shared" si="31"/>
        <v/>
      </c>
      <c r="B194" s="140"/>
      <c r="C194" s="140"/>
      <c r="D194" s="139"/>
      <c r="E194" s="143"/>
      <c r="F194" s="143"/>
      <c r="G194" s="143"/>
      <c r="H194" s="143"/>
      <c r="I194" s="130"/>
      <c r="J194" s="131">
        <f t="shared" si="38"/>
        <v>0</v>
      </c>
    </row>
    <row r="195" spans="1:14" s="1" customFormat="1" ht="18" customHeight="1">
      <c r="A195" s="201" t="str">
        <f t="shared" si="31"/>
        <v/>
      </c>
      <c r="B195" s="140"/>
      <c r="C195" s="140"/>
      <c r="D195" s="139"/>
      <c r="E195" s="143"/>
      <c r="F195" s="143"/>
      <c r="G195" s="143"/>
      <c r="H195" s="143"/>
      <c r="I195" s="130"/>
      <c r="J195" s="131">
        <f t="shared" si="38"/>
        <v>0</v>
      </c>
    </row>
    <row r="196" spans="1:14" s="1" customFormat="1" ht="18" customHeight="1">
      <c r="A196" s="201" t="str">
        <f t="shared" si="31"/>
        <v/>
      </c>
      <c r="B196" s="140"/>
      <c r="C196" s="140"/>
      <c r="D196" s="139"/>
      <c r="E196" s="143"/>
      <c r="F196" s="143"/>
      <c r="G196" s="143"/>
      <c r="H196" s="143"/>
      <c r="I196" s="130"/>
      <c r="J196" s="131">
        <f t="shared" si="38"/>
        <v>0</v>
      </c>
    </row>
    <row r="197" spans="1:14" s="1" customFormat="1" ht="18" customHeight="1">
      <c r="A197" s="201" t="str">
        <f t="shared" si="31"/>
        <v/>
      </c>
      <c r="B197" s="140"/>
      <c r="C197" s="140"/>
      <c r="D197" s="139"/>
      <c r="E197" s="143"/>
      <c r="F197" s="143"/>
      <c r="G197" s="143"/>
      <c r="H197" s="143"/>
      <c r="I197" s="130"/>
      <c r="J197" s="131"/>
    </row>
    <row r="198" spans="1:14" s="1" customFormat="1" ht="18" customHeight="1">
      <c r="A198" s="201" t="str">
        <f t="shared" si="31"/>
        <v/>
      </c>
      <c r="B198" s="140"/>
      <c r="C198" s="140"/>
      <c r="D198" s="139"/>
      <c r="E198" s="143"/>
      <c r="F198" s="143"/>
      <c r="G198" s="143"/>
      <c r="H198" s="143"/>
      <c r="I198" s="130"/>
      <c r="J198" s="131">
        <f t="shared" si="38"/>
        <v>0</v>
      </c>
    </row>
    <row r="199" spans="1:14" s="1" customFormat="1" ht="18" customHeight="1">
      <c r="A199" s="201" t="str">
        <f t="shared" si="31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 t="shared" si="38"/>
        <v>0</v>
      </c>
    </row>
    <row r="200" spans="1:14" s="1" customFormat="1" ht="18" customHeight="1">
      <c r="A200" s="201" t="str">
        <f t="shared" si="31"/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si="38"/>
        <v>0</v>
      </c>
    </row>
    <row r="201" spans="1:14" s="1" customFormat="1" ht="18" customHeight="1">
      <c r="A201" s="201" t="str">
        <f t="shared" si="31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si="38"/>
        <v>0</v>
      </c>
    </row>
    <row r="202" spans="1:14" s="1" customFormat="1" ht="18" customHeight="1">
      <c r="A202" s="201" t="str">
        <f t="shared" si="31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si="38"/>
        <v>0</v>
      </c>
    </row>
    <row r="203" spans="1:14" s="1" customFormat="1" ht="18" customHeight="1">
      <c r="A203" s="201" t="str">
        <f t="shared" si="31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si="38"/>
        <v>0</v>
      </c>
    </row>
    <row r="204" spans="1:14" s="1" customFormat="1" ht="18" customHeight="1">
      <c r="A204" s="317" t="str">
        <f>IF(B204="","",+#REF!+1)</f>
        <v/>
      </c>
      <c r="B204" s="142"/>
      <c r="C204" s="142"/>
      <c r="D204" s="141"/>
      <c r="E204" s="240"/>
      <c r="F204" s="240"/>
      <c r="G204" s="240"/>
      <c r="H204" s="240"/>
      <c r="I204" s="136"/>
      <c r="J204" s="293">
        <f t="shared" si="38"/>
        <v>0</v>
      </c>
    </row>
    <row r="205" spans="1:14" s="1" customFormat="1" ht="18" customHeight="1">
      <c r="A205" s="25"/>
      <c r="B205" s="161"/>
      <c r="C205" s="33"/>
      <c r="D205" s="30"/>
      <c r="E205" s="17"/>
      <c r="F205" s="30"/>
      <c r="G205" s="30"/>
      <c r="H205" s="161"/>
      <c r="I205" s="24"/>
      <c r="J205" s="24"/>
    </row>
    <row r="206" spans="1:14" ht="18" customHeight="1">
      <c r="A206" s="17"/>
      <c r="J206" s="99" t="str">
        <f>LEFT($J$111,11)&amp;"-02"</f>
        <v>FG-240-5P5R-02</v>
      </c>
    </row>
    <row r="207" spans="1:14" ht="12.75" customHeight="1">
      <c r="B207" s="56"/>
      <c r="C207" s="56"/>
      <c r="D207" s="30"/>
      <c r="E207" s="17"/>
      <c r="F207" s="17"/>
      <c r="G207" s="17"/>
      <c r="H207" s="17"/>
      <c r="K207" s="7"/>
      <c r="L207" s="7"/>
      <c r="M207" s="2"/>
      <c r="N207" s="2"/>
    </row>
    <row r="208" spans="1:14" ht="30" customHeight="1">
      <c r="I208" s="95"/>
      <c r="J208" s="90" t="str">
        <f>$J$2</f>
        <v>HOMELIFE</v>
      </c>
      <c r="K208" s="11"/>
      <c r="L208" s="11"/>
      <c r="M208" s="2"/>
      <c r="N208" s="2"/>
    </row>
    <row r="209" spans="1:14" ht="24.9" customHeight="1">
      <c r="B209" s="205"/>
      <c r="C209" s="5"/>
      <c r="D209" s="95"/>
      <c r="E209" s="95"/>
      <c r="F209" s="95"/>
      <c r="G209" s="95"/>
      <c r="H209" s="95"/>
      <c r="I209" s="28"/>
      <c r="J209" s="91" t="str">
        <f>$J$3</f>
        <v>Fabricators Guide</v>
      </c>
      <c r="K209" s="11"/>
      <c r="L209" s="11"/>
      <c r="M209" s="2"/>
      <c r="N209" s="2"/>
    </row>
    <row r="210" spans="1:14" ht="24.9" customHeight="1">
      <c r="B210" s="205"/>
      <c r="C210" s="28"/>
      <c r="D210" s="28"/>
      <c r="E210" s="28"/>
      <c r="F210" s="28"/>
      <c r="G210" s="28"/>
      <c r="H210" s="28"/>
      <c r="I210" s="28"/>
      <c r="J210" s="91" t="str">
        <f>$J$4</f>
        <v xml:space="preserve">240 Series Bi Fold Door </v>
      </c>
      <c r="K210" s="48"/>
      <c r="L210" s="48"/>
      <c r="M210" s="4"/>
      <c r="N210" s="4"/>
    </row>
    <row r="211" spans="1:14" s="1" customFormat="1" ht="15" customHeight="1" thickBot="1">
      <c r="A211" s="78"/>
      <c r="B211" s="8"/>
      <c r="C211" s="28"/>
      <c r="D211" s="28"/>
      <c r="E211" s="28"/>
      <c r="F211" s="28"/>
      <c r="G211" s="28"/>
      <c r="H211" s="28"/>
      <c r="I211" s="78"/>
      <c r="J211" s="113"/>
      <c r="K211" s="4"/>
      <c r="L211" s="4"/>
      <c r="M211" s="4"/>
      <c r="N211" s="4"/>
    </row>
    <row r="212" spans="1:14" s="1" customFormat="1" ht="24.9" customHeight="1" thickBot="1">
      <c r="A212" s="502" t="s">
        <v>30</v>
      </c>
      <c r="B212" s="503"/>
      <c r="C212" s="503"/>
      <c r="D212" s="503"/>
      <c r="E212" s="503"/>
      <c r="F212" s="503"/>
      <c r="G212" s="503"/>
      <c r="H212" s="503"/>
      <c r="I212" s="503"/>
      <c r="J212" s="504"/>
      <c r="K212" s="56"/>
      <c r="L212" s="56"/>
      <c r="M212" s="56"/>
      <c r="N212" s="56"/>
    </row>
    <row r="214" spans="1:14" s="1" customFormat="1" ht="15" customHeight="1">
      <c r="A214" s="93"/>
      <c r="B214"/>
      <c r="C214"/>
      <c r="D214" s="81"/>
      <c r="E214"/>
      <c r="F214"/>
      <c r="G214"/>
      <c r="H214"/>
      <c r="I214" s="160"/>
      <c r="J214" s="116"/>
    </row>
    <row r="215" spans="1:14" s="1" customFormat="1" ht="15" customHeight="1">
      <c r="A215" s="17"/>
      <c r="B215" s="93"/>
      <c r="C215" s="56"/>
      <c r="D215" s="30"/>
      <c r="E215" s="29"/>
      <c r="F215" s="160"/>
      <c r="G215" s="160"/>
      <c r="H215" s="160"/>
      <c r="J215" s="17"/>
    </row>
    <row r="216" spans="1:14" s="1" customFormat="1" ht="15" customHeight="1">
      <c r="A216" s="17"/>
      <c r="B216" s="56"/>
      <c r="C216" s="328"/>
      <c r="D216" s="30"/>
      <c r="E216" s="29"/>
      <c r="F216" s="30"/>
      <c r="J216" s="17"/>
    </row>
    <row r="217" spans="1:14" s="1" customFormat="1" ht="15.6">
      <c r="A217" s="109"/>
      <c r="B217" s="33"/>
      <c r="C217" s="327"/>
      <c r="D217" s="161"/>
      <c r="E217" s="109"/>
      <c r="F217" s="161"/>
      <c r="H217" s="328"/>
      <c r="J217" s="109"/>
    </row>
    <row r="218" spans="1:14" s="1" customFormat="1" ht="15" customHeight="1">
      <c r="A218" s="93"/>
      <c r="B218" s="93"/>
      <c r="C218" s="56"/>
      <c r="D218" s="30"/>
      <c r="E218" s="29"/>
      <c r="F218" s="160"/>
      <c r="H218" s="328"/>
      <c r="I218" s="109"/>
      <c r="J218" s="109"/>
    </row>
    <row r="219" spans="1:14" s="1" customFormat="1" ht="15" customHeight="1">
      <c r="A219" s="17"/>
      <c r="B219" s="56"/>
      <c r="C219" s="89" t="s">
        <v>378</v>
      </c>
      <c r="D219" s="30"/>
      <c r="E219" s="29"/>
      <c r="F219" s="30"/>
      <c r="I219" s="109"/>
      <c r="J219" s="109"/>
    </row>
    <row r="220" spans="1:14" s="1" customFormat="1" ht="15" customHeight="1">
      <c r="A220" s="17"/>
      <c r="B220" s="56"/>
      <c r="C220" s="328" t="s">
        <v>275</v>
      </c>
      <c r="D220" s="30"/>
      <c r="E220" s="29"/>
      <c r="F220" s="30"/>
      <c r="H220" s="89"/>
      <c r="J220" s="12"/>
    </row>
    <row r="221" spans="1:14" s="1" customFormat="1" ht="15" customHeight="1">
      <c r="A221" s="109"/>
      <c r="B221" s="33"/>
      <c r="C221" s="327" t="s">
        <v>273</v>
      </c>
      <c r="D221" s="161"/>
      <c r="E221" s="109"/>
      <c r="F221" s="161"/>
      <c r="J221" s="12"/>
    </row>
    <row r="222" spans="1:14" s="1" customFormat="1" ht="15" customHeight="1">
      <c r="A222" s="109"/>
      <c r="B222" s="33"/>
      <c r="C222" s="374">
        <f>$I$133</f>
        <v>2690</v>
      </c>
      <c r="D222" s="161"/>
      <c r="E222" s="35"/>
      <c r="F222" s="161"/>
      <c r="G222" s="68"/>
      <c r="J222" s="12"/>
    </row>
    <row r="223" spans="1:14" s="1" customFormat="1" ht="15" customHeight="1">
      <c r="A223" s="109"/>
      <c r="B223" s="33"/>
      <c r="C223" s="363">
        <f>$J$133</f>
        <v>1</v>
      </c>
      <c r="D223" s="161"/>
      <c r="E223" s="35"/>
      <c r="F223" s="161"/>
      <c r="G223" s="326"/>
      <c r="I223" s="109"/>
      <c r="J223" s="109"/>
    </row>
    <row r="224" spans="1:14" s="1" customFormat="1" ht="15" customHeight="1">
      <c r="A224" s="109"/>
      <c r="B224" s="33"/>
      <c r="D224" s="161"/>
      <c r="E224" s="109"/>
      <c r="F224" s="161"/>
      <c r="G224" s="326"/>
      <c r="I224" s="109"/>
      <c r="J224" s="109"/>
    </row>
    <row r="225" spans="1:10" s="1" customFormat="1" ht="15.9" customHeight="1">
      <c r="A225" s="92"/>
      <c r="B225" s="92"/>
      <c r="C225" s="13"/>
      <c r="D225" s="161"/>
      <c r="E225" s="109"/>
      <c r="F225" s="161"/>
      <c r="G225" s="68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H226" s="109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32"/>
      <c r="J227" s="40"/>
    </row>
    <row r="228" spans="1:10" s="1" customFormat="1" ht="15.9" customHeight="1">
      <c r="A228" s="92"/>
      <c r="B228" s="92"/>
      <c r="C228" s="327"/>
      <c r="D228" s="161"/>
      <c r="E228" s="109"/>
      <c r="F228" s="161"/>
      <c r="H228" s="109"/>
      <c r="I228" s="203"/>
      <c r="J228" s="117"/>
    </row>
    <row r="229" spans="1:10" s="1" customFormat="1" ht="15.9" customHeight="1">
      <c r="A229" s="45"/>
      <c r="B229" s="45"/>
      <c r="D229" s="161"/>
      <c r="E229" s="109"/>
      <c r="F229" s="161"/>
      <c r="I229" s="203"/>
      <c r="J229" s="117"/>
    </row>
    <row r="230" spans="1:10" s="1" customFormat="1" ht="15.9" customHeight="1">
      <c r="A230" s="109"/>
      <c r="B230" s="109"/>
      <c r="D230" s="161"/>
      <c r="E230" s="109"/>
      <c r="F230" s="161"/>
      <c r="I230" s="203"/>
      <c r="J230" s="117"/>
    </row>
    <row r="231" spans="1:10" s="1" customFormat="1" ht="15.9" customHeight="1">
      <c r="A231" s="39"/>
      <c r="B231" s="38"/>
      <c r="D231" s="161"/>
      <c r="E231" s="109"/>
      <c r="F231" s="109"/>
      <c r="I231" s="203"/>
      <c r="J231" s="117"/>
    </row>
    <row r="232" spans="1:10" s="1" customFormat="1" ht="15.9" customHeight="1">
      <c r="A232" s="44"/>
      <c r="B232" s="44"/>
      <c r="C232" s="89" t="s">
        <v>369</v>
      </c>
      <c r="D232" s="84"/>
      <c r="E232" s="44"/>
      <c r="F232" s="44"/>
      <c r="G232" s="109"/>
      <c r="H232" s="109"/>
      <c r="I232" s="203"/>
      <c r="J232" s="117"/>
    </row>
    <row r="233" spans="1:10" s="1" customFormat="1" ht="15.9" customHeight="1">
      <c r="A233" s="40"/>
      <c r="B233" s="40"/>
      <c r="C233" s="328" t="s">
        <v>652</v>
      </c>
      <c r="D233" s="85"/>
      <c r="E233" s="40"/>
      <c r="F233" s="32"/>
      <c r="G233" s="109"/>
      <c r="H233" s="109"/>
      <c r="J233" s="12"/>
    </row>
    <row r="234" spans="1:10" s="1" customFormat="1" ht="15.9" customHeight="1">
      <c r="A234" s="109"/>
      <c r="B234" s="33"/>
      <c r="C234" s="433" t="s">
        <v>654</v>
      </c>
      <c r="D234" s="161"/>
      <c r="E234" s="109"/>
      <c r="F234" s="161"/>
      <c r="G234" s="109"/>
      <c r="H234" s="109"/>
      <c r="I234" s="109"/>
      <c r="J234" s="24"/>
    </row>
    <row r="235" spans="1:10" s="1" customFormat="1" ht="15.9" customHeight="1">
      <c r="A235" s="109"/>
      <c r="B235" s="33"/>
      <c r="C235" s="374">
        <f>$I$134</f>
        <v>2664</v>
      </c>
      <c r="D235" s="161"/>
      <c r="E235" s="109"/>
      <c r="F235" s="161"/>
      <c r="G235" s="109"/>
      <c r="H235" s="109"/>
      <c r="I235" s="24"/>
      <c r="J235" s="24"/>
    </row>
    <row r="236" spans="1:10" s="1" customFormat="1" ht="15.9" customHeight="1">
      <c r="A236" s="109"/>
      <c r="B236" s="33"/>
      <c r="C236" s="363">
        <f>$J$134</f>
        <v>1</v>
      </c>
      <c r="D236" s="161"/>
      <c r="E236" s="109"/>
      <c r="F236" s="161"/>
      <c r="G236" s="109"/>
      <c r="H236" s="107"/>
      <c r="I236" s="89"/>
      <c r="J236" s="118"/>
    </row>
    <row r="237" spans="1:10" s="1" customFormat="1" ht="15.9" customHeight="1">
      <c r="A237" s="109"/>
      <c r="B237" s="33"/>
      <c r="C237" s="44"/>
      <c r="D237" s="161"/>
      <c r="E237" s="109"/>
      <c r="F237" s="161"/>
      <c r="G237" s="109"/>
      <c r="H237" s="107"/>
      <c r="I237" s="203"/>
      <c r="J237" s="117"/>
    </row>
    <row r="238" spans="1:10" s="1" customFormat="1" ht="15.9" customHeight="1">
      <c r="A238" s="109"/>
      <c r="B238" s="33"/>
      <c r="D238" s="161"/>
      <c r="E238" s="109"/>
      <c r="F238" s="161"/>
      <c r="G238" s="109"/>
      <c r="H238" s="109"/>
      <c r="I238" s="203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4"/>
      <c r="J239" s="24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36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109"/>
      <c r="I241" s="109"/>
      <c r="J241" s="24"/>
    </row>
    <row r="242" spans="1:10" s="1" customFormat="1" ht="15.9" customHeight="1">
      <c r="A242" s="109"/>
      <c r="B242" s="33"/>
      <c r="C242" s="89" t="s">
        <v>370</v>
      </c>
      <c r="D242" s="161"/>
      <c r="E242" s="109"/>
      <c r="F242" s="161"/>
      <c r="G242" s="109"/>
      <c r="H242" s="109"/>
      <c r="I242" s="24"/>
      <c r="J242" s="24"/>
    </row>
    <row r="243" spans="1:10" s="1" customFormat="1" ht="15.9" customHeight="1">
      <c r="A243" s="109"/>
      <c r="B243" s="33"/>
      <c r="C243" s="328" t="s">
        <v>275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" customHeight="1">
      <c r="A244" s="109"/>
      <c r="B244" s="33"/>
      <c r="C244" s="327" t="s">
        <v>273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.9" customHeight="1">
      <c r="A245" s="109"/>
      <c r="B245" s="33"/>
      <c r="C245" s="374">
        <f>$I$135</f>
        <v>2690</v>
      </c>
      <c r="D245" s="161"/>
      <c r="E245" s="109"/>
      <c r="F245" s="161"/>
      <c r="G245" s="109"/>
      <c r="H245" s="109"/>
      <c r="I245" s="44"/>
      <c r="J245" s="119"/>
    </row>
    <row r="246" spans="1:10" s="1" customFormat="1" ht="15.9" customHeight="1">
      <c r="A246" s="109"/>
      <c r="B246" s="33"/>
      <c r="C246" s="363">
        <f>$J$135</f>
        <v>1</v>
      </c>
      <c r="D246" s="161"/>
      <c r="E246" s="109"/>
      <c r="F246" s="161"/>
      <c r="G246" s="109"/>
      <c r="H246" s="109"/>
      <c r="I246" s="32"/>
      <c r="J246" s="40"/>
    </row>
    <row r="247" spans="1:10" s="1" customFormat="1" ht="15.9" customHeight="1">
      <c r="A247" s="109"/>
      <c r="B247" s="33"/>
      <c r="C247" s="161"/>
      <c r="D247" s="161"/>
      <c r="E247" s="109"/>
      <c r="F247" s="161"/>
      <c r="G247" s="109"/>
      <c r="H247" s="109"/>
      <c r="J247" s="12"/>
    </row>
    <row r="248" spans="1:10" s="1" customFormat="1" ht="15.9" customHeight="1">
      <c r="A248" s="109"/>
      <c r="B248" s="33"/>
      <c r="C248" s="33"/>
      <c r="D248" s="161"/>
      <c r="E248" s="109"/>
      <c r="F248" s="109"/>
      <c r="G248" s="44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0"/>
      <c r="H250" s="109"/>
      <c r="I250" s="24"/>
      <c r="J250" s="24"/>
    </row>
    <row r="251" spans="1:10" s="1" customFormat="1" ht="15.9" customHeight="1">
      <c r="A251" s="109"/>
      <c r="B251" s="33"/>
      <c r="D251" s="161"/>
      <c r="E251" s="109"/>
      <c r="F251" s="109"/>
      <c r="G251" s="109"/>
      <c r="H251" s="109"/>
      <c r="I251" s="24"/>
      <c r="J251" s="24"/>
    </row>
    <row r="252" spans="1:10" s="1" customFormat="1" ht="15.9" customHeight="1">
      <c r="A252" s="44"/>
      <c r="B252" s="44"/>
      <c r="D252" s="84"/>
      <c r="E252" s="44"/>
      <c r="F252" s="44"/>
      <c r="G252" s="109"/>
      <c r="H252" s="109"/>
      <c r="I252" s="24"/>
      <c r="J252" s="24"/>
    </row>
    <row r="253" spans="1:10" s="1" customFormat="1" ht="15.9" customHeight="1">
      <c r="A253" s="40"/>
      <c r="B253" s="40"/>
      <c r="C253" s="89" t="s">
        <v>371</v>
      </c>
      <c r="D253" s="85"/>
      <c r="E253" s="40"/>
      <c r="F253" s="32"/>
      <c r="G253" s="109"/>
      <c r="I253" s="24"/>
      <c r="J253" s="24"/>
    </row>
    <row r="254" spans="1:10" s="1" customFormat="1" ht="15.9" customHeight="1">
      <c r="A254" s="27"/>
      <c r="B254" s="33"/>
      <c r="C254" s="328" t="s">
        <v>275</v>
      </c>
      <c r="D254" s="161"/>
      <c r="E254" s="109"/>
      <c r="F254" s="109"/>
      <c r="G254" s="109"/>
      <c r="I254" s="24"/>
      <c r="J254" s="24"/>
    </row>
    <row r="255" spans="1:10" s="1" customFormat="1" ht="15.9" customHeight="1">
      <c r="A255" s="27"/>
      <c r="B255" s="33"/>
      <c r="C255" s="327" t="s">
        <v>273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74">
        <f>$I$136</f>
        <v>2690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63">
        <f>$J$136</f>
        <v>1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3"/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46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161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33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89" t="s">
        <v>373</v>
      </c>
      <c r="D263" s="161"/>
      <c r="E263" s="109"/>
      <c r="F263" s="109"/>
      <c r="G263" s="109"/>
      <c r="H263" s="109"/>
      <c r="I263" s="24"/>
      <c r="J263" s="24"/>
    </row>
    <row r="264" spans="1:10" s="1" customFormat="1" ht="15.9" customHeight="1">
      <c r="A264" s="27"/>
      <c r="B264" s="33"/>
      <c r="C264" s="328" t="s">
        <v>372</v>
      </c>
      <c r="D264" s="328"/>
      <c r="E264" s="328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7" t="s">
        <v>279</v>
      </c>
      <c r="D265" s="327"/>
      <c r="E265" s="327"/>
      <c r="F265" s="109"/>
      <c r="G265" s="109"/>
      <c r="H265" s="109"/>
      <c r="J265" s="12"/>
    </row>
    <row r="266" spans="1:10" s="1" customFormat="1" ht="15.9" customHeight="1">
      <c r="A266" s="27"/>
      <c r="B266" s="33"/>
      <c r="C266" s="374">
        <f>$I$137</f>
        <v>2700</v>
      </c>
      <c r="D266" s="161"/>
      <c r="E266" s="109"/>
      <c r="F266" s="109"/>
      <c r="G266" s="33"/>
      <c r="H266" s="33"/>
      <c r="J266" s="12"/>
    </row>
    <row r="267" spans="1:10" s="1" customFormat="1" ht="15.9" customHeight="1">
      <c r="A267" s="27"/>
      <c r="B267" s="33"/>
      <c r="C267" s="363">
        <f>$J$137+$J$138</f>
        <v>2</v>
      </c>
      <c r="D267" s="161"/>
      <c r="E267" s="109"/>
      <c r="F267" s="109"/>
      <c r="G267" s="109"/>
      <c r="H267" s="109"/>
      <c r="J267" s="12"/>
    </row>
    <row r="268" spans="1:10" s="1" customFormat="1" ht="15.9" customHeight="1">
      <c r="A268" s="27"/>
      <c r="B268" s="33"/>
      <c r="D268" s="89"/>
      <c r="E268" s="8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D270" s="328"/>
      <c r="E270" s="328"/>
      <c r="F270" s="109"/>
      <c r="G270" s="109"/>
      <c r="H270" s="109"/>
      <c r="J270" s="12"/>
    </row>
    <row r="271" spans="1:10" s="1" customFormat="1" ht="15.9" customHeight="1">
      <c r="A271" s="27"/>
      <c r="B271" s="33"/>
      <c r="D271" s="328"/>
      <c r="E271" s="328"/>
      <c r="F271" s="109"/>
      <c r="G271" s="109"/>
      <c r="I271" s="24"/>
      <c r="J271" s="24"/>
    </row>
    <row r="272" spans="1:10" s="1" customFormat="1" ht="15.9" customHeight="1">
      <c r="A272" s="27"/>
      <c r="B272" s="33"/>
      <c r="C272" s="33"/>
      <c r="D272" s="161"/>
      <c r="E272" s="109"/>
      <c r="F272" s="109"/>
      <c r="G272" s="109"/>
      <c r="I272" s="24"/>
      <c r="J272" s="24"/>
    </row>
    <row r="273" spans="1:10" s="1" customFormat="1" ht="15.9" customHeight="1">
      <c r="A273" s="27"/>
      <c r="B273" s="33"/>
      <c r="C273" s="89" t="s">
        <v>374</v>
      </c>
      <c r="D273" s="162"/>
      <c r="E273" s="24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328" t="s">
        <v>649</v>
      </c>
      <c r="D274" s="328"/>
      <c r="E274" s="328"/>
      <c r="F274" s="109"/>
      <c r="G274" s="109"/>
      <c r="I274" s="109"/>
      <c r="J274" s="24"/>
    </row>
    <row r="275" spans="1:10" s="1" customFormat="1" ht="15.9" customHeight="1">
      <c r="A275" s="27"/>
      <c r="B275" s="33"/>
      <c r="C275" s="433" t="s">
        <v>650</v>
      </c>
      <c r="D275" s="327"/>
      <c r="E275" s="327"/>
      <c r="F275" s="109"/>
      <c r="G275" s="109"/>
      <c r="I275" s="109"/>
      <c r="J275" s="24"/>
    </row>
    <row r="276" spans="1:10" s="1" customFormat="1" ht="15.9" customHeight="1">
      <c r="A276" s="27"/>
      <c r="B276" s="33"/>
      <c r="C276" s="374">
        <f>$I$139</f>
        <v>2604</v>
      </c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363">
        <f>$J$139+$J$140</f>
        <v>2</v>
      </c>
      <c r="F277" s="109"/>
      <c r="G277" s="109"/>
      <c r="I277" s="109"/>
      <c r="J277" s="24"/>
    </row>
    <row r="278" spans="1:10" s="1" customFormat="1" ht="15.9" customHeight="1">
      <c r="A278" s="27"/>
      <c r="B278" s="33"/>
      <c r="F278" s="109"/>
      <c r="G278" s="109"/>
      <c r="H278" s="109"/>
      <c r="J278" s="12"/>
    </row>
    <row r="279" spans="1:10" s="1" customFormat="1" ht="15.9" customHeight="1">
      <c r="A279" s="27"/>
      <c r="B279" s="33"/>
      <c r="F279" s="109"/>
      <c r="G279" s="109"/>
      <c r="H279" s="109"/>
      <c r="J279" s="12"/>
    </row>
    <row r="280" spans="1:10" s="1" customFormat="1" ht="15.9" customHeight="1">
      <c r="A280" s="27"/>
      <c r="B280" s="33"/>
      <c r="C280" s="33"/>
      <c r="D280" s="161"/>
      <c r="E280" s="109"/>
      <c r="F280" s="109"/>
      <c r="G280" s="109"/>
      <c r="H280" s="109"/>
      <c r="J280" s="12"/>
    </row>
    <row r="281" spans="1:10" s="1" customFormat="1" ht="15.9" customHeight="1">
      <c r="A281" s="27"/>
      <c r="B281" s="33"/>
      <c r="F281" s="109"/>
      <c r="G281" s="109"/>
      <c r="H281" s="109"/>
      <c r="J281" s="12"/>
    </row>
    <row r="282" spans="1:10" s="1" customFormat="1" ht="15.9" customHeight="1">
      <c r="A282" s="27"/>
      <c r="B282" s="33"/>
      <c r="F282" s="109"/>
      <c r="G282" s="109"/>
      <c r="H282" s="109"/>
      <c r="I282" s="162"/>
      <c r="J282" s="24"/>
    </row>
    <row r="283" spans="1:10" s="1" customFormat="1" ht="15.9" customHeight="1">
      <c r="A283" s="27"/>
      <c r="B283" s="33"/>
      <c r="C283" s="89" t="s">
        <v>375</v>
      </c>
      <c r="F283" s="109"/>
      <c r="G283" s="109"/>
      <c r="H283" s="109"/>
      <c r="I283" s="109"/>
      <c r="J283" s="24"/>
    </row>
    <row r="284" spans="1:10" s="1" customFormat="1" ht="15.9" customHeight="1">
      <c r="A284" s="27"/>
      <c r="B284" s="33"/>
      <c r="C284" s="94" t="s">
        <v>453</v>
      </c>
      <c r="D284" s="161"/>
      <c r="E284" s="109"/>
      <c r="F284" s="109"/>
      <c r="G284" s="109"/>
      <c r="H284" s="109"/>
      <c r="I284" s="24"/>
      <c r="J284" s="24"/>
    </row>
    <row r="285" spans="1:10" s="1" customFormat="1" ht="15.9" customHeight="1">
      <c r="A285" s="27"/>
      <c r="B285" s="33"/>
      <c r="C285" s="327" t="s">
        <v>454</v>
      </c>
      <c r="D285" s="161"/>
      <c r="E285" s="109"/>
      <c r="F285" s="109"/>
      <c r="G285" s="109"/>
      <c r="H285" s="109"/>
      <c r="I285" s="24"/>
      <c r="J285" s="24"/>
    </row>
    <row r="286" spans="1:10" s="1" customFormat="1" ht="15.9" customHeight="1">
      <c r="A286" s="27"/>
      <c r="B286" s="33"/>
      <c r="C286" s="328" t="s">
        <v>281</v>
      </c>
      <c r="D286" s="328"/>
      <c r="E286" s="328"/>
      <c r="F286" s="109"/>
      <c r="G286" s="109"/>
      <c r="I286" s="24"/>
      <c r="J286" s="24"/>
    </row>
    <row r="287" spans="1:10" s="23" customFormat="1" ht="15.9" customHeight="1">
      <c r="A287" s="27"/>
      <c r="B287" s="33"/>
      <c r="C287" s="327" t="s">
        <v>282</v>
      </c>
      <c r="D287" s="327"/>
      <c r="E287" s="327"/>
      <c r="F287" s="109"/>
      <c r="G287" s="109"/>
      <c r="H287" s="1"/>
      <c r="I287" s="109"/>
      <c r="J287" s="109"/>
    </row>
    <row r="288" spans="1:10" s="1" customFormat="1" ht="15.9" customHeight="1">
      <c r="A288" s="27"/>
      <c r="B288" s="33"/>
      <c r="C288" s="374">
        <f>$I$141</f>
        <v>423</v>
      </c>
      <c r="F288" s="109"/>
      <c r="G288" s="109"/>
      <c r="I288" s="44"/>
      <c r="J288" s="119"/>
    </row>
    <row r="289" spans="1:10" s="1" customFormat="1" ht="15.9" customHeight="1">
      <c r="A289" s="27"/>
      <c r="B289" s="33"/>
      <c r="C289" s="363">
        <f>$J$141+$J$142</f>
        <v>10</v>
      </c>
      <c r="D289" s="161"/>
      <c r="E289" s="109"/>
      <c r="F289" s="109"/>
      <c r="G289" s="109"/>
      <c r="H289" s="161"/>
      <c r="I289" s="32"/>
      <c r="J289" s="40"/>
    </row>
    <row r="290" spans="1:10" s="1" customFormat="1" ht="15.9" customHeight="1">
      <c r="A290" s="27"/>
      <c r="B290" s="33"/>
      <c r="C290" s="374">
        <f>$I$143</f>
        <v>2608</v>
      </c>
      <c r="D290" s="161"/>
      <c r="E290" s="109"/>
      <c r="F290" s="109"/>
      <c r="G290" s="109"/>
      <c r="H290" s="109"/>
      <c r="I290" s="24"/>
      <c r="J290" s="24"/>
    </row>
    <row r="291" spans="1:10" s="1" customFormat="1" ht="15.9" customHeight="1">
      <c r="A291" s="27"/>
      <c r="B291" s="33"/>
      <c r="C291" s="363">
        <f>$J$143+$J$144+$J$145</f>
        <v>10</v>
      </c>
      <c r="D291" s="161"/>
      <c r="E291" s="109"/>
      <c r="F291" s="109"/>
      <c r="G291" s="109"/>
      <c r="H291" s="109"/>
      <c r="I291" s="24"/>
      <c r="J291" s="24"/>
    </row>
    <row r="292" spans="1:10" s="1" customFormat="1" ht="15.9" customHeight="1">
      <c r="A292" s="27"/>
      <c r="B292" s="33"/>
      <c r="D292" s="161"/>
      <c r="E292" s="109"/>
      <c r="F292" s="109"/>
      <c r="G292" s="109"/>
      <c r="H292" s="109"/>
      <c r="I292" s="24"/>
      <c r="J292" s="24"/>
    </row>
    <row r="293" spans="1:10" s="1" customFormat="1" ht="15.9" customHeight="1">
      <c r="A293" s="27"/>
      <c r="B293" s="33"/>
      <c r="C293" s="33"/>
      <c r="D293" s="161"/>
      <c r="E293" s="109"/>
      <c r="F293" s="109"/>
      <c r="G293" s="109"/>
      <c r="H293" s="109"/>
      <c r="I293" s="109"/>
      <c r="J293" s="24"/>
    </row>
    <row r="294" spans="1:10" s="1" customFormat="1" ht="15.9" customHeight="1">
      <c r="A294" s="27"/>
      <c r="B294" s="33"/>
      <c r="C294" s="23"/>
      <c r="D294" s="161"/>
      <c r="E294" s="109"/>
      <c r="F294" s="109"/>
      <c r="G294" s="109"/>
      <c r="H294" s="109"/>
      <c r="I294" s="109"/>
      <c r="J294" s="24"/>
    </row>
    <row r="295" spans="1:10" s="1" customFormat="1" ht="15.9" customHeight="1">
      <c r="A295" s="27"/>
      <c r="B295" s="33"/>
      <c r="C295" s="89" t="s">
        <v>376</v>
      </c>
      <c r="D295" s="161"/>
      <c r="E295" s="109"/>
      <c r="F295" s="109"/>
      <c r="G295" s="109"/>
      <c r="H295" s="109"/>
      <c r="I295" s="109"/>
      <c r="J295" s="24"/>
    </row>
    <row r="296" spans="1:10" s="1" customFormat="1" ht="15.9" customHeight="1">
      <c r="A296" s="27"/>
      <c r="B296" s="33"/>
      <c r="C296" s="94" t="s">
        <v>453</v>
      </c>
      <c r="D296" s="161"/>
      <c r="E296" s="109"/>
      <c r="F296" s="109"/>
      <c r="G296" s="44"/>
      <c r="H296" s="44"/>
      <c r="I296" s="109"/>
      <c r="J296" s="24"/>
    </row>
    <row r="297" spans="1:10" s="1" customFormat="1" ht="15.9" customHeight="1">
      <c r="A297" s="27"/>
      <c r="B297" s="33"/>
      <c r="C297" s="327" t="s">
        <v>454</v>
      </c>
      <c r="D297" s="328"/>
      <c r="E297" s="328"/>
      <c r="F297" s="109"/>
      <c r="G297" s="40"/>
      <c r="H297" s="32"/>
      <c r="I297" s="109"/>
      <c r="J297" s="24"/>
    </row>
    <row r="298" spans="1:10" s="1" customFormat="1" ht="15.9" customHeight="1">
      <c r="A298" s="41"/>
      <c r="B298" s="33"/>
      <c r="C298" s="328" t="s">
        <v>286</v>
      </c>
      <c r="D298" s="327"/>
      <c r="E298" s="327"/>
      <c r="F298" s="109"/>
      <c r="G298" s="109"/>
      <c r="H298" s="109"/>
      <c r="I298" s="109"/>
      <c r="J298" s="24"/>
    </row>
    <row r="299" spans="1:10" s="1" customFormat="1" ht="15.9" customHeight="1">
      <c r="A299" s="44"/>
      <c r="B299" s="44"/>
      <c r="C299" s="327" t="s">
        <v>285</v>
      </c>
      <c r="D299" s="86"/>
      <c r="E299" s="79"/>
      <c r="F299" s="44"/>
      <c r="G299" s="109"/>
      <c r="H299" s="109"/>
      <c r="I299" s="109"/>
      <c r="J299" s="24"/>
    </row>
    <row r="300" spans="1:10" s="1" customFormat="1" ht="15.9" customHeight="1">
      <c r="A300" s="40"/>
      <c r="B300" s="40"/>
      <c r="C300" s="374">
        <f>$I$146</f>
        <v>423</v>
      </c>
      <c r="D300" s="87"/>
      <c r="E300" s="80"/>
      <c r="F300" s="32"/>
      <c r="G300" s="109"/>
      <c r="H300" s="109"/>
      <c r="I300" s="109"/>
      <c r="J300" s="24"/>
    </row>
    <row r="301" spans="1:10" s="1" customFormat="1" ht="15.9" customHeight="1">
      <c r="A301" s="109"/>
      <c r="B301" s="33"/>
      <c r="C301" s="363">
        <f>$J$146</f>
        <v>10</v>
      </c>
      <c r="D301" s="15"/>
      <c r="F301" s="109"/>
      <c r="G301" s="109"/>
      <c r="H301" s="109"/>
      <c r="I301" s="109"/>
      <c r="J301" s="24"/>
    </row>
    <row r="302" spans="1:10" s="1" customFormat="1" ht="15.9" customHeight="1">
      <c r="A302" s="109"/>
      <c r="B302" s="33"/>
      <c r="C302" s="374">
        <f>$I$147</f>
        <v>2458</v>
      </c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C303" s="363">
        <f>$J$147</f>
        <v>10</v>
      </c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D306" s="15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89"/>
      <c r="D307" s="161"/>
      <c r="E307" s="109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328"/>
      <c r="D308" s="328"/>
      <c r="E308" s="328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28"/>
      <c r="D309" s="328"/>
      <c r="E309" s="328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D310" s="15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D311" s="15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25"/>
      <c r="B313" s="33"/>
      <c r="D313" s="162"/>
      <c r="E313" s="24"/>
      <c r="F313" s="109"/>
      <c r="G313" s="109"/>
      <c r="H313" s="109"/>
      <c r="I313" s="27"/>
      <c r="J313" s="99" t="str">
        <f>LEFT($J$111,11)&amp;"-03"</f>
        <v>FG-240-5P5R-03</v>
      </c>
    </row>
    <row r="314" spans="1:14" ht="12.75" customHeight="1">
      <c r="A314" s="17"/>
      <c r="B314" s="26"/>
      <c r="C314" s="26"/>
      <c r="D314" s="83"/>
      <c r="E314" s="25"/>
      <c r="F314" s="25"/>
      <c r="G314" s="25"/>
      <c r="H314" s="25"/>
      <c r="I314" s="179"/>
      <c r="J314" s="179"/>
    </row>
    <row r="315" spans="1:14" ht="30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90" t="str">
        <f>$J$2</f>
        <v>HOMELIFE</v>
      </c>
    </row>
    <row r="316" spans="1:14" ht="24.9" customHeight="1">
      <c r="B316" s="205"/>
      <c r="C316" s="5"/>
      <c r="D316" s="95"/>
      <c r="E316" s="95"/>
      <c r="F316" s="95"/>
      <c r="G316" s="95"/>
      <c r="H316" s="95"/>
      <c r="I316" s="28"/>
      <c r="J316" s="91" t="str">
        <f>$J$3</f>
        <v>Fabricators Guide</v>
      </c>
      <c r="K316" s="11"/>
      <c r="L316" s="11"/>
      <c r="M316" s="2"/>
      <c r="N316" s="2"/>
    </row>
    <row r="317" spans="1:14" ht="24.9" customHeight="1">
      <c r="B317" s="205"/>
      <c r="C317" s="28"/>
      <c r="D317" s="28"/>
      <c r="E317" s="28"/>
      <c r="F317" s="28"/>
      <c r="G317" s="28"/>
      <c r="H317" s="28"/>
      <c r="I317" s="28"/>
      <c r="J317" s="91" t="str">
        <f>$J$4</f>
        <v xml:space="preserve">240 Series Bi Fold Door </v>
      </c>
      <c r="K317" s="48"/>
      <c r="L317" s="48"/>
      <c r="M317" s="4"/>
      <c r="N317" s="4"/>
    </row>
    <row r="318" spans="1:14" s="1" customFormat="1" ht="15" customHeight="1" thickBot="1">
      <c r="A318" s="78"/>
      <c r="B318" s="8"/>
      <c r="C318" s="28"/>
      <c r="D318" s="28"/>
      <c r="E318" s="28"/>
      <c r="F318" s="28"/>
      <c r="G318" s="28"/>
      <c r="H318" s="28"/>
      <c r="I318" s="78"/>
      <c r="J318" s="113"/>
      <c r="K318" s="4"/>
      <c r="L318" s="4"/>
      <c r="M318" s="4"/>
      <c r="N318" s="4"/>
    </row>
    <row r="319" spans="1:14" ht="24.9" customHeight="1" thickBot="1">
      <c r="A319" s="502" t="s">
        <v>33</v>
      </c>
      <c r="B319" s="503"/>
      <c r="C319" s="503"/>
      <c r="D319" s="503"/>
      <c r="E319" s="503"/>
      <c r="F319" s="503"/>
      <c r="G319" s="503"/>
      <c r="H319" s="503"/>
      <c r="I319" s="503"/>
      <c r="J319" s="504"/>
      <c r="K319" s="4"/>
      <c r="L319" s="4"/>
      <c r="M319" s="4"/>
      <c r="N319" s="4"/>
    </row>
    <row r="321" spans="1:10" s="1" customFormat="1" ht="15" customHeight="1">
      <c r="A321" s="63"/>
      <c r="B321"/>
      <c r="C321"/>
      <c r="D321" s="81"/>
      <c r="E321"/>
      <c r="F321"/>
      <c r="G321"/>
      <c r="H321"/>
      <c r="I321" s="160"/>
      <c r="J321" s="116"/>
    </row>
    <row r="322" spans="1:10" s="1" customFormat="1" ht="15" customHeight="1">
      <c r="A322" s="17"/>
      <c r="B322" s="72"/>
      <c r="C322" s="56"/>
      <c r="D322" s="30"/>
      <c r="E322" s="29"/>
      <c r="F322" s="160"/>
      <c r="G322" s="160"/>
      <c r="H322" s="160"/>
      <c r="I322" s="31"/>
      <c r="J322" s="17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09"/>
      <c r="B325" s="56"/>
      <c r="C325" s="30"/>
      <c r="D325" s="30"/>
      <c r="E325" s="29"/>
      <c r="F325" s="30"/>
      <c r="G325" s="17"/>
      <c r="H325" s="31"/>
      <c r="I325" s="109"/>
      <c r="J325" s="109"/>
    </row>
    <row r="326" spans="1:10" s="1" customFormat="1" ht="15" customHeight="1">
      <c r="A326" s="109"/>
      <c r="B326" s="33"/>
      <c r="C326" s="161"/>
      <c r="D326" s="161"/>
      <c r="E326" s="109"/>
      <c r="F326" s="161"/>
      <c r="G326" s="109"/>
      <c r="H326" s="34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35"/>
      <c r="F327" s="163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1"/>
      <c r="G328" s="109"/>
      <c r="H328" s="34"/>
      <c r="I328" s="42"/>
      <c r="J328" s="109"/>
    </row>
    <row r="329" spans="1:10" s="1" customFormat="1" ht="15" customHeight="1">
      <c r="A329" s="39"/>
      <c r="B329" s="33"/>
      <c r="C329" s="42"/>
      <c r="D329" s="161"/>
      <c r="E329" s="109"/>
      <c r="F329" s="505"/>
      <c r="G329" s="505"/>
      <c r="H329" s="202"/>
      <c r="I329" s="163"/>
      <c r="J329" s="109"/>
    </row>
    <row r="330" spans="1:10" s="1" customFormat="1" ht="15" customHeight="1">
      <c r="A330" s="92"/>
      <c r="B330" s="39"/>
      <c r="C330" s="163"/>
      <c r="D330" s="161"/>
      <c r="E330" s="109"/>
      <c r="F330" s="507"/>
      <c r="G330" s="507"/>
      <c r="H330" s="202"/>
      <c r="I330" s="161"/>
      <c r="J330" s="109"/>
    </row>
    <row r="331" spans="1:10" s="1" customFormat="1" ht="15" customHeight="1">
      <c r="A331" s="64" t="str">
        <f>A18</f>
        <v>240-5 Panel (5R)</v>
      </c>
      <c r="B331" s="92"/>
      <c r="C331" s="161"/>
      <c r="D331" s="161"/>
      <c r="E331" s="109"/>
      <c r="F331" s="202"/>
      <c r="G331" s="202"/>
      <c r="H331" s="202"/>
      <c r="I331" s="109"/>
      <c r="J331" s="109"/>
    </row>
    <row r="332" spans="1:10" s="1" customFormat="1" ht="15" customHeight="1">
      <c r="A332" s="76" t="str">
        <f>A19</f>
        <v xml:space="preserve">Outside Bi Fold Door </v>
      </c>
      <c r="B332" s="92"/>
      <c r="C332" s="161"/>
      <c r="D332" s="161"/>
      <c r="E332" s="109"/>
      <c r="F332" s="202"/>
      <c r="G332" s="202"/>
      <c r="H332" s="202"/>
      <c r="I332" s="109"/>
      <c r="J332" s="109"/>
    </row>
    <row r="333" spans="1:10" s="1" customFormat="1" ht="15.9" customHeight="1">
      <c r="A333" s="109"/>
      <c r="B333" s="45"/>
      <c r="C333" s="42"/>
      <c r="D333" s="161"/>
      <c r="E333" s="109"/>
      <c r="F333" s="507"/>
      <c r="G333" s="507"/>
      <c r="H333" s="202"/>
      <c r="I333" s="109"/>
      <c r="J333" s="109"/>
    </row>
    <row r="334" spans="1:10" s="1" customFormat="1" ht="15.9" customHeight="1">
      <c r="A334" s="39"/>
      <c r="B334" s="109"/>
      <c r="C334" s="161"/>
      <c r="D334" s="161"/>
      <c r="E334" s="109"/>
      <c r="F334" s="37"/>
      <c r="G334" s="38"/>
      <c r="H334" s="109"/>
      <c r="I334" s="109"/>
      <c r="J334" s="109"/>
    </row>
    <row r="335" spans="1:10" s="1" customFormat="1" ht="15.9" customHeight="1">
      <c r="A335" s="44"/>
      <c r="C335" s="43"/>
      <c r="D335" s="161"/>
      <c r="E335" s="109"/>
      <c r="F335" s="109"/>
      <c r="G335" s="109"/>
      <c r="H335" s="109"/>
      <c r="I335" s="44"/>
      <c r="J335" s="119"/>
    </row>
    <row r="336" spans="1:10" s="1" customFormat="1" ht="15.9" customHeight="1">
      <c r="A336" s="40"/>
      <c r="C336" s="44"/>
      <c r="D336" s="84"/>
      <c r="E336" s="44"/>
      <c r="F336" s="44"/>
      <c r="G336" s="44"/>
      <c r="H336" s="44"/>
      <c r="I336" s="32"/>
      <c r="J336" s="40"/>
    </row>
    <row r="337" spans="1:10" s="1" customFormat="1" ht="15.9" customHeight="1">
      <c r="A337" s="109"/>
      <c r="C337" s="161"/>
      <c r="D337" s="85"/>
      <c r="E337" s="40"/>
      <c r="F337" s="32"/>
      <c r="G337" s="40"/>
      <c r="H337" s="32"/>
      <c r="I337" s="24"/>
      <c r="J337" s="24"/>
    </row>
    <row r="338" spans="1:10" s="1" customFormat="1" ht="15.9" customHeight="1">
      <c r="A338" s="109"/>
      <c r="C338" s="163"/>
      <c r="D338" s="161"/>
      <c r="E338" s="109"/>
      <c r="F338" s="161"/>
      <c r="G338" s="109"/>
      <c r="H338" s="109"/>
      <c r="I338" s="24"/>
      <c r="J338" s="24"/>
    </row>
    <row r="339" spans="1:10" s="1" customFormat="1" ht="15.9" customHeight="1">
      <c r="A339" s="109"/>
      <c r="B339" s="33"/>
      <c r="C339" s="161"/>
      <c r="D339" s="161"/>
      <c r="E339" s="109"/>
      <c r="F339" s="161"/>
      <c r="G339" s="109"/>
      <c r="H339" s="109"/>
      <c r="I339" s="162"/>
      <c r="J339" s="162"/>
    </row>
    <row r="340" spans="1:10" s="1" customFormat="1" ht="15.9" customHeight="1">
      <c r="A340" s="109"/>
      <c r="B340" s="33"/>
      <c r="C340" s="44"/>
      <c r="D340" s="161"/>
      <c r="E340" s="109"/>
      <c r="F340" s="161"/>
      <c r="G340" s="109"/>
      <c r="H340" s="162"/>
      <c r="I340" s="161"/>
      <c r="J340" s="161"/>
    </row>
    <row r="341" spans="1:10" s="1" customFormat="1" ht="15.9" customHeight="1">
      <c r="A341" s="109"/>
      <c r="B341" s="33"/>
      <c r="C341" s="42"/>
      <c r="D341" s="161"/>
      <c r="E341" s="109"/>
      <c r="F341" s="161"/>
      <c r="G341" s="109"/>
      <c r="H341" s="161"/>
      <c r="I341" s="161"/>
      <c r="J341" s="161"/>
    </row>
    <row r="342" spans="1:10" s="1" customFormat="1" ht="15.9" customHeight="1">
      <c r="A342" s="109"/>
      <c r="B342" s="33"/>
      <c r="C342" s="163"/>
      <c r="D342" s="161"/>
      <c r="E342" s="109"/>
      <c r="F342" s="161"/>
      <c r="G342" s="109"/>
      <c r="H342" s="161"/>
      <c r="I342" s="109"/>
      <c r="J342" s="24"/>
    </row>
    <row r="343" spans="1:10" s="1" customFormat="1" ht="15.9" customHeight="1">
      <c r="A343" s="109"/>
      <c r="B343" s="33"/>
      <c r="C343" s="161"/>
      <c r="D343" s="161"/>
      <c r="E343" s="109"/>
      <c r="F343" s="161"/>
      <c r="G343" s="109"/>
      <c r="H343" s="109"/>
      <c r="I343" s="24"/>
      <c r="J343" s="24"/>
    </row>
    <row r="344" spans="1:10" s="1" customFormat="1" ht="15.9" customHeight="1">
      <c r="A344" s="109"/>
      <c r="B344" s="33"/>
      <c r="C344" s="33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44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161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3"/>
      <c r="D349" s="161"/>
      <c r="E349" s="109"/>
      <c r="F349" s="161"/>
      <c r="G349" s="109"/>
      <c r="H349" s="109"/>
      <c r="I349" s="109"/>
      <c r="J349" s="24"/>
    </row>
    <row r="350" spans="1:10" s="1" customFormat="1" ht="15.9" customHeight="1">
      <c r="A350" s="109"/>
      <c r="B350" s="33"/>
      <c r="C350" s="161"/>
      <c r="D350" s="161"/>
      <c r="E350" s="109"/>
      <c r="F350" s="161"/>
      <c r="G350" s="109"/>
      <c r="H350" s="109"/>
      <c r="I350" s="24"/>
      <c r="J350" s="24"/>
    </row>
    <row r="351" spans="1:10" s="1" customFormat="1" ht="15.9" customHeight="1">
      <c r="A351" s="109"/>
      <c r="B351" s="33"/>
      <c r="C351" s="33"/>
      <c r="D351" s="161"/>
      <c r="E351" s="109"/>
      <c r="F351" s="109"/>
      <c r="G351" s="109"/>
      <c r="H351" s="109"/>
      <c r="I351" s="24"/>
      <c r="J351" s="24"/>
    </row>
    <row r="352" spans="1:10" s="1" customFormat="1" ht="15" customHeight="1">
      <c r="A352" s="109"/>
      <c r="B352" s="33"/>
      <c r="C352" s="33"/>
      <c r="D352" s="161"/>
      <c r="E352" s="109"/>
      <c r="F352" s="109"/>
      <c r="G352" s="109"/>
      <c r="H352" s="107"/>
      <c r="I352" s="24"/>
      <c r="J352" s="24"/>
    </row>
    <row r="353" spans="1:10" s="23" customFormat="1" ht="15.9" customHeight="1">
      <c r="A353" s="109"/>
      <c r="B353" s="33"/>
      <c r="C353" s="33"/>
      <c r="D353" s="161"/>
      <c r="E353" s="109"/>
      <c r="F353" s="109"/>
      <c r="G353" s="109"/>
      <c r="H353" s="109"/>
      <c r="I353" s="109"/>
      <c r="J353" s="109"/>
    </row>
    <row r="354" spans="1:10" s="1" customFormat="1" ht="15.9" customHeight="1">
      <c r="A354" s="44"/>
      <c r="B354" s="33"/>
      <c r="C354" s="33"/>
      <c r="D354" s="161"/>
      <c r="E354" s="109"/>
      <c r="F354" s="109"/>
      <c r="G354" s="109"/>
      <c r="H354" s="109"/>
      <c r="I354" s="44"/>
      <c r="J354" s="119"/>
    </row>
    <row r="355" spans="1:10" s="1" customFormat="1" ht="15.9" customHeight="1">
      <c r="A355" s="40"/>
      <c r="B355" s="44"/>
      <c r="C355" s="44"/>
      <c r="D355" s="84"/>
      <c r="E355" s="44"/>
      <c r="F355" s="44"/>
      <c r="G355" s="44"/>
      <c r="H355" s="44"/>
      <c r="I355" s="32"/>
      <c r="J355" s="40"/>
    </row>
    <row r="356" spans="1:10" s="1" customFormat="1" ht="15.9" customHeight="1">
      <c r="A356" s="27"/>
      <c r="B356" s="40"/>
      <c r="C356" s="44"/>
      <c r="D356" s="85"/>
      <c r="E356" s="40"/>
      <c r="F356" s="32"/>
      <c r="G356" s="40"/>
      <c r="H356" s="32"/>
      <c r="I356" s="24"/>
      <c r="J356" s="24"/>
    </row>
    <row r="357" spans="1:10" s="1" customFormat="1" ht="15.9" customHeight="1">
      <c r="A357" s="27"/>
      <c r="B357" s="33"/>
      <c r="C357" s="42"/>
      <c r="D357" s="161"/>
      <c r="E357" s="109"/>
      <c r="F357" s="109"/>
      <c r="G357" s="109"/>
      <c r="H357" s="42"/>
      <c r="I357" s="163"/>
      <c r="J357" s="163"/>
    </row>
    <row r="358" spans="1:10" s="1" customFormat="1" ht="15.9" customHeight="1">
      <c r="A358" s="27"/>
      <c r="B358" s="33"/>
      <c r="C358" s="163"/>
      <c r="D358" s="161"/>
      <c r="E358" s="109"/>
      <c r="F358" s="109"/>
      <c r="G358" s="109"/>
      <c r="H358" s="163"/>
      <c r="I358" s="161"/>
      <c r="J358" s="161"/>
    </row>
    <row r="359" spans="1:10" s="1" customFormat="1" ht="15.9" customHeight="1">
      <c r="A359" s="27"/>
      <c r="B359" s="33"/>
      <c r="C359" s="161"/>
      <c r="D359" s="161"/>
      <c r="E359" s="109"/>
      <c r="F359" s="109"/>
      <c r="G359" s="109"/>
      <c r="H359" s="161"/>
      <c r="I359" s="24"/>
      <c r="J359" s="24"/>
    </row>
    <row r="360" spans="1:10" s="1" customFormat="1" ht="15.9" customHeight="1">
      <c r="A360" s="27"/>
      <c r="B360" s="33"/>
      <c r="C360" s="33"/>
      <c r="D360" s="161"/>
      <c r="E360" s="109"/>
      <c r="F360" s="109"/>
      <c r="G360" s="109"/>
      <c r="H360" s="109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46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161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33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B369" s="33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D371" s="161"/>
      <c r="E371" s="109"/>
      <c r="F371" s="109"/>
      <c r="G371" s="33"/>
      <c r="H371" s="33"/>
      <c r="I371" s="24"/>
      <c r="J371" s="24"/>
    </row>
    <row r="372" spans="1:10" s="1" customFormat="1" ht="15.9" customHeight="1">
      <c r="A372" s="27"/>
      <c r="B372" s="33"/>
      <c r="C372" s="33"/>
      <c r="D372" s="161"/>
      <c r="E372" s="109"/>
      <c r="F372" s="109"/>
      <c r="G372" s="109"/>
      <c r="H372" s="109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42"/>
      <c r="I375" s="163"/>
      <c r="J375" s="163"/>
    </row>
    <row r="376" spans="1:10" s="1" customFormat="1" ht="15.9" customHeight="1">
      <c r="A376" s="27"/>
      <c r="B376" s="33"/>
      <c r="C376" s="47"/>
      <c r="D376" s="161"/>
      <c r="E376" s="109"/>
      <c r="F376" s="109"/>
      <c r="G376" s="109"/>
      <c r="H376" s="163"/>
      <c r="I376" s="161"/>
      <c r="J376" s="161"/>
    </row>
    <row r="377" spans="1:10" s="1" customFormat="1" ht="15.9" customHeight="1">
      <c r="A377" s="27"/>
      <c r="B377" s="33"/>
      <c r="C377" s="46"/>
      <c r="D377" s="161"/>
      <c r="E377" s="109"/>
      <c r="F377" s="109"/>
      <c r="G377" s="109"/>
      <c r="H377" s="161"/>
      <c r="I377" s="24"/>
      <c r="J377" s="24"/>
    </row>
    <row r="378" spans="1:10" s="1" customFormat="1" ht="15.9" customHeight="1">
      <c r="A378" s="27"/>
      <c r="B378" s="33"/>
      <c r="C378" s="161"/>
      <c r="D378" s="161"/>
      <c r="E378" s="109"/>
      <c r="F378" s="109"/>
      <c r="G378" s="109"/>
      <c r="H378" s="42"/>
      <c r="I378" s="163"/>
      <c r="J378" s="163"/>
    </row>
    <row r="379" spans="1:10" s="1" customFormat="1" ht="15.9" customHeight="1">
      <c r="A379" s="27"/>
      <c r="B379" s="33"/>
      <c r="C379" s="33"/>
      <c r="D379" s="161"/>
      <c r="E379" s="109"/>
      <c r="F379" s="109"/>
      <c r="G379" s="109"/>
      <c r="H379" s="163"/>
      <c r="I379" s="161"/>
      <c r="J379" s="161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1"/>
      <c r="I380" s="24"/>
      <c r="J380" s="24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09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109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64"/>
      <c r="J387" s="16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64"/>
      <c r="I388" s="165"/>
      <c r="J388" s="165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5"/>
      <c r="I389" s="161"/>
      <c r="J389" s="161"/>
    </row>
    <row r="390" spans="1:10" s="1" customFormat="1" ht="15.9" customHeight="1">
      <c r="A390" s="27"/>
      <c r="B390" s="33"/>
      <c r="C390" s="47"/>
      <c r="D390" s="161"/>
      <c r="E390" s="109"/>
      <c r="F390" s="109"/>
      <c r="G390" s="109"/>
      <c r="H390" s="161"/>
      <c r="I390" s="24"/>
      <c r="J390" s="24"/>
    </row>
    <row r="391" spans="1:10" s="1" customFormat="1" ht="15.9" customHeight="1">
      <c r="A391" s="27"/>
      <c r="B391" s="33"/>
      <c r="C391" s="46"/>
      <c r="D391" s="161"/>
      <c r="E391" s="109"/>
      <c r="F391" s="109"/>
      <c r="G391" s="109"/>
      <c r="H391" s="109"/>
      <c r="I391" s="109"/>
      <c r="J391" s="24"/>
    </row>
    <row r="392" spans="1:10" s="1" customFormat="1" ht="15.9" customHeight="1">
      <c r="A392" s="27"/>
      <c r="B392" s="33"/>
      <c r="C392" s="161"/>
      <c r="D392" s="161"/>
      <c r="E392" s="109"/>
      <c r="F392" s="109"/>
      <c r="G392" s="109"/>
      <c r="H392" s="109"/>
      <c r="I392" s="24"/>
      <c r="J392" s="24"/>
    </row>
    <row r="393" spans="1:10" s="1" customFormat="1" ht="15.9" customHeight="1">
      <c r="A393" s="27"/>
      <c r="B393" s="33"/>
      <c r="C393" s="33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41"/>
      <c r="B395" s="33"/>
      <c r="C395" s="33"/>
      <c r="D395" s="161"/>
      <c r="E395" s="109"/>
      <c r="F395" s="109"/>
      <c r="G395" s="109"/>
      <c r="H395" s="109"/>
      <c r="I395" s="109"/>
      <c r="J395" s="109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23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1" customFormat="1" ht="15.9" customHeight="1">
      <c r="A404" s="44"/>
      <c r="B404" s="33"/>
      <c r="C404" s="33"/>
      <c r="D404" s="161"/>
      <c r="E404" s="109"/>
      <c r="F404" s="109"/>
      <c r="G404" s="109"/>
      <c r="H404" s="109"/>
      <c r="I404" s="44"/>
      <c r="J404" s="119"/>
    </row>
    <row r="405" spans="1:10" s="1" customFormat="1" ht="15.9" customHeight="1">
      <c r="A405" s="44"/>
      <c r="B405" s="44"/>
      <c r="C405" s="44"/>
      <c r="D405" s="84"/>
      <c r="E405" s="44"/>
      <c r="F405" s="44"/>
      <c r="G405" s="44"/>
      <c r="H405" s="44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109"/>
      <c r="B418" s="44"/>
      <c r="C418" s="44"/>
      <c r="D418" s="84"/>
      <c r="E418" s="44"/>
      <c r="F418" s="44"/>
      <c r="G418" s="44"/>
      <c r="H418" s="44"/>
      <c r="I418" s="24"/>
      <c r="J418" s="24"/>
      <c r="K418" s="71"/>
    </row>
    <row r="419" spans="1:14" s="1" customFormat="1" ht="15.9" customHeight="1">
      <c r="A419" s="109"/>
      <c r="B419" s="33"/>
      <c r="C419" s="33"/>
      <c r="D419" s="161"/>
      <c r="E419" s="109"/>
      <c r="F419" s="109"/>
      <c r="G419" s="109"/>
      <c r="H419" s="109"/>
      <c r="I419" s="24"/>
    </row>
    <row r="420" spans="1:14" ht="18">
      <c r="A420" s="109"/>
      <c r="B420" s="33"/>
      <c r="C420" s="33"/>
      <c r="D420" s="161"/>
      <c r="E420" s="109"/>
      <c r="F420" s="109"/>
      <c r="G420" s="109"/>
      <c r="H420" s="109"/>
      <c r="I420" s="109"/>
      <c r="J420" s="99" t="str">
        <f>LEFT($J$111,11)&amp;"-04"</f>
        <v>FG-240-5P5R-04</v>
      </c>
      <c r="K420" s="7"/>
      <c r="L420" s="7"/>
      <c r="M420" s="2"/>
      <c r="N420" s="2"/>
    </row>
    <row r="421" spans="1:14" ht="12.75" customHeight="1">
      <c r="A421" s="109"/>
      <c r="B421" s="33"/>
      <c r="C421" s="33"/>
      <c r="D421" s="161"/>
      <c r="E421" s="109"/>
      <c r="F421" s="109"/>
      <c r="G421" s="109"/>
      <c r="H421" s="109"/>
      <c r="I421" s="109"/>
      <c r="J421" s="114"/>
      <c r="K421" s="7"/>
      <c r="L421" s="7"/>
      <c r="M421" s="2"/>
      <c r="N421" s="2"/>
    </row>
    <row r="422" spans="1:14" ht="30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90" t="str">
        <f>$J$2</f>
        <v>HOMELIFE</v>
      </c>
      <c r="K422" s="7"/>
      <c r="L422" s="7"/>
      <c r="M422" s="2"/>
      <c r="N422" s="2"/>
    </row>
    <row r="423" spans="1:14" ht="24.9" customHeight="1">
      <c r="A423" s="109"/>
      <c r="B423" s="33"/>
      <c r="C423" s="33"/>
      <c r="D423" s="161"/>
      <c r="E423" s="109"/>
      <c r="F423" s="109"/>
      <c r="G423" s="109"/>
      <c r="H423" s="109"/>
      <c r="I423" s="109"/>
      <c r="J423" s="91" t="str">
        <f>$J$3</f>
        <v>Fabricators Guide</v>
      </c>
      <c r="K423" s="7"/>
      <c r="L423" s="7"/>
      <c r="M423" s="2"/>
      <c r="N423" s="2"/>
    </row>
    <row r="424" spans="1:14" ht="24.9" customHeight="1">
      <c r="B424" s="205"/>
      <c r="C424" s="28"/>
      <c r="D424" s="28"/>
      <c r="E424" s="28"/>
      <c r="F424" s="28"/>
      <c r="G424" s="28"/>
      <c r="H424" s="28"/>
      <c r="I424" s="28"/>
      <c r="J424" s="91" t="str">
        <f>$J$4</f>
        <v xml:space="preserve">240 Series Bi Fold Door </v>
      </c>
      <c r="K424" s="48"/>
      <c r="L424" s="48"/>
      <c r="M424" s="4"/>
      <c r="N424" s="4"/>
    </row>
    <row r="425" spans="1:14" s="1" customFormat="1" ht="15" customHeight="1" thickBot="1">
      <c r="A425" s="78"/>
      <c r="B425" s="8"/>
      <c r="C425" s="28"/>
      <c r="D425" s="28"/>
      <c r="E425" s="28"/>
      <c r="F425" s="28"/>
      <c r="G425" s="28"/>
      <c r="H425" s="28"/>
      <c r="I425" s="78"/>
      <c r="J425" s="100"/>
      <c r="K425" s="4"/>
      <c r="L425" s="4"/>
      <c r="M425" s="4"/>
      <c r="N425" s="4"/>
    </row>
    <row r="426" spans="1:14" s="1" customFormat="1" ht="24.9" customHeight="1" thickBot="1">
      <c r="A426" s="502" t="s">
        <v>34</v>
      </c>
      <c r="B426" s="503"/>
      <c r="C426" s="503"/>
      <c r="D426" s="503"/>
      <c r="E426" s="503"/>
      <c r="F426" s="503"/>
      <c r="G426" s="503"/>
      <c r="H426" s="503"/>
      <c r="I426" s="503"/>
      <c r="J426" s="504"/>
      <c r="K426" s="4"/>
      <c r="L426" s="4"/>
      <c r="M426" s="4"/>
      <c r="N426" s="4"/>
    </row>
    <row r="427" spans="1:14" s="1" customFormat="1" ht="15" customHeight="1">
      <c r="A427" s="193"/>
      <c r="B427" s="194"/>
      <c r="C427" s="194"/>
      <c r="D427" s="194"/>
      <c r="E427" s="194"/>
      <c r="F427" s="194"/>
      <c r="G427" s="194"/>
      <c r="H427" s="194"/>
      <c r="I427" s="193"/>
      <c r="K427" s="56"/>
      <c r="L427" s="56"/>
      <c r="M427" s="56"/>
      <c r="N427" s="56"/>
    </row>
    <row r="428" spans="1:14" s="1" customFormat="1" ht="15" customHeight="1">
      <c r="A428" s="45"/>
      <c r="B428" s="193"/>
      <c r="C428" s="193"/>
      <c r="D428" s="193"/>
      <c r="E428" s="193"/>
      <c r="F428" s="193"/>
      <c r="G428" s="193"/>
      <c r="H428" s="193"/>
      <c r="I428" s="44"/>
      <c r="J428" s="119"/>
    </row>
    <row r="429" spans="1:14" s="1" customFormat="1" ht="15" customHeight="1">
      <c r="A429" s="109"/>
      <c r="B429" s="39"/>
      <c r="C429" s="33"/>
      <c r="D429" s="161"/>
      <c r="E429" s="35"/>
      <c r="F429" s="39"/>
      <c r="G429" s="193"/>
      <c r="H429" s="44"/>
      <c r="I429" s="44"/>
      <c r="J429" s="119"/>
    </row>
    <row r="430" spans="1:14" s="1" customFormat="1" ht="15" customHeight="1">
      <c r="A430" s="109"/>
      <c r="B430" s="33"/>
      <c r="C430" s="33"/>
      <c r="D430" s="161"/>
      <c r="E430" s="35"/>
      <c r="F430" s="161"/>
      <c r="G430" s="193"/>
      <c r="H430" s="44"/>
      <c r="I430" s="44"/>
      <c r="J430" s="119"/>
    </row>
    <row r="431" spans="1:14" s="1" customFormat="1" ht="15" customHeight="1">
      <c r="A431" s="109"/>
      <c r="B431" s="56"/>
      <c r="C431" s="56"/>
      <c r="D431" s="30"/>
      <c r="E431" s="29"/>
      <c r="F431" s="30"/>
      <c r="H431" s="44"/>
      <c r="I431" s="44"/>
      <c r="J431" s="119"/>
    </row>
    <row r="432" spans="1:14" s="1" customFormat="1" ht="15" customHeight="1">
      <c r="A432" s="109"/>
      <c r="B432" s="33"/>
      <c r="C432" s="161"/>
      <c r="D432" s="161"/>
      <c r="E432" s="109"/>
      <c r="F432" s="161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35"/>
      <c r="F433" s="163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1"/>
      <c r="H434" s="44"/>
      <c r="I434" s="44"/>
      <c r="J434" s="119"/>
    </row>
    <row r="435" spans="1:10" s="1" customFormat="1" ht="15" customHeight="1">
      <c r="A435" s="39"/>
      <c r="B435" s="33"/>
      <c r="C435" s="42"/>
      <c r="D435" s="161"/>
      <c r="E435" s="109"/>
      <c r="F435" s="69"/>
      <c r="H435" s="44"/>
      <c r="I435" s="44"/>
      <c r="J435" s="119"/>
    </row>
    <row r="436" spans="1:10" s="1" customFormat="1" ht="15" customHeight="1">
      <c r="A436" s="92"/>
      <c r="B436" s="39"/>
      <c r="C436" s="163"/>
      <c r="D436" s="161"/>
      <c r="E436" s="109"/>
      <c r="F436" s="68"/>
      <c r="H436" s="44"/>
      <c r="I436" s="44"/>
      <c r="J436" s="119"/>
    </row>
    <row r="437" spans="1:10" s="1" customFormat="1" ht="15" customHeight="1">
      <c r="B437" s="92"/>
      <c r="C437" s="161"/>
      <c r="D437" s="161"/>
      <c r="E437" s="109"/>
      <c r="F437" s="202"/>
      <c r="H437" s="44"/>
      <c r="I437" s="44"/>
      <c r="J437" s="119"/>
    </row>
    <row r="438" spans="1:10" s="1" customFormat="1" ht="15" customHeight="1">
      <c r="A438" s="64" t="str">
        <f>A18</f>
        <v>240-5 Panel (5R)</v>
      </c>
      <c r="B438" s="92"/>
      <c r="C438" s="161"/>
      <c r="D438" s="161"/>
      <c r="E438" s="109"/>
      <c r="F438" s="202"/>
      <c r="H438" s="44"/>
      <c r="I438" s="44"/>
      <c r="J438" s="119"/>
    </row>
    <row r="439" spans="1:10" s="1" customFormat="1" ht="15.9" customHeight="1">
      <c r="A439" s="76" t="str">
        <f>A19</f>
        <v xml:space="preserve">Outside Bi Fold Door </v>
      </c>
      <c r="C439" s="42"/>
      <c r="D439" s="161"/>
      <c r="E439" s="109"/>
      <c r="F439" s="68"/>
      <c r="H439" s="44"/>
      <c r="I439" s="44"/>
      <c r="J439" s="119"/>
    </row>
    <row r="440" spans="1:10" s="1" customFormat="1" ht="15.9" customHeight="1">
      <c r="A440" s="39"/>
      <c r="C440" s="161"/>
      <c r="D440" s="161"/>
      <c r="E440" s="109"/>
      <c r="F440" s="37"/>
      <c r="H440" s="44"/>
      <c r="I440" s="44"/>
      <c r="J440" s="119"/>
    </row>
    <row r="441" spans="1:10" s="1" customFormat="1" ht="15.9" customHeight="1">
      <c r="A441" s="44"/>
      <c r="B441" s="38"/>
      <c r="C441" s="43"/>
      <c r="D441" s="161"/>
      <c r="E441" s="109"/>
      <c r="F441" s="109"/>
      <c r="H441" s="44"/>
      <c r="I441" s="44"/>
      <c r="J441" s="119"/>
    </row>
    <row r="442" spans="1:10" s="1" customFormat="1" ht="15.9" customHeight="1">
      <c r="A442" s="40"/>
      <c r="C442" s="44"/>
      <c r="D442" s="84"/>
      <c r="E442" s="44"/>
      <c r="F442" s="44"/>
      <c r="H442" s="44"/>
      <c r="I442" s="44"/>
      <c r="J442" s="119"/>
    </row>
    <row r="443" spans="1:10" s="1" customFormat="1" ht="35.1" customHeight="1">
      <c r="A443" s="109"/>
      <c r="C443" s="161"/>
      <c r="D443" s="85"/>
      <c r="E443" s="40"/>
      <c r="F443" s="32"/>
      <c r="H443" s="44"/>
      <c r="I443" s="24"/>
      <c r="J443" s="24"/>
    </row>
    <row r="444" spans="1:10" ht="15.6">
      <c r="B444" s="64"/>
      <c r="C444" s="163"/>
      <c r="D444" s="161"/>
      <c r="E444" s="109"/>
      <c r="F444" s="161"/>
      <c r="G444" s="109"/>
      <c r="H444" s="109"/>
    </row>
    <row r="449" spans="1:10" s="1" customFormat="1" ht="15.9" customHeight="1">
      <c r="A449" s="109"/>
      <c r="B449"/>
      <c r="C449"/>
      <c r="D449" s="81"/>
      <c r="E449"/>
      <c r="F449"/>
      <c r="G449"/>
      <c r="H449"/>
      <c r="I449" s="24"/>
      <c r="J449" s="24"/>
    </row>
    <row r="450" spans="1:10" s="1" customFormat="1" ht="15.9" customHeight="1">
      <c r="A450" s="109"/>
      <c r="B450" s="33"/>
      <c r="C450" s="33"/>
      <c r="D450" s="161"/>
      <c r="E450" s="109"/>
      <c r="F450" s="161"/>
      <c r="G450" s="109"/>
      <c r="H450" s="109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44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161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3"/>
      <c r="D455" s="161"/>
      <c r="E455" s="109"/>
      <c r="F455" s="161"/>
      <c r="G455" s="109"/>
      <c r="H455" s="109"/>
      <c r="I455" s="109"/>
      <c r="J455" s="24"/>
    </row>
    <row r="456" spans="1:10" s="1" customFormat="1" ht="15.9" customHeight="1">
      <c r="A456" s="109"/>
      <c r="B456" s="33"/>
      <c r="C456" s="161"/>
      <c r="D456" s="161"/>
      <c r="E456" s="109"/>
      <c r="F456" s="161"/>
      <c r="G456" s="109"/>
      <c r="H456" s="109"/>
      <c r="I456" s="24"/>
      <c r="J456" s="24"/>
    </row>
    <row r="457" spans="1:10" s="1" customFormat="1" ht="15.9" customHeight="1">
      <c r="A457" s="109"/>
      <c r="B457" s="33"/>
      <c r="C457" s="33"/>
      <c r="D457" s="161"/>
      <c r="E457" s="109"/>
      <c r="F457" s="109"/>
      <c r="G457" s="109"/>
      <c r="H457" s="109"/>
      <c r="I457" s="24"/>
      <c r="J457" s="24"/>
    </row>
    <row r="458" spans="1:10" s="1" customFormat="1" ht="15" customHeight="1">
      <c r="A458" s="109"/>
      <c r="B458" s="33"/>
      <c r="C458" s="33"/>
      <c r="D458" s="161"/>
      <c r="E458" s="109"/>
      <c r="F458" s="109"/>
      <c r="G458" s="109"/>
      <c r="H458" s="107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9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23" customFormat="1" ht="15.9" customHeight="1">
      <c r="A476" s="109"/>
      <c r="B476" s="33"/>
      <c r="C476" s="33"/>
      <c r="D476" s="161"/>
      <c r="E476" s="109"/>
      <c r="F476" s="109"/>
      <c r="G476" s="109"/>
      <c r="H476" s="109"/>
      <c r="I476" s="109"/>
      <c r="J476" s="109"/>
    </row>
    <row r="477" spans="1:10" s="1" customFormat="1" ht="15.9" customHeight="1">
      <c r="A477" s="44"/>
      <c r="B477" s="33"/>
      <c r="C477" s="33"/>
      <c r="D477" s="161"/>
      <c r="E477" s="109"/>
      <c r="F477" s="109"/>
      <c r="G477" s="109"/>
      <c r="H477" s="109"/>
      <c r="I477" s="44"/>
      <c r="J477" s="119"/>
    </row>
    <row r="478" spans="1:10" s="1" customFormat="1" ht="15.9" customHeight="1">
      <c r="A478" s="40"/>
      <c r="B478" s="44"/>
      <c r="C478" s="44"/>
      <c r="D478" s="84"/>
      <c r="E478" s="44"/>
      <c r="F478" s="44"/>
      <c r="G478" s="44"/>
      <c r="H478" s="44"/>
      <c r="I478" s="32"/>
      <c r="J478" s="40"/>
    </row>
    <row r="479" spans="1:10" s="1" customFormat="1" ht="15.9" customHeight="1">
      <c r="A479" s="27"/>
      <c r="B479" s="40"/>
      <c r="C479" s="44"/>
      <c r="D479" s="85"/>
      <c r="E479" s="40"/>
      <c r="F479" s="32"/>
      <c r="G479" s="40"/>
      <c r="H479" s="32"/>
      <c r="I479" s="24"/>
      <c r="J479" s="24"/>
    </row>
    <row r="480" spans="1:10" s="1" customFormat="1" ht="15.9" customHeight="1">
      <c r="A480" s="27"/>
      <c r="B480" s="33"/>
      <c r="C480" s="42"/>
      <c r="D480" s="161"/>
      <c r="E480" s="109"/>
      <c r="F480" s="109"/>
      <c r="G480" s="109"/>
      <c r="H480" s="42"/>
      <c r="I480" s="67"/>
      <c r="J480" s="165"/>
    </row>
    <row r="481" spans="1:10" s="1" customFormat="1" ht="15.9" customHeight="1">
      <c r="A481" s="27"/>
      <c r="B481" s="33"/>
      <c r="C481" s="163"/>
      <c r="D481" s="161"/>
      <c r="E481" s="109"/>
      <c r="F481" s="109"/>
      <c r="G481" s="109"/>
      <c r="H481" s="67"/>
      <c r="I481" s="38"/>
      <c r="J481" s="109"/>
    </row>
    <row r="482" spans="1:10" s="1" customFormat="1" ht="15.9" customHeight="1">
      <c r="A482" s="27"/>
      <c r="B482" s="33"/>
      <c r="C482" s="161"/>
      <c r="D482" s="161"/>
      <c r="E482" s="109"/>
      <c r="F482" s="109"/>
      <c r="G482" s="109"/>
      <c r="H482" s="38"/>
      <c r="I482" s="24"/>
      <c r="J482" s="24"/>
    </row>
    <row r="483" spans="1:10" s="1" customFormat="1" ht="15.9" customHeight="1">
      <c r="A483" s="27"/>
      <c r="B483" s="33"/>
      <c r="C483" s="33"/>
      <c r="D483" s="161"/>
      <c r="E483" s="109"/>
      <c r="F483" s="109"/>
      <c r="G483" s="109"/>
      <c r="H483" s="109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46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161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33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B492" s="33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D494" s="161"/>
      <c r="E494" s="109"/>
      <c r="F494" s="109"/>
      <c r="G494" s="33"/>
      <c r="H494" s="33"/>
      <c r="I494" s="24"/>
      <c r="J494" s="24"/>
    </row>
    <row r="495" spans="1:10" s="1" customFormat="1" ht="15.9" customHeight="1">
      <c r="A495" s="27"/>
      <c r="B495" s="33"/>
      <c r="C495" s="33"/>
      <c r="D495" s="161"/>
      <c r="E495" s="109"/>
      <c r="F495" s="109"/>
      <c r="G495" s="109"/>
      <c r="H495" s="109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42"/>
      <c r="I498" s="67"/>
      <c r="J498" s="165"/>
    </row>
    <row r="499" spans="1:10" s="1" customFormat="1" ht="15.9" customHeight="1">
      <c r="A499" s="27"/>
      <c r="B499" s="33"/>
      <c r="C499" s="47"/>
      <c r="D499" s="161"/>
      <c r="E499" s="109"/>
      <c r="F499" s="109"/>
      <c r="G499" s="109"/>
      <c r="H499" s="67"/>
      <c r="I499" s="38"/>
      <c r="J499" s="109"/>
    </row>
    <row r="500" spans="1:10" s="1" customFormat="1" ht="15.9" customHeight="1">
      <c r="A500" s="27"/>
      <c r="B500" s="33"/>
      <c r="C500" s="46"/>
      <c r="D500" s="161"/>
      <c r="E500" s="109"/>
      <c r="F500" s="109"/>
      <c r="G500" s="109"/>
      <c r="H500" s="38"/>
      <c r="I500" s="24"/>
      <c r="J500" s="24"/>
    </row>
    <row r="501" spans="1:10" s="1" customFormat="1" ht="15.9" customHeight="1">
      <c r="A501" s="27"/>
      <c r="B501" s="33"/>
      <c r="C501" s="161"/>
      <c r="D501" s="161"/>
      <c r="E501" s="109"/>
      <c r="F501" s="109"/>
      <c r="G501" s="109"/>
      <c r="H501" s="42"/>
      <c r="I501" s="67"/>
      <c r="J501" s="165"/>
    </row>
    <row r="502" spans="1:10" s="1" customFormat="1" ht="15.9" customHeight="1">
      <c r="A502" s="27"/>
      <c r="B502" s="33"/>
      <c r="C502" s="33"/>
      <c r="D502" s="161"/>
      <c r="E502" s="109"/>
      <c r="F502" s="109"/>
      <c r="G502" s="109"/>
      <c r="H502" s="67"/>
      <c r="I502" s="38"/>
      <c r="J502" s="109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38"/>
      <c r="I503" s="24"/>
      <c r="J503" s="24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109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109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43"/>
      <c r="J512" s="107"/>
    </row>
    <row r="513" spans="1:15" s="1" customFormat="1" ht="15.9" customHeight="1">
      <c r="A513" s="27"/>
      <c r="B513" s="33"/>
      <c r="C513" s="33"/>
      <c r="D513" s="161"/>
      <c r="E513" s="109"/>
      <c r="F513" s="109"/>
      <c r="G513" s="109"/>
      <c r="H513" s="66"/>
      <c r="I513" s="38"/>
      <c r="J513" s="109"/>
    </row>
    <row r="514" spans="1:15" s="1" customFormat="1" ht="15.9" customHeight="1">
      <c r="A514" s="44"/>
      <c r="B514" s="44"/>
      <c r="C514" s="44"/>
      <c r="D514" s="84"/>
      <c r="E514" s="44"/>
      <c r="F514" s="44"/>
      <c r="G514" s="44"/>
      <c r="H514" s="44"/>
      <c r="I514" s="44"/>
      <c r="J514" s="119"/>
    </row>
    <row r="515" spans="1:15" s="1" customFormat="1" ht="15.9" customHeight="1">
      <c r="B515" s="44"/>
      <c r="C515" s="44"/>
      <c r="D515" s="84"/>
      <c r="E515" s="44"/>
      <c r="F515" s="44"/>
      <c r="G515" s="44"/>
      <c r="H515" s="44"/>
    </row>
    <row r="516" spans="1:15" s="1" customFormat="1" ht="15.9" customHeight="1" thickBot="1"/>
    <row r="517" spans="1:15" s="1" customFormat="1" ht="24.9" customHeight="1" thickBot="1">
      <c r="A517" s="502" t="s">
        <v>401</v>
      </c>
      <c r="B517" s="503"/>
      <c r="C517" s="503"/>
      <c r="D517" s="503"/>
      <c r="E517" s="503"/>
      <c r="F517" s="503"/>
      <c r="G517" s="503"/>
      <c r="H517" s="503"/>
      <c r="I517" s="503"/>
      <c r="J517" s="504"/>
    </row>
    <row r="518" spans="1:15" s="1" customFormat="1" ht="35.1" customHeight="1" thickBot="1">
      <c r="A518" s="102" t="s">
        <v>2</v>
      </c>
      <c r="B518" s="103" t="s">
        <v>3</v>
      </c>
      <c r="C518" s="103" t="s">
        <v>3</v>
      </c>
      <c r="D518" s="104" t="s">
        <v>35</v>
      </c>
      <c r="E518" s="103" t="s">
        <v>5</v>
      </c>
      <c r="F518" s="339" t="s">
        <v>27</v>
      </c>
      <c r="G518" s="305"/>
      <c r="H518" s="104" t="s">
        <v>27</v>
      </c>
      <c r="I518" s="104" t="s">
        <v>26</v>
      </c>
      <c r="J518" s="115" t="s">
        <v>6</v>
      </c>
      <c r="N518" s="249" t="s">
        <v>3</v>
      </c>
      <c r="O518" s="249" t="s">
        <v>3</v>
      </c>
    </row>
    <row r="519" spans="1:15" s="1" customFormat="1" ht="15.9" customHeight="1">
      <c r="A519" s="123">
        <f>IF(C519="","",1)</f>
        <v>1</v>
      </c>
      <c r="B519" s="121" t="str">
        <f>IF($D$127=5,N519,IF($D$127=6,N520,IF($D$127=8,N521,IF($D$127=10,N522,IF($D$127=12,N523,IF($D$127=14,N524,IF($D$127=18,N525,IF($D$127=20,N526,IF($D$127=22,N527,)))))))))</f>
        <v>กระจก 6 mm (สูง) (กว้าง)</v>
      </c>
      <c r="C519" s="121" t="str">
        <f>IF($D$127=5,O519,IF($D$127=6,O520,IF($D$127=8,O521,IF($D$127=10,O522,IF($D$127=12,O523,IF($D$127=14,O524,IF($D$127=18,O525,IF($D$127=20,O526,IF($D$127=22,O527,)))))))))</f>
        <v>GLASS thk.6 mm (H) (W)</v>
      </c>
      <c r="D519" s="124">
        <f>$J$123-215</f>
        <v>2485</v>
      </c>
      <c r="E519" s="123" t="s">
        <v>11</v>
      </c>
      <c r="F519" s="527" t="s">
        <v>271</v>
      </c>
      <c r="G519" s="528"/>
      <c r="H519" s="123" t="s">
        <v>406</v>
      </c>
      <c r="I519" s="124">
        <f>(($J$126-185-(113.25*4))/5)-13</f>
        <v>409.4</v>
      </c>
      <c r="J519" s="151">
        <f>$J$120*5</f>
        <v>5</v>
      </c>
      <c r="M519" s="1">
        <f>ROW()</f>
        <v>519</v>
      </c>
      <c r="N519" s="19" t="s">
        <v>194</v>
      </c>
      <c r="O519" s="19" t="s">
        <v>195</v>
      </c>
    </row>
    <row r="520" spans="1:15" s="1" customFormat="1" ht="15.9" customHeight="1">
      <c r="A520" s="346"/>
      <c r="B520" s="295"/>
      <c r="C520" s="295"/>
      <c r="D520" s="296"/>
      <c r="E520" s="238"/>
      <c r="F520" s="251"/>
      <c r="G520" s="297"/>
      <c r="H520" s="238"/>
      <c r="I520" s="298"/>
      <c r="J520" s="299"/>
      <c r="M520" s="1">
        <f>ROW()</f>
        <v>520</v>
      </c>
      <c r="N520" s="19" t="s">
        <v>53</v>
      </c>
      <c r="O520" s="19" t="s">
        <v>54</v>
      </c>
    </row>
    <row r="521" spans="1:15" s="1" customFormat="1" ht="15.9" customHeight="1">
      <c r="A521" s="346"/>
      <c r="B521" s="295"/>
      <c r="C521" s="295"/>
      <c r="D521" s="296"/>
      <c r="E521" s="238"/>
      <c r="F521" s="251"/>
      <c r="G521" s="297"/>
      <c r="H521" s="238"/>
      <c r="I521" s="298"/>
      <c r="J521" s="299"/>
      <c r="M521" s="1">
        <f>ROW()</f>
        <v>521</v>
      </c>
      <c r="N521" s="19" t="s">
        <v>257</v>
      </c>
      <c r="O521" s="19" t="s">
        <v>258</v>
      </c>
    </row>
    <row r="522" spans="1:15" s="1" customFormat="1" ht="15.9" customHeight="1">
      <c r="A522" s="129" t="str">
        <f>IF(B522="","",+#REF!+1)</f>
        <v/>
      </c>
      <c r="B522" s="127"/>
      <c r="C522" s="127"/>
      <c r="D522" s="128"/>
      <c r="E522" s="129"/>
      <c r="F522" s="155"/>
      <c r="G522" s="157"/>
      <c r="H522" s="129"/>
      <c r="I522" s="144"/>
      <c r="J522" s="130"/>
      <c r="M522" s="1">
        <f>ROW()</f>
        <v>522</v>
      </c>
      <c r="N522" s="19" t="s">
        <v>259</v>
      </c>
      <c r="O522" s="19" t="s">
        <v>265</v>
      </c>
    </row>
    <row r="523" spans="1:15" s="1" customFormat="1" ht="15.9" customHeight="1">
      <c r="A523" s="135" t="str">
        <f>IF(B523="","",+A522+1)</f>
        <v/>
      </c>
      <c r="B523" s="133"/>
      <c r="C523" s="133"/>
      <c r="D523" s="134"/>
      <c r="E523" s="135"/>
      <c r="F523" s="158"/>
      <c r="G523" s="159"/>
      <c r="H523" s="135"/>
      <c r="I523" s="145"/>
      <c r="J523" s="136"/>
      <c r="M523" s="1">
        <f>ROW()</f>
        <v>523</v>
      </c>
      <c r="N523" s="19" t="s">
        <v>260</v>
      </c>
      <c r="O523" s="19" t="s">
        <v>266</v>
      </c>
    </row>
    <row r="524" spans="1:15" s="1" customFormat="1" ht="15.9" customHeight="1">
      <c r="A524" s="17"/>
      <c r="B524" s="56"/>
      <c r="C524" s="56"/>
      <c r="D524" s="30"/>
      <c r="E524" s="17"/>
      <c r="F524" s="17"/>
      <c r="G524" s="17"/>
      <c r="H524" s="109"/>
      <c r="I524" s="109"/>
      <c r="J524" s="24"/>
      <c r="M524" s="1">
        <f>ROW()</f>
        <v>524</v>
      </c>
      <c r="N524" s="19" t="s">
        <v>261</v>
      </c>
      <c r="O524" s="19" t="s">
        <v>267</v>
      </c>
    </row>
    <row r="525" spans="1:15">
      <c r="H525" s="294"/>
      <c r="I525" s="294"/>
      <c r="J525" s="99" t="str">
        <f>LEFT($J$111,11)&amp;"-05"</f>
        <v>FG-240-5P5R-05</v>
      </c>
      <c r="M525" s="1">
        <f>ROW()</f>
        <v>525</v>
      </c>
      <c r="N525" s="19" t="s">
        <v>262</v>
      </c>
      <c r="O525" s="19" t="s">
        <v>268</v>
      </c>
    </row>
    <row r="526" spans="1:15">
      <c r="M526" s="1">
        <f>ROW()</f>
        <v>526</v>
      </c>
      <c r="N526" s="19" t="s">
        <v>263</v>
      </c>
      <c r="O526" s="19" t="s">
        <v>269</v>
      </c>
    </row>
    <row r="527" spans="1:15">
      <c r="M527" s="1">
        <f>ROW()</f>
        <v>527</v>
      </c>
      <c r="N527" s="19" t="s">
        <v>264</v>
      </c>
      <c r="O527" s="19" t="s">
        <v>270</v>
      </c>
    </row>
  </sheetData>
  <dataConsolidate function="product">
    <dataRefs count="1">
      <dataRef ref="O154:O162" sheet="240_2Panel(L)" r:id="rId1"/>
    </dataRefs>
  </dataConsolidate>
  <mergeCells count="43">
    <mergeCell ref="A6:J6"/>
    <mergeCell ref="H120:I121"/>
    <mergeCell ref="J120:J121"/>
    <mergeCell ref="A117:J117"/>
    <mergeCell ref="D121:G121"/>
    <mergeCell ref="D119:G119"/>
    <mergeCell ref="I157:J157"/>
    <mergeCell ref="H123:I124"/>
    <mergeCell ref="J123:J124"/>
    <mergeCell ref="A125:B125"/>
    <mergeCell ref="H126:I127"/>
    <mergeCell ref="J126:J127"/>
    <mergeCell ref="D127:G127"/>
    <mergeCell ref="A131:J131"/>
    <mergeCell ref="I154:J154"/>
    <mergeCell ref="I155:J155"/>
    <mergeCell ref="I156:J156"/>
    <mergeCell ref="D123:G123"/>
    <mergeCell ref="D125:G125"/>
    <mergeCell ref="D129:G129"/>
    <mergeCell ref="I162:J165"/>
    <mergeCell ref="I166:J167"/>
    <mergeCell ref="D161:D162"/>
    <mergeCell ref="D163:D167"/>
    <mergeCell ref="D168:D169"/>
    <mergeCell ref="H163:H167"/>
    <mergeCell ref="H161:H162"/>
    <mergeCell ref="H168:H169"/>
    <mergeCell ref="I158:J158"/>
    <mergeCell ref="D159:D160"/>
    <mergeCell ref="H159:H160"/>
    <mergeCell ref="I159:J160"/>
    <mergeCell ref="I161:J161"/>
    <mergeCell ref="A319:J319"/>
    <mergeCell ref="I168:J168"/>
    <mergeCell ref="A170:J170"/>
    <mergeCell ref="A212:J212"/>
    <mergeCell ref="F519:G519"/>
    <mergeCell ref="F329:G329"/>
    <mergeCell ref="F330:G330"/>
    <mergeCell ref="F333:G333"/>
    <mergeCell ref="A517:J517"/>
    <mergeCell ref="A426:J426"/>
  </mergeCells>
  <dataValidations count="4">
    <dataValidation type="list" allowBlank="1" showInputMessage="1" showErrorMessage="1" sqref="D127:G127">
      <formula1>$N$120:$N$128</formula1>
    </dataValidation>
    <dataValidation type="list" allowBlank="1" showInputMessage="1" showErrorMessage="1" sqref="C205">
      <formula1>$O$172:$O$190</formula1>
    </dataValidation>
    <dataValidation type="list" allowBlank="1" showInputMessage="1" showErrorMessage="1" sqref="D129:G129">
      <formula1>$O$120</formula1>
    </dataValidation>
    <dataValidation type="list" allowBlank="1" showInputMessage="1" showErrorMessage="1" sqref="D123:G123">
      <formula1>$P$119:$P$128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6" max="9" man="1"/>
    <brk id="313" max="16383" man="1"/>
    <brk id="420" max="9" man="1"/>
  </rowBreaks>
  <drawing r:id="rId3"/>
  <legacyDrawing r:id="rId4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>
    <tabColor theme="5" tint="-0.249977111117893"/>
  </sheetPr>
  <dimension ref="A1:X529"/>
  <sheetViews>
    <sheetView showGridLines="0" view="pageBreakPreview" topLeftCell="A175" zoomScale="75" zoomScaleNormal="75" zoomScaleSheetLayoutView="75" workbookViewId="0">
      <selection activeCell="D187" sqref="D187"/>
    </sheetView>
  </sheetViews>
  <sheetFormatPr defaultRowHeight="14.4" outlineLevelRow="1" outlineLevelCol="1"/>
  <cols>
    <col min="1" max="1" width="7" customWidth="1"/>
    <col min="2" max="2" width="40.6640625" customWidth="1"/>
    <col min="3" max="3" width="61.3320312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7.6640625" customWidth="1"/>
    <col min="9" max="9" width="11.109375" bestFit="1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41.554687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3.4414062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05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05"/>
      <c r="E3" s="205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154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>
      <c r="G45" s="10"/>
    </row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/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340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05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05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5.6">
      <c r="A118" s="12"/>
      <c r="C118" s="8"/>
      <c r="D118" s="15"/>
      <c r="E118" s="13"/>
      <c r="J118" s="204"/>
      <c r="K118" s="11"/>
      <c r="L118" s="56"/>
      <c r="M118" s="56"/>
      <c r="N118" s="56"/>
    </row>
    <row r="119" spans="1:16" s="1" customFormat="1" ht="15" customHeight="1">
      <c r="A119" s="12"/>
      <c r="C119" s="110" t="s">
        <v>635</v>
      </c>
      <c r="D119" s="524"/>
      <c r="E119" s="525"/>
      <c r="F119" s="525"/>
      <c r="G119" s="526"/>
      <c r="I119" s="16"/>
      <c r="J119" s="12"/>
      <c r="N119" s="243" t="s">
        <v>191</v>
      </c>
      <c r="O119" s="12" t="s">
        <v>227</v>
      </c>
      <c r="P119" s="247" t="s">
        <v>16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4">
        <v>5</v>
      </c>
      <c r="O120" s="12" t="s">
        <v>243</v>
      </c>
      <c r="P120" s="335" t="s">
        <v>389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6</v>
      </c>
      <c r="O121" s="12" t="s">
        <v>244</v>
      </c>
      <c r="P121" s="336" t="s">
        <v>390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8</v>
      </c>
      <c r="P122" s="336" t="s">
        <v>391</v>
      </c>
    </row>
    <row r="123" spans="1:16" s="1" customFormat="1" ht="15" customHeight="1">
      <c r="A123" s="12"/>
      <c r="C123" s="110" t="s">
        <v>629</v>
      </c>
      <c r="D123" s="524" t="s">
        <v>15</v>
      </c>
      <c r="E123" s="525"/>
      <c r="F123" s="525"/>
      <c r="G123" s="526"/>
      <c r="H123" s="519" t="s">
        <v>638</v>
      </c>
      <c r="I123" s="520"/>
      <c r="J123" s="517">
        <v>2400</v>
      </c>
      <c r="N123" s="245">
        <v>10</v>
      </c>
      <c r="P123" s="336" t="s">
        <v>392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12</v>
      </c>
      <c r="P124" s="335" t="s">
        <v>393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202"/>
      <c r="L125" s="77"/>
      <c r="N125" s="245">
        <v>14</v>
      </c>
      <c r="P125" s="335" t="s">
        <v>394</v>
      </c>
    </row>
    <row r="126" spans="1:16" s="1" customFormat="1" ht="15" customHeight="1">
      <c r="A126" s="204"/>
      <c r="B126" s="204"/>
      <c r="C126" s="423" t="s">
        <v>631</v>
      </c>
      <c r="D126" s="15"/>
      <c r="H126" s="519" t="s">
        <v>639</v>
      </c>
      <c r="I126" s="520"/>
      <c r="J126" s="517">
        <v>3900</v>
      </c>
      <c r="K126" s="202"/>
      <c r="L126" s="77"/>
      <c r="N126" s="245">
        <v>18</v>
      </c>
      <c r="P126" s="335" t="s">
        <v>395</v>
      </c>
    </row>
    <row r="127" spans="1:16" s="1" customFormat="1" ht="15" customHeight="1">
      <c r="A127" s="204"/>
      <c r="B127" s="204"/>
      <c r="C127" s="110" t="s">
        <v>633</v>
      </c>
      <c r="D127" s="534">
        <v>5</v>
      </c>
      <c r="E127" s="535"/>
      <c r="F127" s="535"/>
      <c r="G127" s="536"/>
      <c r="H127" s="520"/>
      <c r="I127" s="520"/>
      <c r="J127" s="518"/>
      <c r="N127" s="245">
        <v>20</v>
      </c>
      <c r="P127" s="335" t="s">
        <v>396</v>
      </c>
    </row>
    <row r="128" spans="1:16" s="1" customFormat="1" ht="18.75" customHeight="1">
      <c r="C128" s="423" t="s">
        <v>632</v>
      </c>
      <c r="I128" s="12"/>
      <c r="J128" s="12"/>
      <c r="N128" s="245">
        <v>22</v>
      </c>
      <c r="P128" s="335" t="s">
        <v>397</v>
      </c>
    </row>
    <row r="129" spans="1:23" s="1" customFormat="1" ht="15" customHeight="1">
      <c r="A129" s="88" t="str">
        <f>A18</f>
        <v>240-6 Panel (1L5R)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3840</v>
      </c>
      <c r="J133" s="125">
        <f t="shared" ref="J133:J153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12</v>
      </c>
      <c r="U133" s="283" t="s">
        <v>298</v>
      </c>
      <c r="V133" s="307">
        <f>($J$126-185-(113.25*5))/6</f>
        <v>524.79166666666663</v>
      </c>
      <c r="W133" s="286">
        <f>$J$121*T133</f>
        <v>0</v>
      </c>
    </row>
    <row r="134" spans="1:23" s="1" customFormat="1" ht="18" customHeight="1">
      <c r="A134" s="143">
        <f t="shared" ref="A134:A152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3814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12</v>
      </c>
      <c r="U134" s="283" t="s">
        <v>298</v>
      </c>
      <c r="V134" s="307">
        <f t="shared" ref="V134:V135" si="2">($J$126-185-(113.25*5))/6</f>
        <v>524.79166666666663</v>
      </c>
      <c r="W134" s="131">
        <f t="shared" ref="W134:W135" si="3">$J$121*T134</f>
        <v>0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3840</v>
      </c>
      <c r="J135" s="131">
        <f t="shared" ref="J135:J139" si="4">$J$120*G135</f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12</v>
      </c>
      <c r="U135" s="283" t="s">
        <v>298</v>
      </c>
      <c r="V135" s="307">
        <f t="shared" si="2"/>
        <v>524.79166666666663</v>
      </c>
      <c r="W135" s="293">
        <f t="shared" si="3"/>
        <v>0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3840</v>
      </c>
      <c r="J136" s="131">
        <f t="shared" si="4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12</v>
      </c>
      <c r="U136" s="283" t="s">
        <v>64</v>
      </c>
      <c r="V136" s="288">
        <f>$J$123-242</f>
        <v>2158</v>
      </c>
      <c r="W136" s="286">
        <f>$J$121*T136</f>
        <v>0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2400</v>
      </c>
      <c r="J137" s="131">
        <f t="shared" si="4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12</v>
      </c>
      <c r="U137" s="129" t="s">
        <v>64</v>
      </c>
      <c r="V137" s="130">
        <f>$J$123-242</f>
        <v>2158</v>
      </c>
      <c r="W137" s="131">
        <f t="shared" ref="W137:W138" si="5">$J$121*T137</f>
        <v>0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2400</v>
      </c>
      <c r="J138" s="131">
        <f t="shared" si="4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12</v>
      </c>
      <c r="U138" s="135" t="s">
        <v>64</v>
      </c>
      <c r="V138" s="136">
        <f>$J$123-242</f>
        <v>2158</v>
      </c>
      <c r="W138" s="293">
        <f t="shared" si="5"/>
        <v>0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2304</v>
      </c>
      <c r="J139" s="131">
        <f t="shared" si="4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2304</v>
      </c>
      <c r="J140" s="131">
        <f t="shared" ref="J140" si="6">$J$120*G140</f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6</v>
      </c>
      <c r="H141" s="143" t="s">
        <v>298</v>
      </c>
      <c r="I141" s="178">
        <f>($J$126-185-(113.25*5))/6</f>
        <v>524.79166666666663</v>
      </c>
      <c r="J141" s="131">
        <f t="shared" ref="J141:J149" si="7">$J$120*G141</f>
        <v>6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6</v>
      </c>
      <c r="H142" s="143" t="s">
        <v>298</v>
      </c>
      <c r="I142" s="178">
        <f>($J$126-185-(113.25*5))/6</f>
        <v>524.79166666666663</v>
      </c>
      <c r="J142" s="131">
        <f t="shared" si="7"/>
        <v>6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9</v>
      </c>
      <c r="H143" s="143" t="s">
        <v>63</v>
      </c>
      <c r="I143" s="130">
        <f>$J$123-92</f>
        <v>2308</v>
      </c>
      <c r="J143" s="131">
        <f t="shared" si="7"/>
        <v>9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496</v>
      </c>
      <c r="G144" s="143">
        <v>2</v>
      </c>
      <c r="H144" s="143" t="s">
        <v>63</v>
      </c>
      <c r="I144" s="130">
        <f t="shared" ref="I144:I145" si="8">$J$123-92</f>
        <v>2308</v>
      </c>
      <c r="J144" s="131">
        <f t="shared" si="7"/>
        <v>2</v>
      </c>
      <c r="N144" s="98"/>
    </row>
    <row r="145" spans="1:14" s="1" customFormat="1" ht="18" customHeight="1">
      <c r="A145" s="143">
        <f t="shared" si="1"/>
        <v>13</v>
      </c>
      <c r="B145" s="140" t="s">
        <v>116</v>
      </c>
      <c r="C145" s="140" t="s">
        <v>99</v>
      </c>
      <c r="D145" s="139" t="s">
        <v>50</v>
      </c>
      <c r="E145" s="143">
        <v>1.1060000000000001</v>
      </c>
      <c r="F145" s="139" t="s">
        <v>506</v>
      </c>
      <c r="G145" s="143">
        <v>1</v>
      </c>
      <c r="H145" s="143" t="s">
        <v>63</v>
      </c>
      <c r="I145" s="130">
        <f t="shared" si="8"/>
        <v>2308</v>
      </c>
      <c r="J145" s="131">
        <f t="shared" si="7"/>
        <v>1</v>
      </c>
      <c r="N145" s="98"/>
    </row>
    <row r="146" spans="1:14" s="1" customFormat="1" ht="18" customHeight="1">
      <c r="A146" s="143">
        <f t="shared" si="1"/>
        <v>14</v>
      </c>
      <c r="B146" s="127" t="str">
        <f t="shared" ref="B146:I146" si="9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27" t="str">
        <f t="shared" si="9"/>
        <v>5-6mm GLAZING BEAD HORIZONTAL</v>
      </c>
      <c r="D146" s="127" t="str">
        <f t="shared" si="9"/>
        <v>B24008</v>
      </c>
      <c r="E146" s="127">
        <f t="shared" si="9"/>
        <v>0.23100000000000001</v>
      </c>
      <c r="F146" s="127" t="str">
        <f t="shared" si="9"/>
        <v>B24008-001</v>
      </c>
      <c r="G146" s="129">
        <f t="shared" si="9"/>
        <v>12</v>
      </c>
      <c r="H146" s="129" t="str">
        <f t="shared" si="9"/>
        <v>(W-185-(113.25 × 5))/6</v>
      </c>
      <c r="I146" s="178">
        <f t="shared" si="9"/>
        <v>524.79166666666663</v>
      </c>
      <c r="J146" s="131">
        <f t="shared" si="7"/>
        <v>12</v>
      </c>
      <c r="N146" s="98"/>
    </row>
    <row r="147" spans="1:14" s="1" customFormat="1" ht="18" customHeight="1">
      <c r="A147" s="143">
        <f t="shared" si="1"/>
        <v>15</v>
      </c>
      <c r="B147" s="127" t="str">
        <f t="shared" ref="B147:I147" si="10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27" t="str">
        <f t="shared" si="10"/>
        <v>5-6mm GLAZING BEAD VERTICAL</v>
      </c>
      <c r="D147" s="127" t="str">
        <f t="shared" si="10"/>
        <v>B24008</v>
      </c>
      <c r="E147" s="127">
        <f t="shared" si="10"/>
        <v>0.23100000000000001</v>
      </c>
      <c r="F147" s="127" t="str">
        <f t="shared" si="10"/>
        <v>B24008-002</v>
      </c>
      <c r="G147" s="129">
        <f t="shared" si="10"/>
        <v>12</v>
      </c>
      <c r="H147" s="129" t="str">
        <f t="shared" si="10"/>
        <v>H-242</v>
      </c>
      <c r="I147" s="144">
        <f t="shared" si="10"/>
        <v>2158</v>
      </c>
      <c r="J147" s="131">
        <f t="shared" si="7"/>
        <v>12</v>
      </c>
      <c r="N147" s="98"/>
    </row>
    <row r="148" spans="1:14" s="1" customFormat="1" ht="18" customHeight="1">
      <c r="A148" s="143">
        <f t="shared" si="1"/>
        <v>16</v>
      </c>
      <c r="B148" s="140" t="s">
        <v>125</v>
      </c>
      <c r="C148" s="140" t="s">
        <v>124</v>
      </c>
      <c r="D148" s="139" t="s">
        <v>123</v>
      </c>
      <c r="E148" s="143"/>
      <c r="F148" s="139" t="s">
        <v>362</v>
      </c>
      <c r="G148" s="143">
        <v>1</v>
      </c>
      <c r="H148" s="143" t="s">
        <v>63</v>
      </c>
      <c r="I148" s="130">
        <f>$J$123-92</f>
        <v>2308</v>
      </c>
      <c r="J148" s="131">
        <f t="shared" si="7"/>
        <v>1</v>
      </c>
      <c r="N148" s="98"/>
    </row>
    <row r="149" spans="1:14" s="1" customFormat="1" ht="18" customHeight="1">
      <c r="A149" s="143">
        <f t="shared" si="1"/>
        <v>17</v>
      </c>
      <c r="B149" s="140" t="s">
        <v>125</v>
      </c>
      <c r="C149" s="140" t="s">
        <v>124</v>
      </c>
      <c r="D149" s="139" t="s">
        <v>123</v>
      </c>
      <c r="E149" s="143"/>
      <c r="F149" s="139" t="s">
        <v>363</v>
      </c>
      <c r="G149" s="143">
        <v>1</v>
      </c>
      <c r="H149" s="143" t="s">
        <v>63</v>
      </c>
      <c r="I149" s="130">
        <f>$J$123-92</f>
        <v>2308</v>
      </c>
      <c r="J149" s="131">
        <f t="shared" si="7"/>
        <v>1</v>
      </c>
      <c r="N149" s="98"/>
    </row>
    <row r="150" spans="1:14" s="1" customFormat="1" ht="18" customHeight="1">
      <c r="A150" s="143" t="str">
        <f t="shared" si="1"/>
        <v/>
      </c>
      <c r="B150" s="140"/>
      <c r="C150" s="140"/>
      <c r="D150" s="139"/>
      <c r="E150" s="143"/>
      <c r="F150" s="139"/>
      <c r="G150" s="143"/>
      <c r="H150" s="143"/>
      <c r="I150" s="130"/>
      <c r="J150" s="131"/>
      <c r="N150" s="98"/>
    </row>
    <row r="151" spans="1:14" s="1" customFormat="1" ht="18" customHeight="1">
      <c r="A151" s="143" t="str">
        <f t="shared" si="1"/>
        <v/>
      </c>
      <c r="B151" s="127"/>
      <c r="C151" s="127"/>
      <c r="D151" s="128"/>
      <c r="E151" s="129"/>
      <c r="F151" s="128"/>
      <c r="G151" s="129"/>
      <c r="H151" s="129"/>
      <c r="I151" s="144"/>
      <c r="J151" s="131">
        <f t="shared" si="0"/>
        <v>0</v>
      </c>
      <c r="N151" s="98"/>
    </row>
    <row r="152" spans="1:14" s="1" customFormat="1" ht="18" customHeight="1">
      <c r="A152" s="143" t="str">
        <f t="shared" si="1"/>
        <v/>
      </c>
      <c r="B152" s="167"/>
      <c r="C152" s="167"/>
      <c r="D152" s="168"/>
      <c r="E152" s="166"/>
      <c r="F152" s="168"/>
      <c r="G152" s="166"/>
      <c r="H152" s="166"/>
      <c r="I152" s="316"/>
      <c r="J152" s="304"/>
      <c r="N152" s="98"/>
    </row>
    <row r="153" spans="1:14" s="1" customFormat="1" ht="18" customHeight="1" thickBot="1">
      <c r="A153" s="143" t="str">
        <f>IF(B153="","",+A151+1)</f>
        <v/>
      </c>
      <c r="B153" s="167"/>
      <c r="C153" s="167"/>
      <c r="D153" s="168"/>
      <c r="E153" s="166"/>
      <c r="F153" s="168"/>
      <c r="G153" s="166"/>
      <c r="H153" s="166"/>
      <c r="I153" s="171"/>
      <c r="J153" s="172">
        <f t="shared" si="0"/>
        <v>0</v>
      </c>
    </row>
    <row r="154" spans="1:14" s="1" customFormat="1" ht="27" outlineLevel="1" thickBot="1">
      <c r="A154" s="169" t="s">
        <v>2</v>
      </c>
      <c r="B154" s="169" t="s">
        <v>29</v>
      </c>
      <c r="C154" s="169" t="s">
        <v>3</v>
      </c>
      <c r="D154" s="169" t="s">
        <v>4</v>
      </c>
      <c r="E154" s="169" t="s">
        <v>5</v>
      </c>
      <c r="F154" s="177" t="s">
        <v>85</v>
      </c>
      <c r="G154" s="169" t="s">
        <v>22</v>
      </c>
      <c r="H154" s="170" t="s">
        <v>23</v>
      </c>
      <c r="I154" s="540"/>
      <c r="J154" s="541"/>
    </row>
    <row r="155" spans="1:14" s="1" customFormat="1" ht="15" customHeight="1" outlineLevel="1">
      <c r="A155" s="21">
        <f>IF(B155="","",1)</f>
        <v>1</v>
      </c>
      <c r="B155" s="173" t="str">
        <f t="shared" ref="B155:C161" si="11">B133</f>
        <v>เฟรมบน</v>
      </c>
      <c r="C155" s="173" t="str">
        <f t="shared" si="11"/>
        <v>HEAD</v>
      </c>
      <c r="D155" s="174" t="str">
        <f>VLOOKUP(C155,$C$133:$H$153,2,0)</f>
        <v>B24001</v>
      </c>
      <c r="E155" s="175">
        <f t="shared" ref="E155:E161" si="12">VLOOKUP(C155,$C$133:$H$153,3,0)</f>
        <v>1.603</v>
      </c>
      <c r="F155" s="353">
        <f>VLOOKUP(C155,$C$133:$J$153,7,0)</f>
        <v>3840</v>
      </c>
      <c r="G155" s="175">
        <f t="shared" ref="G155:G161" si="13">VLOOKUP(C155,$C$133:$J$153,8,0)</f>
        <v>1</v>
      </c>
      <c r="H155" s="191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ref="A156:A161" si="14">IF(B156="","",+A155+1)</f>
        <v>2</v>
      </c>
      <c r="B156" s="173" t="str">
        <f t="shared" si="11"/>
        <v>บังใบบน</v>
      </c>
      <c r="C156" s="173" t="str">
        <f t="shared" si="11"/>
        <v>DOOR STOP HEAD</v>
      </c>
      <c r="D156" s="174" t="str">
        <f>VLOOKUP(C156,$C$133:$H$153,2,0)</f>
        <v>B24002</v>
      </c>
      <c r="E156" s="175">
        <f t="shared" si="12"/>
        <v>0.27800000000000002</v>
      </c>
      <c r="F156" s="353">
        <f t="shared" ref="F156:F161" si="15">VLOOKUP(C156,$C$133:$I$153,7,0)</f>
        <v>3814</v>
      </c>
      <c r="G156" s="175">
        <f t="shared" si="13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si="14"/>
        <v>3</v>
      </c>
      <c r="B157" s="173" t="str">
        <f t="shared" si="11"/>
        <v xml:space="preserve">เฟรมล่าง </v>
      </c>
      <c r="C157" s="173" t="str">
        <f t="shared" si="11"/>
        <v>SILL</v>
      </c>
      <c r="D157" s="174" t="str">
        <f>VLOOKUP(C157,$C$133:$H$153,2,0)</f>
        <v>B24003</v>
      </c>
      <c r="E157" s="175">
        <f t="shared" si="12"/>
        <v>1.603</v>
      </c>
      <c r="F157" s="353">
        <f t="shared" si="15"/>
        <v>3840</v>
      </c>
      <c r="G157" s="175">
        <f t="shared" si="13"/>
        <v>1</v>
      </c>
      <c r="H157" s="192">
        <f t="shared" ref="H157:H158" si="16">ROUNDUP((F157*G157)/6400,0)</f>
        <v>1</v>
      </c>
      <c r="I157" s="501"/>
      <c r="J157" s="501"/>
    </row>
    <row r="158" spans="1:14" s="1" customFormat="1" ht="15" customHeight="1" outlineLevel="1">
      <c r="A158" s="18">
        <f t="shared" si="14"/>
        <v>4</v>
      </c>
      <c r="B158" s="173" t="str">
        <f t="shared" si="11"/>
        <v>ตัวตับธรณี</v>
      </c>
      <c r="C158" s="173" t="str">
        <f t="shared" si="11"/>
        <v>DOOR STOP SILL</v>
      </c>
      <c r="D158" s="174" t="str">
        <f>VLOOKUP(C158,$C$133:$H$153,2,0)</f>
        <v>B24004</v>
      </c>
      <c r="E158" s="175">
        <f t="shared" si="12"/>
        <v>0.51600000000000001</v>
      </c>
      <c r="F158" s="353">
        <f t="shared" si="15"/>
        <v>3840</v>
      </c>
      <c r="G158" s="175">
        <f t="shared" si="13"/>
        <v>1</v>
      </c>
      <c r="H158" s="192">
        <f t="shared" si="16"/>
        <v>1</v>
      </c>
      <c r="I158" s="501"/>
      <c r="J158" s="501"/>
    </row>
    <row r="159" spans="1:14" s="1" customFormat="1" ht="15" customHeight="1" outlineLevel="1">
      <c r="A159" s="18">
        <f t="shared" si="14"/>
        <v>5</v>
      </c>
      <c r="B159" s="173" t="str">
        <f t="shared" si="11"/>
        <v>เฟรมข้าง (ซ้าย)</v>
      </c>
      <c r="C159" s="173" t="str">
        <f t="shared" si="11"/>
        <v>JAMB (L)</v>
      </c>
      <c r="D159" s="508" t="str">
        <f>VLOOKUP(C159,$C$133:$H$153,2,0)</f>
        <v>B24005</v>
      </c>
      <c r="E159" s="175">
        <f t="shared" si="12"/>
        <v>0.89300000000000002</v>
      </c>
      <c r="F159" s="353">
        <f t="shared" si="15"/>
        <v>2400</v>
      </c>
      <c r="G159" s="175">
        <f t="shared" si="13"/>
        <v>1</v>
      </c>
      <c r="H159" s="516">
        <f>ROUNDUP(((F159*G159)+(F160*G160))/6400,0)</f>
        <v>1</v>
      </c>
      <c r="I159" s="506"/>
      <c r="J159" s="506"/>
    </row>
    <row r="160" spans="1:14" s="1" customFormat="1" ht="15" customHeight="1" outlineLevel="1">
      <c r="A160" s="18">
        <f t="shared" si="14"/>
        <v>6</v>
      </c>
      <c r="B160" s="173" t="str">
        <f t="shared" si="11"/>
        <v>เฟรมข้าง (ขวา)</v>
      </c>
      <c r="C160" s="173" t="str">
        <f t="shared" si="11"/>
        <v>JAMB (R)</v>
      </c>
      <c r="D160" s="509"/>
      <c r="E160" s="175">
        <f t="shared" si="12"/>
        <v>0.89300000000000002</v>
      </c>
      <c r="F160" s="353">
        <f t="shared" si="15"/>
        <v>2400</v>
      </c>
      <c r="G160" s="175">
        <f t="shared" si="13"/>
        <v>1</v>
      </c>
      <c r="H160" s="516"/>
      <c r="I160" s="506"/>
      <c r="J160" s="506"/>
    </row>
    <row r="161" spans="1:23" s="1" customFormat="1" ht="15" customHeight="1" outlineLevel="1">
      <c r="A161" s="18">
        <f t="shared" si="14"/>
        <v>7</v>
      </c>
      <c r="B161" s="173" t="str">
        <f t="shared" si="11"/>
        <v>บังใบข้าง (ซ้าย)</v>
      </c>
      <c r="C161" s="173" t="str">
        <f t="shared" si="11"/>
        <v>DOOR STOP JAMB (L)</v>
      </c>
      <c r="D161" s="508" t="str">
        <f>VLOOKUP(C161,$C$133:$H$153,2,0)</f>
        <v>B24006</v>
      </c>
      <c r="E161" s="175">
        <f t="shared" si="12"/>
        <v>0.23499999999999999</v>
      </c>
      <c r="F161" s="353">
        <f t="shared" si="15"/>
        <v>2304</v>
      </c>
      <c r="G161" s="175">
        <f t="shared" si="13"/>
        <v>1</v>
      </c>
      <c r="H161" s="516">
        <f>ROUNDUP(((F161*G161)+(F162*G162))/6400,0)</f>
        <v>1</v>
      </c>
      <c r="I161" s="501"/>
      <c r="J161" s="501"/>
    </row>
    <row r="162" spans="1:23" s="1" customFormat="1" ht="15" customHeight="1" outlineLevel="1">
      <c r="A162" s="18">
        <f t="shared" ref="A162:A171" si="17">IF(B162="","",+A161+1)</f>
        <v>8</v>
      </c>
      <c r="B162" s="173" t="str">
        <f t="shared" ref="B162:C162" si="18">B140</f>
        <v>บังใบข้าง (ขวา)</v>
      </c>
      <c r="C162" s="173" t="str">
        <f t="shared" si="18"/>
        <v>DOOR STOP JAMB (R)</v>
      </c>
      <c r="D162" s="509"/>
      <c r="E162" s="175">
        <f t="shared" ref="E162:E171" si="19">VLOOKUP(C162,$C$133:$H$153,3,0)</f>
        <v>0.23499999999999999</v>
      </c>
      <c r="F162" s="353">
        <f t="shared" ref="F162:F171" si="20">VLOOKUP(C162,$C$133:$I$153,7,0)</f>
        <v>2304</v>
      </c>
      <c r="G162" s="175">
        <f t="shared" ref="G162:G171" si="21">VLOOKUP(C162,$C$133:$J$153,8,0)</f>
        <v>1</v>
      </c>
      <c r="H162" s="516"/>
      <c r="I162" s="506"/>
      <c r="J162" s="506"/>
    </row>
    <row r="163" spans="1:23" s="1" customFormat="1" ht="13.8" outlineLevel="1">
      <c r="A163" s="18">
        <f t="shared" si="17"/>
        <v>9</v>
      </c>
      <c r="B163" s="173" t="str">
        <f t="shared" ref="B163:C163" si="22">B141</f>
        <v>ขวางบน</v>
      </c>
      <c r="C163" s="173" t="str">
        <f t="shared" si="22"/>
        <v>SASH (Hor) (T)</v>
      </c>
      <c r="D163" s="508" t="str">
        <f t="shared" ref="D163:D170" si="23">VLOOKUP(C163,$C$133:$H$153,2,0)</f>
        <v>B24007</v>
      </c>
      <c r="E163" s="175">
        <f t="shared" si="19"/>
        <v>1.1060000000000001</v>
      </c>
      <c r="F163" s="353">
        <f t="shared" si="20"/>
        <v>524.79166666666663</v>
      </c>
      <c r="G163" s="175">
        <f t="shared" si="21"/>
        <v>6</v>
      </c>
      <c r="H163" s="512">
        <f>ROUNDUP(((F163*G163)+(F164*G164)+(F165*G165)+(F166*G166)+(F167*G167))/6400,0)</f>
        <v>6</v>
      </c>
      <c r="I163" s="506"/>
      <c r="J163" s="506"/>
    </row>
    <row r="164" spans="1:23" s="1" customFormat="1" ht="13.8" outlineLevel="1">
      <c r="A164" s="18">
        <f t="shared" si="17"/>
        <v>10</v>
      </c>
      <c r="B164" s="173" t="str">
        <f t="shared" ref="B164:C164" si="24">B142</f>
        <v>ขวางล่าง</v>
      </c>
      <c r="C164" s="173" t="str">
        <f t="shared" si="24"/>
        <v>SASH (Hor) (B)</v>
      </c>
      <c r="D164" s="510"/>
      <c r="E164" s="175">
        <f t="shared" si="19"/>
        <v>1.1060000000000001</v>
      </c>
      <c r="F164" s="353">
        <f t="shared" si="20"/>
        <v>524.79166666666663</v>
      </c>
      <c r="G164" s="175">
        <f t="shared" si="21"/>
        <v>6</v>
      </c>
      <c r="H164" s="514"/>
      <c r="I164" s="506"/>
      <c r="J164" s="506"/>
    </row>
    <row r="165" spans="1:23" s="1" customFormat="1" ht="13.8" outlineLevel="1">
      <c r="A165" s="18">
        <f t="shared" si="17"/>
        <v>11</v>
      </c>
      <c r="B165" s="173" t="str">
        <f t="shared" ref="B165:C165" si="25">B143</f>
        <v>เสา</v>
      </c>
      <c r="C165" s="173" t="str">
        <f t="shared" si="25"/>
        <v xml:space="preserve">SASH (Ver) </v>
      </c>
      <c r="D165" s="510"/>
      <c r="E165" s="175">
        <f t="shared" si="19"/>
        <v>1.1060000000000001</v>
      </c>
      <c r="F165" s="353">
        <f t="shared" si="20"/>
        <v>2308</v>
      </c>
      <c r="G165" s="175">
        <f t="shared" si="21"/>
        <v>9</v>
      </c>
      <c r="H165" s="514"/>
      <c r="I165" s="506"/>
      <c r="J165" s="506"/>
    </row>
    <row r="166" spans="1:23" s="1" customFormat="1" ht="13.8" outlineLevel="1">
      <c r="A166" s="18">
        <f t="shared" si="17"/>
        <v>12</v>
      </c>
      <c r="B166" s="173" t="str">
        <f t="shared" ref="B166:C166" si="26">B144</f>
        <v>เสากุญแจ</v>
      </c>
      <c r="C166" s="173" t="str">
        <f t="shared" si="26"/>
        <v xml:space="preserve">SASH (Ver) LOCK </v>
      </c>
      <c r="D166" s="510"/>
      <c r="E166" s="175">
        <f t="shared" si="19"/>
        <v>1.1060000000000001</v>
      </c>
      <c r="F166" s="353">
        <f t="shared" si="20"/>
        <v>2308</v>
      </c>
      <c r="G166" s="175">
        <f t="shared" si="21"/>
        <v>2</v>
      </c>
      <c r="H166" s="514"/>
      <c r="I166" s="506"/>
      <c r="J166" s="506"/>
    </row>
    <row r="167" spans="1:23" s="1" customFormat="1" ht="15" customHeight="1" outlineLevel="1">
      <c r="A167" s="18">
        <f t="shared" si="17"/>
        <v>13</v>
      </c>
      <c r="B167" s="173" t="str">
        <f t="shared" ref="B167:C167" si="27">B145</f>
        <v>เสากุญแจมือจับ</v>
      </c>
      <c r="C167" s="173" t="str">
        <f t="shared" si="27"/>
        <v>SASH (Ver) LOCK HANDLE</v>
      </c>
      <c r="D167" s="509"/>
      <c r="E167" s="175">
        <f t="shared" si="19"/>
        <v>1.1060000000000001</v>
      </c>
      <c r="F167" s="353">
        <f t="shared" si="20"/>
        <v>2308</v>
      </c>
      <c r="G167" s="175">
        <f t="shared" si="21"/>
        <v>1</v>
      </c>
      <c r="H167" s="514"/>
      <c r="I167" s="506"/>
      <c r="J167" s="506"/>
    </row>
    <row r="168" spans="1:23" s="1" customFormat="1" ht="13.8" outlineLevel="1">
      <c r="A168" s="18">
        <f t="shared" si="17"/>
        <v>14</v>
      </c>
      <c r="B168" s="173" t="str">
        <f t="shared" ref="B168:C168" si="28">B146</f>
        <v>5-6mm คิ้วตบกระจกแนวนอน</v>
      </c>
      <c r="C168" s="173" t="str">
        <f t="shared" si="28"/>
        <v>5-6mm GLAZING BEAD HORIZONTAL</v>
      </c>
      <c r="D168" s="508" t="str">
        <f t="shared" si="23"/>
        <v>B24008</v>
      </c>
      <c r="E168" s="175">
        <f t="shared" si="19"/>
        <v>0.23100000000000001</v>
      </c>
      <c r="F168" s="353">
        <f t="shared" si="20"/>
        <v>524.79166666666663</v>
      </c>
      <c r="G168" s="175">
        <f t="shared" si="21"/>
        <v>12</v>
      </c>
      <c r="H168" s="516">
        <f>ROUNDUP(((F168*G168)+(F169*G169))/6400,0)</f>
        <v>6</v>
      </c>
      <c r="I168" s="501"/>
      <c r="J168" s="501"/>
    </row>
    <row r="169" spans="1:23" s="1" customFormat="1" ht="15" customHeight="1" outlineLevel="1">
      <c r="A169" s="18">
        <f t="shared" si="17"/>
        <v>15</v>
      </c>
      <c r="B169" s="173" t="str">
        <f t="shared" ref="B169:C169" si="29">B147</f>
        <v>5-6mm คิ้วตบกระจกแนวตั้ง</v>
      </c>
      <c r="C169" s="173" t="str">
        <f t="shared" si="29"/>
        <v>5-6mm GLAZING BEAD VERTICAL</v>
      </c>
      <c r="D169" s="509"/>
      <c r="E169" s="175">
        <f t="shared" si="19"/>
        <v>0.23100000000000001</v>
      </c>
      <c r="F169" s="353">
        <f t="shared" si="20"/>
        <v>2158</v>
      </c>
      <c r="G169" s="175">
        <f t="shared" si="21"/>
        <v>12</v>
      </c>
      <c r="H169" s="516"/>
      <c r="I169" s="206"/>
      <c r="J169" s="206"/>
    </row>
    <row r="170" spans="1:23" s="1" customFormat="1" ht="13.8" outlineLevel="1">
      <c r="A170" s="18">
        <f t="shared" si="17"/>
        <v>16</v>
      </c>
      <c r="B170" s="173" t="str">
        <f t="shared" ref="B170:C170" si="30">B148</f>
        <v>บังใบ</v>
      </c>
      <c r="C170" s="173" t="str">
        <f t="shared" si="30"/>
        <v>SASH STOP</v>
      </c>
      <c r="D170" s="508" t="str">
        <f t="shared" si="23"/>
        <v>B24009</v>
      </c>
      <c r="E170" s="175">
        <f t="shared" si="19"/>
        <v>0</v>
      </c>
      <c r="F170" s="353">
        <f t="shared" si="20"/>
        <v>2308</v>
      </c>
      <c r="G170" s="175">
        <f t="shared" si="21"/>
        <v>1</v>
      </c>
      <c r="H170" s="516">
        <f>ROUNDUP(((F170*G170)+(F171*G171))/6400,0)</f>
        <v>1</v>
      </c>
      <c r="I170" s="206"/>
      <c r="J170" s="206"/>
    </row>
    <row r="171" spans="1:23" s="1" customFormat="1" outlineLevel="1" thickBot="1">
      <c r="A171" s="18">
        <f t="shared" si="17"/>
        <v>17</v>
      </c>
      <c r="B171" s="173" t="str">
        <f t="shared" ref="B171:C171" si="31">B149</f>
        <v>บังใบ</v>
      </c>
      <c r="C171" s="173" t="str">
        <f t="shared" si="31"/>
        <v>SASH STOP</v>
      </c>
      <c r="D171" s="511"/>
      <c r="E171" s="175">
        <f t="shared" si="19"/>
        <v>0</v>
      </c>
      <c r="F171" s="353">
        <f t="shared" si="20"/>
        <v>2308</v>
      </c>
      <c r="G171" s="175">
        <f t="shared" si="21"/>
        <v>1</v>
      </c>
      <c r="H171" s="516"/>
      <c r="I171" s="206"/>
      <c r="J171" s="206"/>
    </row>
    <row r="172" spans="1:23" s="1" customFormat="1" ht="24.9" customHeight="1" thickBot="1">
      <c r="A172" s="529" t="s">
        <v>9</v>
      </c>
      <c r="B172" s="530"/>
      <c r="C172" s="530"/>
      <c r="D172" s="530"/>
      <c r="E172" s="530"/>
      <c r="F172" s="530"/>
      <c r="G172" s="530"/>
      <c r="H172" s="530"/>
      <c r="I172" s="530"/>
      <c r="J172" s="531"/>
    </row>
    <row r="173" spans="1:23" s="1" customFormat="1" ht="35.1" customHeight="1" thickBot="1">
      <c r="A173" s="102" t="s">
        <v>2</v>
      </c>
      <c r="B173" s="103" t="s">
        <v>29</v>
      </c>
      <c r="C173" s="103" t="s">
        <v>3</v>
      </c>
      <c r="D173" s="103" t="s">
        <v>199</v>
      </c>
      <c r="E173" s="103" t="s">
        <v>5</v>
      </c>
      <c r="F173" s="104" t="s">
        <v>28</v>
      </c>
      <c r="G173" s="103" t="s">
        <v>19</v>
      </c>
      <c r="H173" s="104" t="s">
        <v>200</v>
      </c>
      <c r="I173" s="104" t="s">
        <v>20</v>
      </c>
      <c r="J173" s="115" t="s">
        <v>201</v>
      </c>
      <c r="N173" s="101" t="s">
        <v>191</v>
      </c>
      <c r="O173" s="246" t="s">
        <v>29</v>
      </c>
      <c r="P173" s="246" t="s">
        <v>3</v>
      </c>
      <c r="Q173" s="246" t="s">
        <v>199</v>
      </c>
      <c r="R173" s="246" t="s">
        <v>5</v>
      </c>
      <c r="S173" s="246" t="s">
        <v>28</v>
      </c>
      <c r="T173" s="246" t="s">
        <v>19</v>
      </c>
      <c r="U173" s="246" t="s">
        <v>200</v>
      </c>
      <c r="V173" s="246" t="s">
        <v>20</v>
      </c>
      <c r="W173" s="246" t="s">
        <v>201</v>
      </c>
    </row>
    <row r="174" spans="1:23" s="1" customFormat="1" ht="18" customHeight="1">
      <c r="A174" s="200">
        <f>IF(B174="","",1)</f>
        <v>1</v>
      </c>
      <c r="B174" s="140" t="s">
        <v>111</v>
      </c>
      <c r="C174" s="140" t="s">
        <v>67</v>
      </c>
      <c r="D174" s="139" t="s">
        <v>74</v>
      </c>
      <c r="E174" s="143"/>
      <c r="F174" s="143" t="s">
        <v>74</v>
      </c>
      <c r="G174" s="143" t="s">
        <v>202</v>
      </c>
      <c r="H174" s="143">
        <v>12</v>
      </c>
      <c r="I174" s="130"/>
      <c r="J174" s="131">
        <f>$J$120*H174</f>
        <v>12</v>
      </c>
      <c r="N174" s="101" t="s">
        <v>226</v>
      </c>
      <c r="O174" s="280" t="s">
        <v>252</v>
      </c>
      <c r="P174" s="290" t="s">
        <v>248</v>
      </c>
      <c r="Q174" s="280" t="s">
        <v>69</v>
      </c>
      <c r="R174" s="213"/>
      <c r="S174" s="213" t="s">
        <v>69</v>
      </c>
      <c r="T174" s="213" t="s">
        <v>198</v>
      </c>
      <c r="U174" s="291">
        <f>((($I$141*$G$141)+($I$142*$G$142)+($I$143*$G$143)+($I$144*$G$144)+($I$145*$G$145))/1000)*$J$120</f>
        <v>33.993499999999997</v>
      </c>
      <c r="V174" s="291">
        <v>100</v>
      </c>
      <c r="W174" s="292">
        <f>ROUNDUP((U174)/100,0)</f>
        <v>1</v>
      </c>
    </row>
    <row r="175" spans="1:23" s="1" customFormat="1" ht="18" customHeight="1">
      <c r="A175" s="201">
        <f>IF(B175="","",+A174+1)</f>
        <v>2</v>
      </c>
      <c r="B175" s="140" t="s">
        <v>106</v>
      </c>
      <c r="C175" s="140" t="s">
        <v>503</v>
      </c>
      <c r="D175" s="139" t="s">
        <v>75</v>
      </c>
      <c r="E175" s="143"/>
      <c r="F175" s="143" t="s">
        <v>75</v>
      </c>
      <c r="G175" s="143" t="s">
        <v>202</v>
      </c>
      <c r="H175" s="143">
        <v>2</v>
      </c>
      <c r="I175" s="130"/>
      <c r="J175" s="131">
        <f t="shared" ref="J175" si="32">$J$120*H175</f>
        <v>2</v>
      </c>
      <c r="N175" s="101" t="s">
        <v>230</v>
      </c>
      <c r="O175" s="280" t="s">
        <v>253</v>
      </c>
      <c r="P175" s="290" t="s">
        <v>249</v>
      </c>
      <c r="Q175" s="280" t="s">
        <v>188</v>
      </c>
      <c r="R175" s="213"/>
      <c r="S175" s="213" t="s">
        <v>188</v>
      </c>
      <c r="T175" s="213" t="s">
        <v>198</v>
      </c>
      <c r="U175" s="291">
        <f>((($I$141*$G$141)+($I$142*$G$142)+($I$143*$G$143)+($I$144*$G$144)+($I$145*$G$145))/1000)*$J$120</f>
        <v>33.993499999999997</v>
      </c>
      <c r="V175" s="291">
        <v>100</v>
      </c>
      <c r="W175" s="292">
        <f t="shared" ref="W175:W177" si="33">ROUNDUP((U175)/100,0)</f>
        <v>1</v>
      </c>
    </row>
    <row r="176" spans="1:23" s="1" customFormat="1" ht="18" customHeight="1">
      <c r="A176" s="201">
        <f t="shared" ref="A176:A204" si="34">IF(B176="","",+A175+1)</f>
        <v>3</v>
      </c>
      <c r="B176" s="140" t="s">
        <v>107</v>
      </c>
      <c r="C176" s="140" t="s">
        <v>504</v>
      </c>
      <c r="D176" s="139" t="s">
        <v>76</v>
      </c>
      <c r="E176" s="143"/>
      <c r="F176" s="143" t="s">
        <v>76</v>
      </c>
      <c r="G176" s="143" t="s">
        <v>202</v>
      </c>
      <c r="H176" s="143">
        <v>2</v>
      </c>
      <c r="I176" s="130"/>
      <c r="J176" s="131">
        <f t="shared" ref="J176:J187" si="35">$J$120*H176</f>
        <v>2</v>
      </c>
      <c r="N176" s="101" t="s">
        <v>229</v>
      </c>
      <c r="O176" s="290" t="s">
        <v>254</v>
      </c>
      <c r="P176" s="290" t="s">
        <v>250</v>
      </c>
      <c r="Q176" s="280" t="s">
        <v>70</v>
      </c>
      <c r="R176" s="213"/>
      <c r="S176" s="213" t="s">
        <v>70</v>
      </c>
      <c r="T176" s="213" t="s">
        <v>198</v>
      </c>
      <c r="U176" s="291">
        <f>((($I$141*$G$141)+($I$142*$G$142)+($I$143*$G$143)+($I$144*$G$144)+($I$145*$G$145))/1000)*$J$120</f>
        <v>33.993499999999997</v>
      </c>
      <c r="V176" s="291">
        <v>100</v>
      </c>
      <c r="W176" s="292">
        <f t="shared" si="33"/>
        <v>1</v>
      </c>
    </row>
    <row r="177" spans="1:23" s="1" customFormat="1" ht="18" customHeight="1">
      <c r="A177" s="201">
        <f t="shared" si="34"/>
        <v>4</v>
      </c>
      <c r="B177" s="140" t="s">
        <v>108</v>
      </c>
      <c r="C177" s="140" t="s">
        <v>10</v>
      </c>
      <c r="D177" s="139">
        <v>9</v>
      </c>
      <c r="E177" s="143"/>
      <c r="F177" s="143">
        <v>9</v>
      </c>
      <c r="G177" s="143" t="s">
        <v>202</v>
      </c>
      <c r="H177" s="143">
        <v>8</v>
      </c>
      <c r="I177" s="130"/>
      <c r="J177" s="131">
        <f t="shared" si="35"/>
        <v>8</v>
      </c>
      <c r="N177" s="101" t="s">
        <v>231</v>
      </c>
      <c r="O177" s="290" t="s">
        <v>255</v>
      </c>
      <c r="P177" s="290" t="s">
        <v>251</v>
      </c>
      <c r="Q177" s="280" t="s">
        <v>189</v>
      </c>
      <c r="R177" s="213"/>
      <c r="S177" s="213" t="s">
        <v>189</v>
      </c>
      <c r="T177" s="213" t="s">
        <v>198</v>
      </c>
      <c r="U177" s="291">
        <f>((($I$141*$G$141)+($I$142*$G$142)+($I$143*$G$143)+($I$144*$G$144)+($I$145*$G$145))/1000)*$J$120</f>
        <v>33.993499999999997</v>
      </c>
      <c r="V177" s="291">
        <v>100</v>
      </c>
      <c r="W177" s="292">
        <f t="shared" si="33"/>
        <v>1</v>
      </c>
    </row>
    <row r="178" spans="1:23" s="1" customFormat="1" ht="18" customHeight="1">
      <c r="A178" s="201">
        <f t="shared" si="34"/>
        <v>5</v>
      </c>
      <c r="B178" s="140" t="s">
        <v>109</v>
      </c>
      <c r="C178" s="140" t="s">
        <v>68</v>
      </c>
      <c r="D178" s="139">
        <v>9</v>
      </c>
      <c r="E178" s="143"/>
      <c r="F178" s="143">
        <v>9</v>
      </c>
      <c r="G178" s="143" t="s">
        <v>202</v>
      </c>
      <c r="H178" s="143">
        <v>110</v>
      </c>
      <c r="I178" s="130"/>
      <c r="J178" s="131">
        <f t="shared" si="35"/>
        <v>110</v>
      </c>
      <c r="N178" s="101" t="s">
        <v>232</v>
      </c>
      <c r="O178" s="290" t="s">
        <v>256</v>
      </c>
      <c r="P178" s="290" t="s">
        <v>247</v>
      </c>
      <c r="Q178" s="280" t="s">
        <v>233</v>
      </c>
      <c r="R178" s="213"/>
      <c r="S178" s="213" t="s">
        <v>233</v>
      </c>
      <c r="T178" s="213" t="s">
        <v>198</v>
      </c>
      <c r="U178" s="291">
        <f>((($I$141*$G$141)+($I$142*$G$142)+($I$143*$G$143)+($I$144*$G$144)+($I$145*$G$145))/1000)*$J$120</f>
        <v>33.993499999999997</v>
      </c>
      <c r="V178" s="291">
        <v>100</v>
      </c>
      <c r="W178" s="292">
        <f>ROUNDUP((U178)/100,0)</f>
        <v>1</v>
      </c>
    </row>
    <row r="179" spans="1:23" s="1" customFormat="1" ht="18" customHeight="1">
      <c r="A179" s="201">
        <f t="shared" si="34"/>
        <v>6</v>
      </c>
      <c r="B179" s="140" t="s">
        <v>132</v>
      </c>
      <c r="C179" s="140" t="s">
        <v>79</v>
      </c>
      <c r="D179" s="139" t="s">
        <v>82</v>
      </c>
      <c r="E179" s="143"/>
      <c r="F179" s="143" t="s">
        <v>82</v>
      </c>
      <c r="G179" s="143" t="s">
        <v>185</v>
      </c>
      <c r="H179" s="143">
        <v>1</v>
      </c>
      <c r="I179" s="130"/>
      <c r="J179" s="131">
        <f t="shared" si="35"/>
        <v>1</v>
      </c>
    </row>
    <row r="180" spans="1:23" s="1" customFormat="1" ht="18" customHeight="1">
      <c r="A180" s="201">
        <f t="shared" si="34"/>
        <v>7</v>
      </c>
      <c r="B180" s="140" t="s">
        <v>143</v>
      </c>
      <c r="C180" s="140" t="s">
        <v>121</v>
      </c>
      <c r="D180" s="139" t="s">
        <v>103</v>
      </c>
      <c r="E180" s="143"/>
      <c r="F180" s="143" t="s">
        <v>103</v>
      </c>
      <c r="G180" s="143" t="s">
        <v>185</v>
      </c>
      <c r="H180" s="143">
        <v>1</v>
      </c>
      <c r="I180" s="144"/>
      <c r="J180" s="131">
        <f>$J$120*H180</f>
        <v>1</v>
      </c>
    </row>
    <row r="181" spans="1:23" s="1" customFormat="1" ht="18" customHeight="1">
      <c r="A181" s="201">
        <f t="shared" si="34"/>
        <v>8</v>
      </c>
      <c r="B181" s="140" t="s">
        <v>118</v>
      </c>
      <c r="C181" s="140" t="s">
        <v>77</v>
      </c>
      <c r="D181" s="139" t="s">
        <v>80</v>
      </c>
      <c r="E181" s="143"/>
      <c r="F181" s="143" t="s">
        <v>80</v>
      </c>
      <c r="G181" s="143" t="s">
        <v>185</v>
      </c>
      <c r="H181" s="143">
        <v>1</v>
      </c>
      <c r="I181" s="130"/>
      <c r="J181" s="131">
        <f t="shared" si="35"/>
        <v>1</v>
      </c>
    </row>
    <row r="182" spans="1:23" s="1" customFormat="1" ht="18" customHeight="1">
      <c r="A182" s="201">
        <f t="shared" si="34"/>
        <v>9</v>
      </c>
      <c r="B182" s="140" t="s">
        <v>120</v>
      </c>
      <c r="C182" s="140" t="s">
        <v>94</v>
      </c>
      <c r="D182" s="139" t="s">
        <v>96</v>
      </c>
      <c r="E182" s="143"/>
      <c r="F182" s="143" t="s">
        <v>96</v>
      </c>
      <c r="G182" s="143" t="s">
        <v>185</v>
      </c>
      <c r="H182" s="143">
        <v>1</v>
      </c>
      <c r="I182" s="130"/>
      <c r="J182" s="131">
        <f t="shared" si="35"/>
        <v>1</v>
      </c>
    </row>
    <row r="183" spans="1:23" s="1" customFormat="1" ht="18" customHeight="1">
      <c r="A183" s="201">
        <f t="shared" si="34"/>
        <v>10</v>
      </c>
      <c r="B183" s="140" t="s">
        <v>131</v>
      </c>
      <c r="C183" s="140" t="s">
        <v>100</v>
      </c>
      <c r="D183" s="139" t="s">
        <v>102</v>
      </c>
      <c r="E183" s="143"/>
      <c r="F183" s="143" t="s">
        <v>102</v>
      </c>
      <c r="G183" s="143" t="s">
        <v>185</v>
      </c>
      <c r="H183" s="143">
        <v>2</v>
      </c>
      <c r="I183" s="144"/>
      <c r="J183" s="131">
        <f t="shared" si="35"/>
        <v>2</v>
      </c>
      <c r="N183" s="56"/>
      <c r="O183" s="56"/>
      <c r="P183" s="56"/>
      <c r="Q183" s="289"/>
      <c r="R183" s="289"/>
      <c r="S183" s="289"/>
      <c r="T183" s="17"/>
      <c r="U183" s="17"/>
      <c r="V183" s="17"/>
      <c r="W183" s="56"/>
    </row>
    <row r="184" spans="1:23" s="1" customFormat="1" ht="18" customHeight="1">
      <c r="A184" s="201">
        <f t="shared" si="34"/>
        <v>11</v>
      </c>
      <c r="B184" s="140" t="s">
        <v>113</v>
      </c>
      <c r="C184" s="140" t="s">
        <v>502</v>
      </c>
      <c r="D184" s="139" t="s">
        <v>83</v>
      </c>
      <c r="E184" s="143"/>
      <c r="F184" s="143" t="s">
        <v>83</v>
      </c>
      <c r="G184" s="143" t="s">
        <v>185</v>
      </c>
      <c r="H184" s="143">
        <v>2</v>
      </c>
      <c r="I184" s="144"/>
      <c r="J184" s="131">
        <f t="shared" si="35"/>
        <v>2</v>
      </c>
      <c r="N184" s="101" t="s">
        <v>227</v>
      </c>
      <c r="O184" s="246" t="s">
        <v>29</v>
      </c>
      <c r="P184" s="246" t="s">
        <v>3</v>
      </c>
      <c r="Q184" s="246" t="s">
        <v>199</v>
      </c>
      <c r="R184" s="246" t="s">
        <v>5</v>
      </c>
      <c r="S184" s="246" t="s">
        <v>28</v>
      </c>
      <c r="T184" s="246" t="s">
        <v>19</v>
      </c>
      <c r="U184" s="246" t="s">
        <v>200</v>
      </c>
      <c r="V184" s="246" t="s">
        <v>20</v>
      </c>
      <c r="W184" s="246" t="s">
        <v>201</v>
      </c>
    </row>
    <row r="185" spans="1:23" s="1" customFormat="1" ht="18" customHeight="1">
      <c r="A185" s="201">
        <f t="shared" si="34"/>
        <v>12</v>
      </c>
      <c r="B185" s="140" t="s">
        <v>122</v>
      </c>
      <c r="C185" s="140" t="s">
        <v>101</v>
      </c>
      <c r="D185" s="139" t="s">
        <v>104</v>
      </c>
      <c r="E185" s="143"/>
      <c r="F185" s="143" t="s">
        <v>104</v>
      </c>
      <c r="G185" s="143" t="s">
        <v>185</v>
      </c>
      <c r="H185" s="143">
        <v>1</v>
      </c>
      <c r="I185" s="144"/>
      <c r="J185" s="131">
        <f t="shared" si="35"/>
        <v>1</v>
      </c>
      <c r="N185" s="101" t="s">
        <v>240</v>
      </c>
      <c r="O185" s="290" t="s">
        <v>234</v>
      </c>
      <c r="P185" s="290" t="s">
        <v>236</v>
      </c>
      <c r="Q185" s="280" t="s">
        <v>190</v>
      </c>
      <c r="R185" s="213"/>
      <c r="S185" s="213" t="s">
        <v>190</v>
      </c>
      <c r="T185" s="213" t="s">
        <v>198</v>
      </c>
      <c r="U185" s="291">
        <f>((($I$134*$G$134)+($I$136*$G$136)+($I$139*$G$139))/1000)*$J$120</f>
        <v>9.9580000000000002</v>
      </c>
      <c r="V185" s="291">
        <v>300</v>
      </c>
      <c r="W185" s="292">
        <f>ROUNDUP((U185)/V185,0)</f>
        <v>1</v>
      </c>
    </row>
    <row r="186" spans="1:23" s="1" customFormat="1" ht="18" customHeight="1">
      <c r="A186" s="201">
        <f t="shared" si="34"/>
        <v>13</v>
      </c>
      <c r="B186" s="140" t="s">
        <v>112</v>
      </c>
      <c r="C186" s="140" t="s">
        <v>114</v>
      </c>
      <c r="D186" s="128" t="s">
        <v>520</v>
      </c>
      <c r="E186" s="129"/>
      <c r="F186" s="129" t="s">
        <v>520</v>
      </c>
      <c r="G186" s="143" t="s">
        <v>202</v>
      </c>
      <c r="H186" s="143">
        <v>4</v>
      </c>
      <c r="I186" s="130"/>
      <c r="J186" s="131">
        <f t="shared" si="35"/>
        <v>4</v>
      </c>
      <c r="N186" s="101" t="s">
        <v>241</v>
      </c>
      <c r="O186" s="290" t="s">
        <v>235</v>
      </c>
      <c r="P186" s="290" t="s">
        <v>238</v>
      </c>
      <c r="Q186" s="280" t="s">
        <v>71</v>
      </c>
      <c r="R186" s="213"/>
      <c r="S186" s="213" t="s">
        <v>71</v>
      </c>
      <c r="T186" s="213" t="s">
        <v>198</v>
      </c>
      <c r="U186" s="291">
        <f>((($I$134*$G$134)+($I$136*$G$136)+($I$139*$G$139))/1000)*$J$120</f>
        <v>9.9580000000000002</v>
      </c>
      <c r="V186" s="291">
        <v>100</v>
      </c>
      <c r="W186" s="292">
        <f t="shared" ref="W186:W188" si="36">ROUNDUP((U186)/V186,0)</f>
        <v>1</v>
      </c>
    </row>
    <row r="187" spans="1:23" s="1" customFormat="1" ht="18" customHeight="1">
      <c r="A187" s="201">
        <f t="shared" si="34"/>
        <v>14</v>
      </c>
      <c r="B187" s="140" t="s">
        <v>115</v>
      </c>
      <c r="C187" s="140" t="s">
        <v>45</v>
      </c>
      <c r="D187" s="139" t="s">
        <v>84</v>
      </c>
      <c r="E187" s="143"/>
      <c r="F187" s="143" t="s">
        <v>84</v>
      </c>
      <c r="G187" s="143" t="s">
        <v>202</v>
      </c>
      <c r="H187" s="143">
        <v>1</v>
      </c>
      <c r="I187" s="130"/>
      <c r="J187" s="131">
        <f t="shared" si="35"/>
        <v>1</v>
      </c>
      <c r="N187" s="101" t="s">
        <v>240</v>
      </c>
      <c r="O187" s="290" t="s">
        <v>245</v>
      </c>
      <c r="P187" s="290" t="s">
        <v>237</v>
      </c>
      <c r="Q187" s="280" t="s">
        <v>72</v>
      </c>
      <c r="R187" s="213"/>
      <c r="S187" s="213" t="s">
        <v>72</v>
      </c>
      <c r="T187" s="213" t="s">
        <v>198</v>
      </c>
      <c r="U187" s="291">
        <f>((($I$141*$G$141*2)+($I$143*$G$143*2)+($I$144*$G$144))/1000)*$J$120</f>
        <v>52.457500000000003</v>
      </c>
      <c r="V187" s="291">
        <v>350</v>
      </c>
      <c r="W187" s="292">
        <f t="shared" si="36"/>
        <v>1</v>
      </c>
    </row>
    <row r="188" spans="1:23" s="1" customFormat="1" ht="18" customHeight="1">
      <c r="A188" s="201">
        <f t="shared" si="34"/>
        <v>15</v>
      </c>
      <c r="B188" s="140" t="s">
        <v>110</v>
      </c>
      <c r="C188" s="140" t="s">
        <v>66</v>
      </c>
      <c r="D188" s="139" t="s">
        <v>128</v>
      </c>
      <c r="E188" s="143"/>
      <c r="F188" s="143" t="s">
        <v>128</v>
      </c>
      <c r="G188" s="143" t="s">
        <v>202</v>
      </c>
      <c r="H188" s="143">
        <v>1</v>
      </c>
      <c r="I188" s="130"/>
      <c r="J188" s="131">
        <f>$J$120*H188</f>
        <v>1</v>
      </c>
      <c r="N188" s="101" t="s">
        <v>241</v>
      </c>
      <c r="O188" s="290" t="s">
        <v>246</v>
      </c>
      <c r="P188" s="290" t="s">
        <v>239</v>
      </c>
      <c r="Q188" s="280" t="s">
        <v>193</v>
      </c>
      <c r="R188" s="213"/>
      <c r="S188" s="213" t="s">
        <v>193</v>
      </c>
      <c r="T188" s="213" t="s">
        <v>198</v>
      </c>
      <c r="U188" s="291">
        <f>((($I$141*$G$141*2)+($I$143*$G$143*2)+($I$144*$G$144))/1000)*$J$120</f>
        <v>52.457500000000003</v>
      </c>
      <c r="V188" s="291">
        <v>100</v>
      </c>
      <c r="W188" s="292">
        <f t="shared" si="36"/>
        <v>1</v>
      </c>
    </row>
    <row r="189" spans="1:23" s="1" customFormat="1" ht="18" customHeight="1">
      <c r="A189" s="201">
        <f t="shared" si="34"/>
        <v>16</v>
      </c>
      <c r="B189" s="140" t="s">
        <v>110</v>
      </c>
      <c r="C189" s="140" t="s">
        <v>66</v>
      </c>
      <c r="D189" s="139" t="s">
        <v>73</v>
      </c>
      <c r="E189" s="143"/>
      <c r="F189" s="143" t="s">
        <v>73</v>
      </c>
      <c r="G189" s="143" t="s">
        <v>202</v>
      </c>
      <c r="H189" s="143">
        <v>2</v>
      </c>
      <c r="I189" s="130"/>
      <c r="J189" s="131">
        <f>$J$120*H189</f>
        <v>2</v>
      </c>
    </row>
    <row r="190" spans="1:23" s="1" customFormat="1" ht="18" customHeight="1">
      <c r="A190" s="201">
        <f t="shared" si="34"/>
        <v>17</v>
      </c>
      <c r="B190" s="140" t="s">
        <v>647</v>
      </c>
      <c r="C190" s="140" t="s">
        <v>127</v>
      </c>
      <c r="D190" s="139" t="s">
        <v>126</v>
      </c>
      <c r="E190" s="143"/>
      <c r="F190" s="143" t="s">
        <v>126</v>
      </c>
      <c r="G190" s="143" t="s">
        <v>185</v>
      </c>
      <c r="H190" s="143">
        <v>1</v>
      </c>
      <c r="I190" s="130"/>
      <c r="J190" s="131">
        <f>$J$120*H190</f>
        <v>1</v>
      </c>
    </row>
    <row r="191" spans="1:23" s="1" customFormat="1" ht="18" customHeight="1">
      <c r="A191" s="201">
        <f t="shared" si="34"/>
        <v>18</v>
      </c>
      <c r="B191" s="140" t="s">
        <v>648</v>
      </c>
      <c r="C191" s="140" t="s">
        <v>127</v>
      </c>
      <c r="D191" s="139" t="s">
        <v>521</v>
      </c>
      <c r="E191" s="143"/>
      <c r="F191" s="143" t="s">
        <v>521</v>
      </c>
      <c r="G191" s="143" t="s">
        <v>185</v>
      </c>
      <c r="H191" s="143">
        <v>1</v>
      </c>
      <c r="I191" s="130"/>
      <c r="J191" s="131">
        <f t="shared" ref="J191" si="37">$J$120*H191</f>
        <v>1</v>
      </c>
    </row>
    <row r="192" spans="1:23" s="1" customFormat="1" ht="18" customHeight="1">
      <c r="A192" s="201">
        <f t="shared" si="34"/>
        <v>19</v>
      </c>
      <c r="B192" s="140" t="s">
        <v>512</v>
      </c>
      <c r="C192" s="140" t="s">
        <v>135</v>
      </c>
      <c r="D192" s="139" t="s">
        <v>137</v>
      </c>
      <c r="E192" s="143"/>
      <c r="F192" s="143" t="s">
        <v>137</v>
      </c>
      <c r="G192" s="143" t="s">
        <v>198</v>
      </c>
      <c r="H192" s="261">
        <f>((($I$148*$G$148)+($I$149*$G$149))/1000)*$J$120</f>
        <v>4.6159999999999997</v>
      </c>
      <c r="I192" s="258">
        <v>100</v>
      </c>
      <c r="J192" s="267">
        <f t="shared" ref="J192:J197" si="38">ROUNDUP((H192)/100,0)</f>
        <v>1</v>
      </c>
    </row>
    <row r="193" spans="1:24" s="1" customFormat="1" ht="18" customHeight="1">
      <c r="A193" s="201">
        <f t="shared" si="34"/>
        <v>20</v>
      </c>
      <c r="B193" s="140" t="s">
        <v>513</v>
      </c>
      <c r="C193" s="140" t="s">
        <v>136</v>
      </c>
      <c r="D193" s="139" t="s">
        <v>138</v>
      </c>
      <c r="E193" s="143"/>
      <c r="F193" s="143" t="s">
        <v>138</v>
      </c>
      <c r="G193" s="143" t="s">
        <v>198</v>
      </c>
      <c r="H193" s="261">
        <f>((($I$145*$G$145)+($I$145*$G$145))/1000)*$J$120</f>
        <v>4.6159999999999997</v>
      </c>
      <c r="I193" s="258">
        <v>100</v>
      </c>
      <c r="J193" s="267">
        <f t="shared" si="38"/>
        <v>1</v>
      </c>
    </row>
    <row r="194" spans="1:24" ht="18" customHeight="1">
      <c r="A194" s="201">
        <f t="shared" si="34"/>
        <v>21</v>
      </c>
      <c r="B194" s="139" t="str">
        <f>IF($D$129="Standard",$O$185,IF($D$129="Soumdproof",$O$186,))</f>
        <v>ยางเฟรมกันน้ำ (ธรรมดา)</v>
      </c>
      <c r="C194" s="139" t="str">
        <f>IF($D$129="Standard",$P$185,IF($D$129="Soumdproof",$P$186,))</f>
        <v>FRAME SEAL (Standard)</v>
      </c>
      <c r="D194" s="139" t="str">
        <f>IF($D$129="Standard",$Q$185,IF($D$129="Soumdproof",$Q$186,))</f>
        <v>02-026</v>
      </c>
      <c r="E194" s="143">
        <f>IF($D$129="Standard",R190,IF($D$129="Soumdproof",R191,))</f>
        <v>0</v>
      </c>
      <c r="F194" s="143" t="str">
        <f>IF($D$129="Standard",$S$185,IF($D$129="Soumdproof",$S$186,))</f>
        <v>02-026</v>
      </c>
      <c r="G194" s="143" t="str">
        <f>IF($D$129="Standard",$T$185,IF($D$129="Soumdproof",$T$186,))</f>
        <v>M</v>
      </c>
      <c r="H194" s="261">
        <f>IF($D$129="Standard",$U$185,IF($D$129="Soumdproof",$U$186,))</f>
        <v>9.9580000000000002</v>
      </c>
      <c r="I194" s="258">
        <f>IF($D$129="Standard",$V$185,IF($D$129="Soumdproof",$V$186,))</f>
        <v>300</v>
      </c>
      <c r="J194" s="267">
        <f t="shared" si="38"/>
        <v>1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s="1" customFormat="1" ht="18" customHeight="1">
      <c r="A195" s="201">
        <f t="shared" si="34"/>
        <v>22</v>
      </c>
      <c r="B195" s="139" t="str">
        <f>IF($D$129="Standard",$O$187,IF($D$129="Soumdproof",$O$188,))</f>
        <v>ยางแซชกันน้ำ (ธรรมดา)</v>
      </c>
      <c r="C195" s="139" t="str">
        <f>IF($D$129="Standard",$P$187,IF($D$129="Soumdproof",$P$188,))</f>
        <v>SASH SEAL FOAM (Standard)</v>
      </c>
      <c r="D195" s="139" t="str">
        <f>IF($D$129="Standard",$Q$187,IF($D$129="Soumdproof",$Q$188,))</f>
        <v>02-031</v>
      </c>
      <c r="E195" s="143">
        <f>IF($D$129="Standard",R192,IF($D$129="Soumdproof",R193,))</f>
        <v>0</v>
      </c>
      <c r="F195" s="143" t="str">
        <f>IF($D$129="Standard",$S$187,IF($D$129="Soumdproof",$S$188,))</f>
        <v>02-031</v>
      </c>
      <c r="G195" s="143" t="str">
        <f>IF($D$129="Standard",$T$187,IF($D$129="Soumdproof",$T$188,))</f>
        <v>M</v>
      </c>
      <c r="H195" s="261">
        <f>IF($D$129="Standard",$U$187,IF($D$129="Soumdproof",$U$188,))</f>
        <v>52.457500000000003</v>
      </c>
      <c r="I195" s="258">
        <f>IF($D$129="Standard",$V$187,IF($D$129="Soumdproof",$V$188,))</f>
        <v>350</v>
      </c>
      <c r="J195" s="267">
        <f t="shared" si="38"/>
        <v>1</v>
      </c>
    </row>
    <row r="196" spans="1:24" s="1" customFormat="1" ht="18" customHeight="1">
      <c r="A196" s="201">
        <f t="shared" si="34"/>
        <v>23</v>
      </c>
      <c r="B196" s="241" t="str">
        <f>IF($D$127=5,$O$176,IF($D$127=6,$O$177,IF($D$127=8,$O$178,IF($D$127=10,$O$176,IF($D$127=12,$O$176,IF($D$127=14,$O$178,IF($D$127=18,$O$176,IF($D$127=20,$O$177,IF($D$127=22,"")))))))))</f>
        <v>5,8,10,12,18 mmยางอัดกระจก</v>
      </c>
      <c r="C196" s="241" t="str">
        <f>IF($D$127=5,$P$176,IF($D$127=6,$P$177,IF($D$127=8,$P$178,IF($D$127=10,$P$176,IF($D$127=12,$P$176,IF($D$127=14,$P$178,IF($D$127=18,$P$176,IF($D$127=20,$P$177,IF($D$127=22,"")))))))))</f>
        <v>5,8,10,12,18 mm ROLL IN WEDGE</v>
      </c>
      <c r="D196" s="241" t="str">
        <f>IF($D$127=5,$Q$176,IF($D$127=6,$Q$177,IF($D$127=8,$Q$178,IF($D$127=10,$Q$176,IF($D$127=12,$Q$176,IF($D$127=14,$Q$178,IF($D$127=18,$Q$176,IF($D$127=20,$Q$177,IF($D$127=22,"")))))))))</f>
        <v>02-033</v>
      </c>
      <c r="E196" s="241">
        <f>IF($D$127=5,R181,IF($D$127=6,R182,IF($D$127=8,R183,IF($D$127=10,R181,IF($D$127=12,R181,IF($D$127=14,R183,IF($D$127=18,R181,IF($D$127=20,R182,IF($D$127=22,"",)))))))))</f>
        <v>0</v>
      </c>
      <c r="F196" s="242" t="str">
        <f>IF($D$127=5,$S$176,IF($D$127=6,$S$177,IF($D$127=8,$S$178,IF($D$127=10,$S$176,IF($D$127=12,$S$176,IF($D$127=14,$S$178,IF($D$127=18,$S$176,IF($D$127=20,$S$177,IF($D$127=22,"")))))))))</f>
        <v>02-033</v>
      </c>
      <c r="G196" s="242" t="str">
        <f>IF($D$127=5,$T$176,IF($D$127=6,$T$177,IF($D$127=8,$T$178,IF($D$127=10,$T$176,IF($D$127=12,$T$176,IF($D$127=14,$T$178,IF($D$127=18,$T$176,IF($D$127=20,$T$177,IF($D$127=22,"")))))))))</f>
        <v>M</v>
      </c>
      <c r="H196" s="261">
        <f>IF($D$127=5,$U$176,IF($D$127=6,$U$177,IF($D$127=8,$U$178,IF($D$127=10,$U$176*2,IF($D$127=12,$U$176,IF($D$127=14,$U$178*2,IF($D$127=18,$U$176,IF($D$127=20,$U$177,IF($D$127=22,"")))))))))</f>
        <v>33.993499999999997</v>
      </c>
      <c r="I196" s="258">
        <f>IF($D$127=5,$V$176,IF($D$127=6,$V$177,IF($D$127=8,$V$178,IF($D$127=10,$V$176,IF($D$127=12,$V$176,IF($D$127=14,$V$178,IF($D$127=18,$V$176,IF($D$127=20,$V$177,IF($D$127=22,"")))))))))</f>
        <v>100</v>
      </c>
      <c r="J196" s="267">
        <f t="shared" si="38"/>
        <v>1</v>
      </c>
    </row>
    <row r="197" spans="1:24" s="1" customFormat="1" ht="18" customHeight="1">
      <c r="A197" s="201">
        <f t="shared" si="34"/>
        <v>24</v>
      </c>
      <c r="B197" s="241" t="str">
        <f>IF($D$127=5,$O$174,IF($D$127=6,$O$174,IF($D$127=8,$O$176,IF($D$127=10,"",IF($D$127=12,$O$175,IF($D$127=14,"",IF($D$127=18,$O$174,IF($D$127=20,$O$175,IF($D$127=22,"",)))))))))</f>
        <v>5,6,18 mm ยางรองกระจก</v>
      </c>
      <c r="C197" s="241" t="str">
        <f>IF($D$127=5,$P$174,IF($D$127=6,$P$174,IF($D$127=8,$P$176,IF($D$127=10,"",IF($D$127=12,$P$175,IF($D$127=14,"",IF($D$127=18,$P$174,IF($D$127=20,$P$175,IF($D$127=22,"",)))))))))</f>
        <v>5,6,18 mm CAPTIVE WEDGE</v>
      </c>
      <c r="D197" s="241" t="str">
        <f>IF($D$127=5,$Q$174,IF($D$127=6,$Q$174,IF($D$127=8,$Q$176,IF($D$127=10,"",IF($D$127=12,$Q$175,IF($D$127=14,"",IF($D$127=18,$Q$174,IF($D$127=20,$Q$175,IF($D$127=22,"",)))))))))</f>
        <v>02-022</v>
      </c>
      <c r="E197" s="241">
        <f>IF($D$127=5,R179,IF($D$127=6,R179,IF($D$127=8,R181,IF($D$127=10,"",IF($D$127=12,R180,IF($D$127=14,"",IF($D$127=18,R179,IF($D$127=20,R180,IF($D$127=22,"",)))))))))</f>
        <v>0</v>
      </c>
      <c r="F197" s="242" t="str">
        <f>IF($D$127=5,$S$174,IF($D$127=6,$S$174,IF($D$127=8,$S$176,IF($D$127=10,"",IF($D$127=12,$S$175,IF($D$127=14,"",IF($D$127=18,$S$174,IF($D$127=20,$S$175,IF($D$127=22,"",)))))))))</f>
        <v>02-022</v>
      </c>
      <c r="G197" s="242" t="str">
        <f>IF($D$127=5,$T$174,IF($D$127=6,$T$174,IF($D$127=8,$T$176,IF($D$127=10,"",IF($D$127=12,$T$175,IF($D$127=14,"",IF($D$127=18,$T$174,IF($D$127=20,$T$175,IF($D$127=22,"",)))))))))</f>
        <v>M</v>
      </c>
      <c r="H197" s="261">
        <f>IF($D$127=5,$U$174,IF($D$127=6,$U$174,IF($D$127=8,$U$176,IF($D$127=10,"",IF($D$127=12,$U$175,IF($D$127=14,"",IF($D$127=18,$U$174,IF($D$127=20,$U$175,IF($D$127=22,"")))))))))</f>
        <v>33.993499999999997</v>
      </c>
      <c r="I197" s="258">
        <f>IF($D$127=5,$V$174,IF($D$127=6,$V$174,IF($D$127=8,$V$176,IF($D$127=10,"",IF($D$127=12,$V$175,IF($D$127=14,"",IF($D$127=18,$V$174,IF($D$127=20,$V$175,IF($D$127=22,"",)))))))))</f>
        <v>100</v>
      </c>
      <c r="J197" s="267">
        <f t="shared" si="38"/>
        <v>1</v>
      </c>
    </row>
    <row r="198" spans="1:24" s="1" customFormat="1" ht="18" customHeight="1">
      <c r="A198" s="201" t="str">
        <f t="shared" si="34"/>
        <v/>
      </c>
      <c r="B198" s="140"/>
      <c r="C198" s="140"/>
      <c r="D198" s="139"/>
      <c r="E198" s="143"/>
      <c r="F198" s="143"/>
      <c r="G198" s="143"/>
      <c r="H198" s="143"/>
      <c r="I198" s="130"/>
      <c r="J198" s="131"/>
    </row>
    <row r="199" spans="1:24" s="1" customFormat="1" ht="18" customHeight="1">
      <c r="A199" s="201" t="str">
        <f t="shared" si="34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 t="shared" ref="J199:J204" si="39">$J$120*H199</f>
        <v>0</v>
      </c>
    </row>
    <row r="200" spans="1:24" s="1" customFormat="1" ht="18" customHeight="1">
      <c r="A200" s="201" t="str">
        <f t="shared" si="34"/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si="39"/>
        <v>0</v>
      </c>
    </row>
    <row r="201" spans="1:24" s="1" customFormat="1" ht="18" customHeight="1">
      <c r="A201" s="201" t="str">
        <f t="shared" si="34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si="39"/>
        <v>0</v>
      </c>
    </row>
    <row r="202" spans="1:24" s="1" customFormat="1" ht="18" customHeight="1">
      <c r="A202" s="201" t="str">
        <f t="shared" si="34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si="39"/>
        <v>0</v>
      </c>
    </row>
    <row r="203" spans="1:24" s="1" customFormat="1" ht="18" customHeight="1">
      <c r="A203" s="201" t="str">
        <f t="shared" si="34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si="39"/>
        <v>0</v>
      </c>
    </row>
    <row r="204" spans="1:24" s="1" customFormat="1" ht="18" customHeight="1">
      <c r="A204" s="201" t="str">
        <f t="shared" si="34"/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 t="shared" si="39"/>
        <v>0</v>
      </c>
    </row>
    <row r="205" spans="1:24" s="1" customFormat="1" ht="18" customHeight="1">
      <c r="A205" s="317" t="str">
        <f t="shared" ref="A205" si="40">IF(B205="","",+A204+1)</f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 t="shared" ref="J205" si="41">$J$120*G205</f>
        <v>0</v>
      </c>
    </row>
    <row r="206" spans="1:24" s="1" customFormat="1" ht="18" customHeight="1">
      <c r="A206" s="25"/>
      <c r="B206" s="161"/>
      <c r="C206" s="33"/>
      <c r="D206" s="30"/>
      <c r="E206" s="17"/>
      <c r="F206" s="30"/>
      <c r="G206" s="30"/>
      <c r="H206" s="161"/>
      <c r="I206" s="24"/>
      <c r="J206" s="24"/>
    </row>
    <row r="207" spans="1:24" ht="18" customHeight="1">
      <c r="A207" s="17"/>
      <c r="J207" s="99" t="str">
        <f>LEFT($J$111,13)&amp;"-02"</f>
        <v>FG-240-6P1L5R-02</v>
      </c>
    </row>
    <row r="208" spans="1:24" ht="12.75" customHeight="1">
      <c r="B208" s="56"/>
      <c r="C208" s="56"/>
      <c r="D208" s="30"/>
      <c r="E208" s="17"/>
      <c r="F208" s="17"/>
      <c r="G208" s="17"/>
      <c r="H208" s="17"/>
      <c r="K208" s="7"/>
      <c r="L208" s="7"/>
      <c r="M208" s="2"/>
      <c r="N208" s="2"/>
    </row>
    <row r="209" spans="1:14" ht="30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205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205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/>
      <c r="C215"/>
      <c r="D215" s="81"/>
      <c r="E215"/>
      <c r="F215"/>
      <c r="G215"/>
      <c r="H215"/>
      <c r="I215" s="160"/>
      <c r="J215" s="116"/>
    </row>
    <row r="216" spans="1:14" s="1" customFormat="1" ht="15" customHeight="1">
      <c r="A216" s="17"/>
      <c r="B216" s="93"/>
      <c r="C216" s="56"/>
      <c r="D216" s="30"/>
      <c r="E216" s="29"/>
      <c r="F216" s="160"/>
      <c r="G216" s="160"/>
      <c r="H216" s="16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s="1" customFormat="1" ht="15.6">
      <c r="A218" s="109"/>
      <c r="B218" s="33"/>
      <c r="C218" s="327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378</v>
      </c>
      <c r="D220" s="30"/>
      <c r="E220" s="29"/>
      <c r="F220" s="30"/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89"/>
      <c r="J221" s="12"/>
    </row>
    <row r="222" spans="1:14" s="1" customFormat="1" ht="15" customHeight="1">
      <c r="A222" s="109"/>
      <c r="B222" s="33"/>
      <c r="C222" s="327" t="s">
        <v>273</v>
      </c>
      <c r="D222" s="161"/>
      <c r="E222" s="109"/>
      <c r="F222" s="161"/>
      <c r="J222" s="12"/>
    </row>
    <row r="223" spans="1:14" s="1" customFormat="1" ht="15" customHeight="1">
      <c r="A223" s="109"/>
      <c r="B223" s="33"/>
      <c r="C223" s="374">
        <f>$I$133</f>
        <v>3840</v>
      </c>
      <c r="D223" s="161"/>
      <c r="E223" s="35"/>
      <c r="F223" s="161"/>
      <c r="G223" s="68"/>
      <c r="J223" s="12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326"/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326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327"/>
      <c r="D229" s="161"/>
      <c r="E229" s="109"/>
      <c r="F229" s="161"/>
      <c r="H229" s="109"/>
      <c r="I229" s="203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203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203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203"/>
      <c r="J232" s="117"/>
    </row>
    <row r="233" spans="1:10" s="1" customFormat="1" ht="15.9" customHeight="1">
      <c r="A233" s="44"/>
      <c r="B233" s="44"/>
      <c r="C233" s="89" t="s">
        <v>381</v>
      </c>
      <c r="D233" s="84"/>
      <c r="E233" s="44"/>
      <c r="F233" s="44"/>
      <c r="G233" s="109"/>
      <c r="H233" s="109"/>
      <c r="I233" s="203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3814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203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03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109"/>
      <c r="J242" s="24"/>
    </row>
    <row r="243" spans="1:10" s="1" customFormat="1" ht="15.9" customHeight="1">
      <c r="A243" s="109"/>
      <c r="B243" s="33"/>
      <c r="C243" s="89" t="s">
        <v>370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.9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" customHeight="1">
      <c r="A245" s="109"/>
      <c r="B245" s="33"/>
      <c r="C245" s="327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3840</v>
      </c>
      <c r="D246" s="161"/>
      <c r="E246" s="109"/>
      <c r="F246" s="161"/>
      <c r="G246" s="109"/>
      <c r="H246" s="109"/>
      <c r="I246" s="44"/>
      <c r="J246" s="119"/>
    </row>
    <row r="247" spans="1:10" s="1" customFormat="1" ht="15.9" customHeight="1">
      <c r="A247" s="109"/>
      <c r="B247" s="33"/>
      <c r="C247" s="363">
        <f>$J$135</f>
        <v>1</v>
      </c>
      <c r="D247" s="161"/>
      <c r="E247" s="109"/>
      <c r="F247" s="161"/>
      <c r="G247" s="109"/>
      <c r="H247" s="109"/>
      <c r="I247" s="32"/>
      <c r="J247" s="40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0"/>
      <c r="H251" s="109"/>
      <c r="I251" s="24"/>
      <c r="J251" s="24"/>
    </row>
    <row r="252" spans="1:10" s="1" customFormat="1" ht="15.9" customHeight="1">
      <c r="A252" s="109"/>
      <c r="B252" s="33"/>
      <c r="D252" s="161"/>
      <c r="E252" s="109"/>
      <c r="F252" s="109"/>
      <c r="G252" s="109"/>
      <c r="H252" s="109"/>
      <c r="I252" s="24"/>
      <c r="J252" s="24"/>
    </row>
    <row r="253" spans="1:10" s="1" customFormat="1" ht="15.9" customHeight="1">
      <c r="A253" s="44"/>
      <c r="B253" s="44"/>
      <c r="D253" s="84"/>
      <c r="E253" s="44"/>
      <c r="F253" s="44"/>
      <c r="G253" s="109"/>
      <c r="H253" s="109"/>
      <c r="I253" s="24"/>
      <c r="J253" s="24"/>
    </row>
    <row r="254" spans="1:10" s="1" customFormat="1" ht="15.9" customHeight="1">
      <c r="A254" s="40"/>
      <c r="B254" s="40"/>
      <c r="C254" s="89" t="s">
        <v>382</v>
      </c>
      <c r="D254" s="85"/>
      <c r="E254" s="40"/>
      <c r="F254" s="32"/>
      <c r="G254" s="109"/>
      <c r="I254" s="24"/>
      <c r="J254" s="24"/>
    </row>
    <row r="255" spans="1:10" s="1" customFormat="1" ht="15.9" customHeight="1">
      <c r="A255" s="27"/>
      <c r="B255" s="33"/>
      <c r="C255" s="328" t="s">
        <v>275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27" t="s">
        <v>273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74">
        <f>$I$136</f>
        <v>3840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63">
        <f>$J$136</f>
        <v>1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46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161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89" t="s">
        <v>380</v>
      </c>
      <c r="D264" s="161"/>
      <c r="E264" s="109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8" t="s">
        <v>379</v>
      </c>
      <c r="D265" s="328"/>
      <c r="E265" s="328"/>
      <c r="F265" s="109"/>
      <c r="G265" s="109"/>
      <c r="H265" s="109"/>
      <c r="I265" s="24"/>
      <c r="J265" s="24"/>
    </row>
    <row r="266" spans="1:10" s="1" customFormat="1" ht="15.9" customHeight="1">
      <c r="A266" s="27"/>
      <c r="B266" s="33"/>
      <c r="C266" s="327" t="s">
        <v>279</v>
      </c>
      <c r="D266" s="327"/>
      <c r="E266" s="327"/>
      <c r="F266" s="109"/>
      <c r="G266" s="109"/>
      <c r="H266" s="109"/>
      <c r="J266" s="12"/>
    </row>
    <row r="267" spans="1:10" s="1" customFormat="1" ht="15.9" customHeight="1">
      <c r="A267" s="27"/>
      <c r="B267" s="33"/>
      <c r="C267" s="374">
        <f>$I$137</f>
        <v>2400</v>
      </c>
      <c r="D267" s="161"/>
      <c r="E267" s="109"/>
      <c r="F267" s="109"/>
      <c r="G267" s="33"/>
      <c r="H267" s="33"/>
      <c r="J267" s="12"/>
    </row>
    <row r="268" spans="1:10" s="1" customFormat="1" ht="15.9" customHeight="1">
      <c r="A268" s="27"/>
      <c r="B268" s="33"/>
      <c r="C268" s="363">
        <f>$J$137+$J$138</f>
        <v>2</v>
      </c>
      <c r="D268" s="161"/>
      <c r="E268" s="10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D271" s="328"/>
      <c r="E271" s="328"/>
      <c r="F271" s="109"/>
      <c r="G271" s="109"/>
      <c r="H271" s="109"/>
      <c r="J271" s="12"/>
    </row>
    <row r="272" spans="1:10" s="1" customFormat="1" ht="15.9" customHeight="1">
      <c r="A272" s="27"/>
      <c r="B272" s="33"/>
      <c r="D272" s="328"/>
      <c r="E272" s="328"/>
      <c r="F272" s="109"/>
      <c r="G272" s="109"/>
      <c r="I272" s="24"/>
      <c r="J272" s="24"/>
    </row>
    <row r="273" spans="1:10" s="1" customFormat="1" ht="15.9" customHeight="1">
      <c r="A273" s="27"/>
      <c r="B273" s="33"/>
      <c r="C273" s="33"/>
      <c r="D273" s="161"/>
      <c r="E273" s="109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89" t="s">
        <v>374</v>
      </c>
      <c r="D274" s="162"/>
      <c r="E274" s="24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328" t="s">
        <v>649</v>
      </c>
      <c r="D275" s="328"/>
      <c r="E275" s="328"/>
      <c r="F275" s="109"/>
      <c r="G275" s="109"/>
      <c r="I275" s="109"/>
      <c r="J275" s="24"/>
    </row>
    <row r="276" spans="1:10" s="1" customFormat="1" ht="15.9" customHeight="1">
      <c r="A276" s="27"/>
      <c r="B276" s="33"/>
      <c r="C276" s="433" t="s">
        <v>650</v>
      </c>
      <c r="D276" s="327"/>
      <c r="E276" s="327"/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374">
        <f>$I$139</f>
        <v>2304</v>
      </c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363">
        <f>$J$139+$J$140</f>
        <v>2</v>
      </c>
      <c r="F278" s="109"/>
      <c r="G278" s="109"/>
      <c r="I278" s="109"/>
      <c r="J278" s="24"/>
    </row>
    <row r="279" spans="1:10" s="1" customFormat="1" ht="15.9" customHeight="1">
      <c r="A279" s="27"/>
      <c r="B279" s="33"/>
      <c r="F279" s="109"/>
      <c r="G279" s="109"/>
      <c r="H279" s="109"/>
      <c r="J279" s="12"/>
    </row>
    <row r="280" spans="1:10" s="1" customFormat="1" ht="15.9" customHeight="1">
      <c r="A280" s="27"/>
      <c r="B280" s="33"/>
      <c r="C280" s="33"/>
      <c r="D280" s="161"/>
      <c r="E280" s="109"/>
      <c r="F280" s="109"/>
      <c r="G280" s="109"/>
      <c r="H280" s="109"/>
      <c r="J280" s="12"/>
    </row>
    <row r="281" spans="1:10" s="1" customFormat="1" ht="15.9" customHeight="1">
      <c r="A281" s="27"/>
      <c r="B281" s="33"/>
      <c r="F281" s="109"/>
      <c r="G281" s="109"/>
      <c r="H281" s="109"/>
      <c r="J281" s="12"/>
    </row>
    <row r="282" spans="1:10" s="1" customFormat="1" ht="15.9" customHeight="1">
      <c r="A282" s="27"/>
      <c r="B282" s="33"/>
      <c r="F282" s="109"/>
      <c r="G282" s="109"/>
      <c r="H282" s="109"/>
      <c r="I282" s="162"/>
      <c r="J282" s="24"/>
    </row>
    <row r="283" spans="1:10" s="1" customFormat="1" ht="15.9" customHeight="1">
      <c r="A283" s="27"/>
      <c r="B283" s="33"/>
      <c r="C283" s="89" t="s">
        <v>386</v>
      </c>
      <c r="F283" s="109"/>
      <c r="G283" s="109"/>
      <c r="H283" s="109"/>
      <c r="I283" s="109"/>
      <c r="J283" s="24"/>
    </row>
    <row r="284" spans="1:10" s="1" customFormat="1" ht="15.9" customHeight="1">
      <c r="A284" s="27"/>
      <c r="B284" s="33"/>
      <c r="C284" s="94" t="s">
        <v>451</v>
      </c>
      <c r="D284" s="161"/>
      <c r="E284" s="109"/>
      <c r="F284" s="109"/>
      <c r="G284" s="109"/>
      <c r="H284" s="109"/>
      <c r="I284" s="24"/>
      <c r="J284" s="24"/>
    </row>
    <row r="285" spans="1:10" s="1" customFormat="1" ht="15.9" customHeight="1">
      <c r="A285" s="27"/>
      <c r="B285" s="33"/>
      <c r="C285" s="327" t="s">
        <v>452</v>
      </c>
      <c r="D285" s="161"/>
      <c r="E285" s="109"/>
      <c r="F285" s="109"/>
      <c r="G285" s="109"/>
      <c r="H285" s="109"/>
      <c r="I285" s="24"/>
      <c r="J285" s="24"/>
    </row>
    <row r="286" spans="1:10" s="1" customFormat="1" ht="15.9" customHeight="1">
      <c r="A286" s="27"/>
      <c r="B286" s="33"/>
      <c r="C286" s="328" t="s">
        <v>281</v>
      </c>
      <c r="D286" s="328"/>
      <c r="E286" s="328"/>
      <c r="F286" s="109"/>
      <c r="G286" s="109"/>
      <c r="I286" s="24"/>
      <c r="J286" s="24"/>
    </row>
    <row r="287" spans="1:10" s="23" customFormat="1" ht="15.9" customHeight="1">
      <c r="A287" s="27"/>
      <c r="B287" s="33"/>
      <c r="C287" s="327" t="s">
        <v>282</v>
      </c>
      <c r="D287" s="327"/>
      <c r="E287" s="327"/>
      <c r="F287" s="109"/>
      <c r="G287" s="109"/>
      <c r="H287" s="1"/>
      <c r="I287" s="109"/>
      <c r="J287" s="109"/>
    </row>
    <row r="288" spans="1:10" s="1" customFormat="1" ht="15.9" customHeight="1">
      <c r="A288" s="27"/>
      <c r="B288" s="33"/>
      <c r="C288" s="374">
        <f>$I$141</f>
        <v>524.79166666666663</v>
      </c>
      <c r="F288" s="109"/>
      <c r="G288" s="109"/>
      <c r="I288" s="44"/>
      <c r="J288" s="119"/>
    </row>
    <row r="289" spans="1:10" s="1" customFormat="1" ht="15.9" customHeight="1">
      <c r="A289" s="27"/>
      <c r="B289" s="33"/>
      <c r="C289" s="363">
        <f>$J$141+$J$142</f>
        <v>12</v>
      </c>
      <c r="D289" s="161"/>
      <c r="E289" s="109"/>
      <c r="F289" s="109"/>
      <c r="G289" s="109"/>
      <c r="H289" s="161"/>
      <c r="I289" s="32"/>
      <c r="J289" s="40"/>
    </row>
    <row r="290" spans="1:10" s="1" customFormat="1" ht="15.9" customHeight="1">
      <c r="A290" s="27"/>
      <c r="B290" s="33"/>
      <c r="C290" s="374">
        <f>$I$143</f>
        <v>2308</v>
      </c>
      <c r="D290" s="161"/>
      <c r="E290" s="109"/>
      <c r="F290" s="109"/>
      <c r="G290" s="109"/>
      <c r="H290" s="109"/>
      <c r="I290" s="24"/>
      <c r="J290" s="24"/>
    </row>
    <row r="291" spans="1:10" s="1" customFormat="1" ht="15.9" customHeight="1">
      <c r="A291" s="27"/>
      <c r="B291" s="33"/>
      <c r="C291" s="363">
        <f>$J$143+$J$144+$J$145</f>
        <v>12</v>
      </c>
      <c r="D291" s="161"/>
      <c r="E291" s="109"/>
      <c r="F291" s="109"/>
      <c r="G291" s="109"/>
      <c r="H291" s="109"/>
      <c r="I291" s="24"/>
      <c r="J291" s="24"/>
    </row>
    <row r="292" spans="1:10" s="1" customFormat="1" ht="15.9" customHeight="1">
      <c r="A292" s="27"/>
      <c r="B292" s="33"/>
      <c r="C292" s="33"/>
      <c r="D292" s="161"/>
      <c r="E292" s="109"/>
      <c r="F292" s="109"/>
      <c r="G292" s="109"/>
      <c r="H292" s="109"/>
      <c r="I292" s="109"/>
      <c r="J292" s="24"/>
    </row>
    <row r="293" spans="1:10" s="1" customFormat="1" ht="15.9" customHeight="1">
      <c r="A293" s="27"/>
      <c r="B293" s="33"/>
      <c r="C293" s="23"/>
      <c r="D293" s="161"/>
      <c r="E293" s="109"/>
      <c r="F293" s="109"/>
      <c r="G293" s="109"/>
      <c r="H293" s="109"/>
      <c r="I293" s="109"/>
      <c r="J293" s="24"/>
    </row>
    <row r="294" spans="1:10" s="1" customFormat="1" ht="15.9" customHeight="1">
      <c r="A294" s="27"/>
      <c r="B294" s="33"/>
      <c r="C294" s="89" t="s">
        <v>384</v>
      </c>
      <c r="D294" s="161"/>
      <c r="E294" s="109"/>
      <c r="F294" s="109"/>
      <c r="G294" s="109"/>
      <c r="H294" s="109"/>
      <c r="I294" s="109"/>
      <c r="J294" s="24"/>
    </row>
    <row r="295" spans="1:10" s="1" customFormat="1" ht="15.9" customHeight="1">
      <c r="A295" s="27"/>
      <c r="B295" s="33"/>
      <c r="C295" s="94" t="s">
        <v>451</v>
      </c>
      <c r="D295" s="161"/>
      <c r="E295" s="109"/>
      <c r="F295" s="109"/>
      <c r="G295" s="44"/>
      <c r="H295" s="44"/>
      <c r="I295" s="109"/>
      <c r="J295" s="24"/>
    </row>
    <row r="296" spans="1:10" s="1" customFormat="1" ht="15.9" customHeight="1">
      <c r="A296" s="27"/>
      <c r="B296" s="33"/>
      <c r="C296" s="327" t="s">
        <v>452</v>
      </c>
      <c r="D296" s="328"/>
      <c r="E296" s="328"/>
      <c r="F296" s="109"/>
      <c r="G296" s="40"/>
      <c r="H296" s="32"/>
      <c r="I296" s="109"/>
      <c r="J296" s="24"/>
    </row>
    <row r="297" spans="1:10" s="1" customFormat="1" ht="15.9" customHeight="1">
      <c r="A297" s="41"/>
      <c r="B297" s="33"/>
      <c r="C297" s="328" t="s">
        <v>286</v>
      </c>
      <c r="D297" s="327"/>
      <c r="E297" s="327"/>
      <c r="F297" s="109"/>
      <c r="G297" s="109"/>
      <c r="H297" s="109"/>
      <c r="I297" s="109"/>
      <c r="J297" s="24"/>
    </row>
    <row r="298" spans="1:10" s="1" customFormat="1" ht="15.9" customHeight="1">
      <c r="A298" s="44"/>
      <c r="B298" s="44"/>
      <c r="C298" s="327" t="s">
        <v>285</v>
      </c>
      <c r="D298" s="86"/>
      <c r="E298" s="79"/>
      <c r="F298" s="44"/>
      <c r="G298" s="109"/>
      <c r="H298" s="109"/>
      <c r="I298" s="109"/>
      <c r="J298" s="24"/>
    </row>
    <row r="299" spans="1:10" s="1" customFormat="1" ht="15.9" customHeight="1">
      <c r="A299" s="40"/>
      <c r="B299" s="40"/>
      <c r="C299" s="374">
        <f>$I$146</f>
        <v>524.79166666666663</v>
      </c>
      <c r="D299" s="87"/>
      <c r="E299" s="80"/>
      <c r="F299" s="32"/>
      <c r="G299" s="109"/>
      <c r="H299" s="109"/>
      <c r="I299" s="109"/>
      <c r="J299" s="24"/>
    </row>
    <row r="300" spans="1:10" s="1" customFormat="1" ht="15.9" customHeight="1">
      <c r="A300" s="109"/>
      <c r="B300" s="33"/>
      <c r="C300" s="363">
        <f>$J$146</f>
        <v>12</v>
      </c>
      <c r="D300" s="15"/>
      <c r="F300" s="109"/>
      <c r="G300" s="109"/>
      <c r="H300" s="109"/>
      <c r="I300" s="109"/>
      <c r="J300" s="24"/>
    </row>
    <row r="301" spans="1:10" s="1" customFormat="1" ht="15.9" customHeight="1">
      <c r="A301" s="109"/>
      <c r="B301" s="33"/>
      <c r="C301" s="374">
        <f>$I$147</f>
        <v>2158</v>
      </c>
      <c r="D301" s="15"/>
      <c r="F301" s="109"/>
      <c r="G301" s="109"/>
      <c r="H301" s="109"/>
      <c r="I301" s="109"/>
      <c r="J301" s="24"/>
    </row>
    <row r="302" spans="1:10" s="1" customFormat="1" ht="15.9" customHeight="1">
      <c r="A302" s="109"/>
      <c r="B302" s="33"/>
      <c r="C302" s="363">
        <f>$J$147</f>
        <v>12</v>
      </c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C305" s="89" t="s">
        <v>387</v>
      </c>
      <c r="D305" s="161"/>
      <c r="E305" s="109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C306" s="328" t="s">
        <v>281</v>
      </c>
      <c r="D306" s="328"/>
      <c r="E306" s="328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542" t="s">
        <v>282</v>
      </c>
      <c r="D307" s="542"/>
      <c r="E307" s="542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374">
        <f>$I$148</f>
        <v>2308</v>
      </c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63">
        <f>$J$148+$J$149</f>
        <v>2</v>
      </c>
      <c r="D309" s="328"/>
      <c r="E309" s="328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D310" s="15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D311" s="15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33"/>
      <c r="D314" s="162"/>
      <c r="E314" s="24"/>
      <c r="F314" s="109"/>
      <c r="G314" s="109"/>
      <c r="H314" s="109"/>
      <c r="I314" s="27"/>
      <c r="J314" s="99" t="str">
        <f>LEFT($J$111,13)&amp;"-03"</f>
        <v>FG-240-6P1L5R-03</v>
      </c>
    </row>
    <row r="315" spans="1:14" ht="12.75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30" customHeight="1">
      <c r="A316" s="17"/>
      <c r="B316" s="26"/>
      <c r="C316" s="26"/>
      <c r="D316" s="83"/>
      <c r="E316" s="25"/>
      <c r="F316" s="25"/>
      <c r="G316" s="25"/>
      <c r="H316" s="25"/>
      <c r="I316" s="179"/>
      <c r="J316" s="90" t="str">
        <f>$J$2</f>
        <v>HOMELIFE</v>
      </c>
    </row>
    <row r="317" spans="1:14" ht="24.9" customHeight="1">
      <c r="B317" s="205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205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s="1" customFormat="1" ht="15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  <c r="K320" s="4"/>
      <c r="L320" s="4"/>
      <c r="M320" s="4"/>
      <c r="N320" s="4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63"/>
      <c r="B323"/>
      <c r="C323"/>
      <c r="D323" s="81"/>
      <c r="E323"/>
      <c r="F323"/>
      <c r="G323"/>
      <c r="H323"/>
      <c r="I323" s="160"/>
      <c r="J323" s="116"/>
    </row>
    <row r="324" spans="1:10" s="1" customFormat="1" ht="15" customHeight="1">
      <c r="A324" s="17"/>
      <c r="B324" s="72"/>
      <c r="C324" s="56"/>
      <c r="D324" s="30"/>
      <c r="E324" s="29"/>
      <c r="F324" s="160"/>
      <c r="G324" s="160"/>
      <c r="H324" s="160"/>
      <c r="I324" s="31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202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202"/>
      <c r="I331" s="161"/>
      <c r="J331" s="109"/>
    </row>
    <row r="332" spans="1:10" s="1" customFormat="1" ht="15" customHeight="1">
      <c r="A332" s="64" t="str">
        <f>A18</f>
        <v>240-6 Panel (1L5R)</v>
      </c>
      <c r="B332" s="92"/>
      <c r="C332" s="161"/>
      <c r="D332" s="161"/>
      <c r="E332" s="109"/>
      <c r="F332" s="202"/>
      <c r="G332" s="202"/>
      <c r="H332" s="202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92"/>
      <c r="C333" s="161"/>
      <c r="D333" s="161"/>
      <c r="E333" s="109"/>
      <c r="F333" s="202"/>
      <c r="G333" s="202"/>
      <c r="H333" s="202"/>
      <c r="I333" s="109"/>
      <c r="J333" s="109"/>
    </row>
    <row r="334" spans="1:10" s="1" customFormat="1" ht="15.9" customHeight="1">
      <c r="A334" s="109"/>
      <c r="B334" s="45"/>
      <c r="C334" s="42"/>
      <c r="D334" s="161"/>
      <c r="E334" s="109"/>
      <c r="F334" s="507"/>
      <c r="G334" s="507"/>
      <c r="H334" s="202"/>
      <c r="I334" s="109"/>
      <c r="J334" s="109"/>
    </row>
    <row r="335" spans="1:10" s="1" customFormat="1" ht="15.9" customHeight="1">
      <c r="A335" s="39"/>
      <c r="B335" s="109"/>
      <c r="C335" s="161"/>
      <c r="D335" s="161"/>
      <c r="E335" s="109"/>
      <c r="F335" s="37"/>
      <c r="G335" s="38"/>
      <c r="H335" s="109"/>
      <c r="I335" s="109"/>
      <c r="J335" s="109"/>
    </row>
    <row r="336" spans="1:10" s="1" customFormat="1" ht="15.9" customHeight="1">
      <c r="A336" s="44"/>
      <c r="C336" s="43"/>
      <c r="D336" s="161"/>
      <c r="E336" s="109"/>
      <c r="F336" s="109"/>
      <c r="G336" s="109"/>
      <c r="H336" s="109"/>
      <c r="I336" s="44"/>
      <c r="J336" s="119"/>
    </row>
    <row r="337" spans="1:10" s="1" customFormat="1" ht="15.9" customHeight="1">
      <c r="A337" s="40"/>
      <c r="C337" s="44"/>
      <c r="D337" s="84"/>
      <c r="E337" s="44"/>
      <c r="F337" s="44"/>
      <c r="G337" s="44"/>
      <c r="H337" s="44"/>
      <c r="I337" s="32"/>
      <c r="J337" s="40"/>
    </row>
    <row r="338" spans="1:10" s="1" customFormat="1" ht="15.9" customHeight="1">
      <c r="A338" s="109"/>
      <c r="C338" s="161"/>
      <c r="D338" s="85"/>
      <c r="E338" s="40"/>
      <c r="F338" s="32"/>
      <c r="G338" s="40"/>
      <c r="H338" s="32"/>
      <c r="I338" s="24"/>
      <c r="J338" s="24"/>
    </row>
    <row r="339" spans="1:10" s="1" customFormat="1" ht="15.9" customHeight="1">
      <c r="A339" s="109"/>
      <c r="C339" s="163"/>
      <c r="D339" s="161"/>
      <c r="E339" s="109"/>
      <c r="F339" s="161"/>
      <c r="G339" s="109"/>
      <c r="H339" s="109"/>
      <c r="I339" s="24"/>
      <c r="J339" s="24"/>
    </row>
    <row r="340" spans="1:10" s="1" customFormat="1" ht="15.9" customHeight="1">
      <c r="A340" s="109"/>
      <c r="B340" s="33"/>
      <c r="C340" s="161"/>
      <c r="D340" s="161"/>
      <c r="E340" s="109"/>
      <c r="F340" s="161"/>
      <c r="G340" s="109"/>
      <c r="H340" s="109"/>
      <c r="I340" s="162"/>
      <c r="J340" s="162"/>
    </row>
    <row r="341" spans="1:10" s="1" customFormat="1" ht="15.9" customHeight="1">
      <c r="A341" s="109"/>
      <c r="B341" s="33"/>
      <c r="C341" s="44"/>
      <c r="D341" s="161"/>
      <c r="E341" s="109"/>
      <c r="F341" s="161"/>
      <c r="G341" s="109"/>
      <c r="H341" s="162"/>
      <c r="I341" s="161"/>
      <c r="J341" s="161"/>
    </row>
    <row r="342" spans="1:10" s="1" customFormat="1" ht="15.9" customHeight="1">
      <c r="A342" s="109"/>
      <c r="B342" s="33"/>
      <c r="C342" s="42"/>
      <c r="D342" s="161"/>
      <c r="E342" s="109"/>
      <c r="F342" s="161"/>
      <c r="G342" s="109"/>
      <c r="H342" s="161"/>
      <c r="I342" s="161"/>
      <c r="J342" s="161"/>
    </row>
    <row r="343" spans="1:10" s="1" customFormat="1" ht="15.9" customHeight="1">
      <c r="A343" s="109"/>
      <c r="B343" s="33"/>
      <c r="C343" s="163"/>
      <c r="D343" s="161"/>
      <c r="E343" s="109"/>
      <c r="F343" s="161"/>
      <c r="G343" s="109"/>
      <c r="H343" s="161"/>
      <c r="I343" s="109"/>
      <c r="J343" s="24"/>
    </row>
    <row r="344" spans="1:10" s="1" customFormat="1" ht="15.9" customHeight="1">
      <c r="A344" s="109"/>
      <c r="B344" s="33"/>
      <c r="C344" s="161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44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3"/>
      <c r="D350" s="161"/>
      <c r="E350" s="109"/>
      <c r="F350" s="161"/>
      <c r="G350" s="109"/>
      <c r="H350" s="109"/>
      <c r="I350" s="109"/>
      <c r="J350" s="24"/>
    </row>
    <row r="351" spans="1:10" s="1" customFormat="1" ht="15.9" customHeight="1">
      <c r="A351" s="109"/>
      <c r="B351" s="33"/>
      <c r="C351" s="161"/>
      <c r="D351" s="161"/>
      <c r="E351" s="109"/>
      <c r="F351" s="161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1" customFormat="1" ht="15" customHeight="1">
      <c r="A353" s="109"/>
      <c r="B353" s="33"/>
      <c r="C353" s="33"/>
      <c r="D353" s="161"/>
      <c r="E353" s="109"/>
      <c r="F353" s="109"/>
      <c r="G353" s="109"/>
      <c r="H353" s="107"/>
      <c r="I353" s="24"/>
      <c r="J353" s="24"/>
    </row>
    <row r="354" spans="1:10" s="23" customFormat="1" ht="15.9" customHeight="1">
      <c r="A354" s="109"/>
      <c r="B354" s="33"/>
      <c r="C354" s="33"/>
      <c r="D354" s="161"/>
      <c r="E354" s="109"/>
      <c r="F354" s="109"/>
      <c r="G354" s="109"/>
      <c r="H354" s="109"/>
      <c r="I354" s="109"/>
      <c r="J354" s="109"/>
    </row>
    <row r="355" spans="1:10" s="1" customFormat="1" ht="15.9" customHeight="1">
      <c r="A355" s="44"/>
      <c r="B355" s="33"/>
      <c r="C355" s="33"/>
      <c r="D355" s="161"/>
      <c r="E355" s="109"/>
      <c r="F355" s="109"/>
      <c r="G355" s="109"/>
      <c r="H355" s="109"/>
      <c r="I355" s="44"/>
      <c r="J355" s="119"/>
    </row>
    <row r="356" spans="1:10" s="1" customFormat="1" ht="15.9" customHeight="1">
      <c r="A356" s="40"/>
      <c r="B356" s="44"/>
      <c r="C356" s="44"/>
      <c r="D356" s="84"/>
      <c r="E356" s="44"/>
      <c r="F356" s="44"/>
      <c r="G356" s="44"/>
      <c r="H356" s="44"/>
      <c r="I356" s="32"/>
      <c r="J356" s="40"/>
    </row>
    <row r="357" spans="1:10" s="1" customFormat="1" ht="15.9" customHeight="1">
      <c r="A357" s="27"/>
      <c r="B357" s="40"/>
      <c r="C357" s="44"/>
      <c r="D357" s="85"/>
      <c r="E357" s="40"/>
      <c r="F357" s="32"/>
      <c r="G357" s="40"/>
      <c r="H357" s="32"/>
      <c r="I357" s="24"/>
      <c r="J357" s="24"/>
    </row>
    <row r="358" spans="1:10" s="1" customFormat="1" ht="15.9" customHeight="1">
      <c r="A358" s="27"/>
      <c r="B358" s="33"/>
      <c r="C358" s="42"/>
      <c r="D358" s="161"/>
      <c r="E358" s="109"/>
      <c r="F358" s="109"/>
      <c r="G358" s="109"/>
      <c r="H358" s="42"/>
      <c r="I358" s="163"/>
      <c r="J358" s="163"/>
    </row>
    <row r="359" spans="1:10" s="1" customFormat="1" ht="15.9" customHeight="1">
      <c r="A359" s="27"/>
      <c r="B359" s="33"/>
      <c r="C359" s="163"/>
      <c r="D359" s="161"/>
      <c r="E359" s="109"/>
      <c r="F359" s="109"/>
      <c r="G359" s="109"/>
      <c r="H359" s="163"/>
      <c r="I359" s="161"/>
      <c r="J359" s="161"/>
    </row>
    <row r="360" spans="1:10" s="1" customFormat="1" ht="15.9" customHeight="1">
      <c r="A360" s="27"/>
      <c r="B360" s="33"/>
      <c r="C360" s="161"/>
      <c r="D360" s="161"/>
      <c r="E360" s="109"/>
      <c r="F360" s="109"/>
      <c r="G360" s="109"/>
      <c r="H360" s="161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46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161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D372" s="161"/>
      <c r="E372" s="109"/>
      <c r="F372" s="109"/>
      <c r="G372" s="33"/>
      <c r="H372" s="33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42"/>
      <c r="I376" s="163"/>
      <c r="J376" s="163"/>
    </row>
    <row r="377" spans="1:10" s="1" customFormat="1" ht="15.9" customHeight="1">
      <c r="A377" s="27"/>
      <c r="B377" s="33"/>
      <c r="C377" s="47"/>
      <c r="D377" s="161"/>
      <c r="E377" s="109"/>
      <c r="F377" s="109"/>
      <c r="G377" s="109"/>
      <c r="H377" s="163"/>
      <c r="I377" s="161"/>
      <c r="J377" s="161"/>
    </row>
    <row r="378" spans="1:10" s="1" customFormat="1" ht="15.9" customHeight="1">
      <c r="A378" s="27"/>
      <c r="B378" s="33"/>
      <c r="C378" s="46"/>
      <c r="D378" s="161"/>
      <c r="E378" s="109"/>
      <c r="F378" s="109"/>
      <c r="G378" s="109"/>
      <c r="H378" s="161"/>
      <c r="I378" s="24"/>
      <c r="J378" s="24"/>
    </row>
    <row r="379" spans="1:10" s="1" customFormat="1" ht="15.9" customHeight="1">
      <c r="A379" s="27"/>
      <c r="B379" s="33"/>
      <c r="C379" s="161"/>
      <c r="D379" s="161"/>
      <c r="E379" s="109"/>
      <c r="F379" s="109"/>
      <c r="G379" s="109"/>
      <c r="H379" s="42"/>
      <c r="I379" s="163"/>
      <c r="J379" s="163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3"/>
      <c r="I380" s="161"/>
      <c r="J380" s="161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1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64"/>
      <c r="J388" s="16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4"/>
      <c r="I389" s="165"/>
      <c r="J389" s="165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5"/>
      <c r="I390" s="161"/>
      <c r="J390" s="161"/>
    </row>
    <row r="391" spans="1:10" s="1" customFormat="1" ht="15.9" customHeight="1">
      <c r="A391" s="27"/>
      <c r="B391" s="33"/>
      <c r="C391" s="47"/>
      <c r="D391" s="161"/>
      <c r="E391" s="109"/>
      <c r="F391" s="109"/>
      <c r="G391" s="109"/>
      <c r="H391" s="161"/>
      <c r="I391" s="24"/>
      <c r="J391" s="24"/>
    </row>
    <row r="392" spans="1:10" s="1" customFormat="1" ht="15.9" customHeight="1">
      <c r="A392" s="27"/>
      <c r="B392" s="33"/>
      <c r="C392" s="46"/>
      <c r="D392" s="161"/>
      <c r="E392" s="109"/>
      <c r="F392" s="109"/>
      <c r="G392" s="109"/>
      <c r="H392" s="109"/>
      <c r="I392" s="109"/>
      <c r="J392" s="24"/>
    </row>
    <row r="393" spans="1:10" s="1" customFormat="1" ht="15.9" customHeight="1">
      <c r="A393" s="27"/>
      <c r="B393" s="33"/>
      <c r="C393" s="161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23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1" customFormat="1" ht="15.9" customHeight="1">
      <c r="A405" s="44"/>
      <c r="B405" s="33"/>
      <c r="C405" s="33"/>
      <c r="D405" s="161"/>
      <c r="E405" s="109"/>
      <c r="F405" s="109"/>
      <c r="G405" s="109"/>
      <c r="H405" s="109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109"/>
      <c r="B419" s="44"/>
      <c r="C419" s="44"/>
      <c r="D419" s="84"/>
      <c r="E419" s="44"/>
      <c r="F419" s="44"/>
      <c r="G419" s="44"/>
      <c r="H419" s="44"/>
      <c r="I419" s="24"/>
      <c r="J419" s="24"/>
      <c r="K419" s="71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LEFT($J$111,13)&amp;"-04"</f>
        <v>FG-240-6P1L5R-04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A423" s="109"/>
      <c r="B423" s="33"/>
      <c r="C423" s="33"/>
      <c r="D423" s="161"/>
      <c r="E423" s="109"/>
      <c r="F423" s="109"/>
      <c r="G423" s="109"/>
      <c r="H423" s="109"/>
      <c r="I423" s="109"/>
      <c r="J423" s="90" t="str">
        <f>$J$2</f>
        <v>HOMELIFE</v>
      </c>
      <c r="K423" s="7"/>
      <c r="L423" s="7"/>
      <c r="M423" s="2"/>
      <c r="N423" s="2"/>
    </row>
    <row r="424" spans="1:14" ht="24.9" customHeight="1">
      <c r="A424" s="109"/>
      <c r="B424" s="33"/>
      <c r="C424" s="33"/>
      <c r="D424" s="161"/>
      <c r="E424" s="109"/>
      <c r="F424" s="109"/>
      <c r="G424" s="109"/>
      <c r="H424" s="109"/>
      <c r="I424" s="109"/>
      <c r="J424" s="91" t="str">
        <f>$J$3</f>
        <v>Fabricators Guide</v>
      </c>
      <c r="K424" s="7"/>
      <c r="L424" s="7"/>
      <c r="M424" s="2"/>
      <c r="N424" s="2"/>
    </row>
    <row r="425" spans="1:14" ht="24.9" customHeight="1">
      <c r="B425" s="205"/>
      <c r="C425" s="28"/>
      <c r="D425" s="28"/>
      <c r="E425" s="28"/>
      <c r="F425" s="28"/>
      <c r="G425" s="28"/>
      <c r="H425" s="28"/>
      <c r="I425" s="28"/>
      <c r="J425" s="91" t="str">
        <f>$J$4</f>
        <v xml:space="preserve">240 Series Bi Fold Door </v>
      </c>
      <c r="K425" s="48"/>
      <c r="L425" s="48"/>
      <c r="M425" s="4"/>
      <c r="N425" s="4"/>
    </row>
    <row r="426" spans="1:14" s="1" customFormat="1" ht="15" customHeight="1" thickBot="1">
      <c r="A426" s="78"/>
      <c r="B426" s="8"/>
      <c r="C426" s="28"/>
      <c r="D426" s="28"/>
      <c r="E426" s="28"/>
      <c r="F426" s="28"/>
      <c r="G426" s="28"/>
      <c r="H426" s="2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  <c r="K427" s="4"/>
      <c r="L427" s="4"/>
      <c r="M427" s="4"/>
      <c r="N427" s="4"/>
    </row>
    <row r="428" spans="1:14" s="1" customFormat="1" ht="15" customHeight="1">
      <c r="A428" s="193"/>
      <c r="B428" s="194"/>
      <c r="C428" s="194"/>
      <c r="D428" s="194"/>
      <c r="E428" s="194"/>
      <c r="F428" s="194"/>
      <c r="G428" s="194"/>
      <c r="H428" s="194"/>
      <c r="I428" s="193"/>
      <c r="K428" s="56"/>
      <c r="L428" s="56"/>
      <c r="M428" s="56"/>
      <c r="N428" s="56"/>
    </row>
    <row r="429" spans="1:14" s="1" customFormat="1" ht="15" customHeight="1">
      <c r="A429" s="45"/>
      <c r="B429" s="193"/>
      <c r="C429" s="193"/>
      <c r="D429" s="193"/>
      <c r="E429" s="193"/>
      <c r="F429" s="193"/>
      <c r="G429" s="193"/>
      <c r="H429" s="193"/>
      <c r="I429" s="44"/>
      <c r="J429" s="119"/>
    </row>
    <row r="430" spans="1:14" s="1" customFormat="1" ht="15" customHeight="1">
      <c r="A430" s="109"/>
      <c r="B430" s="39"/>
      <c r="C430" s="33"/>
      <c r="D430" s="161"/>
      <c r="E430" s="35"/>
      <c r="F430" s="39"/>
      <c r="G430" s="193"/>
      <c r="H430" s="44"/>
      <c r="I430" s="44"/>
      <c r="J430" s="119"/>
    </row>
    <row r="431" spans="1:14" s="1" customFormat="1" ht="15" customHeight="1">
      <c r="A431" s="109"/>
      <c r="B431" s="33"/>
      <c r="C431" s="33"/>
      <c r="D431" s="161"/>
      <c r="E431" s="35"/>
      <c r="F431" s="161"/>
      <c r="G431" s="193"/>
      <c r="H431" s="44"/>
      <c r="I431" s="44"/>
      <c r="J431" s="119"/>
    </row>
    <row r="432" spans="1:14" s="1" customFormat="1" ht="15" customHeight="1">
      <c r="A432" s="109"/>
      <c r="B432" s="56"/>
      <c r="C432" s="56"/>
      <c r="D432" s="30"/>
      <c r="E432" s="29"/>
      <c r="F432" s="30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109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3"/>
      <c r="H434" s="44"/>
      <c r="I434" s="44"/>
      <c r="J434" s="119"/>
    </row>
    <row r="435" spans="1:10" s="1" customFormat="1" ht="15" customHeight="1">
      <c r="A435" s="109"/>
      <c r="B435" s="33"/>
      <c r="C435" s="161"/>
      <c r="D435" s="161"/>
      <c r="E435" s="35"/>
      <c r="F435" s="161"/>
      <c r="H435" s="44"/>
      <c r="I435" s="44"/>
      <c r="J435" s="119"/>
    </row>
    <row r="436" spans="1:10" s="1" customFormat="1" ht="15" customHeight="1">
      <c r="A436" s="39"/>
      <c r="B436" s="33"/>
      <c r="C436" s="42"/>
      <c r="D436" s="161"/>
      <c r="E436" s="109"/>
      <c r="F436" s="69"/>
      <c r="H436" s="44"/>
      <c r="I436" s="44"/>
      <c r="J436" s="119"/>
    </row>
    <row r="437" spans="1:10" s="1" customFormat="1" ht="15" customHeight="1">
      <c r="A437" s="92"/>
      <c r="B437" s="39"/>
      <c r="C437" s="163"/>
      <c r="D437" s="161"/>
      <c r="E437" s="109"/>
      <c r="F437" s="68"/>
      <c r="H437" s="44"/>
      <c r="I437" s="44"/>
      <c r="J437" s="119"/>
    </row>
    <row r="438" spans="1:10" s="1" customFormat="1" ht="15" customHeight="1">
      <c r="B438" s="92"/>
      <c r="C438" s="161"/>
      <c r="D438" s="161"/>
      <c r="E438" s="109"/>
      <c r="F438" s="202"/>
      <c r="H438" s="44"/>
      <c r="I438" s="44"/>
      <c r="J438" s="119"/>
    </row>
    <row r="439" spans="1:10" s="1" customFormat="1" ht="15" customHeight="1">
      <c r="A439" s="64" t="str">
        <f>A18</f>
        <v>240-6 Panel (1L5R)</v>
      </c>
      <c r="B439" s="92"/>
      <c r="C439" s="161"/>
      <c r="D439" s="161"/>
      <c r="E439" s="109"/>
      <c r="F439" s="202"/>
      <c r="H439" s="44"/>
      <c r="I439" s="44"/>
      <c r="J439" s="119"/>
    </row>
    <row r="440" spans="1:10" s="1" customFormat="1" ht="15.9" customHeight="1">
      <c r="A440" s="76" t="str">
        <f>A19</f>
        <v xml:space="preserve">Outside Bi Fold Door </v>
      </c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39"/>
      <c r="C442" s="161"/>
      <c r="D442" s="161"/>
      <c r="E442" s="109"/>
      <c r="F442" s="37"/>
      <c r="H442" s="44"/>
      <c r="I442" s="44"/>
      <c r="J442" s="119"/>
    </row>
    <row r="443" spans="1:10" s="1" customFormat="1" ht="15.9" customHeight="1">
      <c r="A443" s="39"/>
      <c r="C443" s="161"/>
      <c r="D443" s="161"/>
      <c r="E443" s="109"/>
      <c r="F443" s="37"/>
      <c r="H443" s="44"/>
      <c r="I443" s="44"/>
      <c r="J443" s="119"/>
    </row>
    <row r="444" spans="1:10" s="1" customFormat="1" ht="15.9" customHeight="1">
      <c r="A444" s="44"/>
      <c r="B444" s="38"/>
      <c r="C444" s="43"/>
      <c r="D444" s="161"/>
      <c r="E444" s="109"/>
      <c r="F444" s="109"/>
      <c r="H444" s="44"/>
      <c r="I444" s="44"/>
      <c r="J444" s="119"/>
    </row>
    <row r="445" spans="1:10" s="1" customFormat="1" ht="15.9" customHeight="1">
      <c r="A445" s="40"/>
      <c r="C445" s="44"/>
      <c r="D445" s="84"/>
      <c r="E445" s="44"/>
      <c r="F445" s="44"/>
      <c r="H445" s="44"/>
      <c r="I445" s="44"/>
      <c r="J445" s="119"/>
    </row>
    <row r="446" spans="1:10" ht="15.6">
      <c r="B446" s="64"/>
      <c r="C446" s="163"/>
      <c r="D446" s="161"/>
      <c r="E446" s="109"/>
      <c r="F446" s="161"/>
      <c r="G446" s="109"/>
      <c r="H446" s="109"/>
    </row>
    <row r="451" spans="1:10" s="1" customFormat="1" ht="15.9" customHeight="1">
      <c r="A451" s="109"/>
      <c r="B451"/>
      <c r="C451"/>
      <c r="D451" s="81"/>
      <c r="E451"/>
      <c r="F451"/>
      <c r="G451"/>
      <c r="H451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33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44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161"/>
      <c r="D456" s="161"/>
      <c r="E456" s="109"/>
      <c r="F456" s="161"/>
      <c r="G456" s="109"/>
      <c r="H456" s="109"/>
      <c r="I456" s="24"/>
      <c r="J456" s="24"/>
    </row>
    <row r="457" spans="1:10" s="1" customFormat="1" ht="15.9" customHeight="1">
      <c r="A457" s="109"/>
      <c r="B457" s="33"/>
      <c r="C457" s="163"/>
      <c r="D457" s="161"/>
      <c r="E457" s="109"/>
      <c r="F457" s="161"/>
      <c r="G457" s="109"/>
      <c r="H457" s="109"/>
      <c r="I457" s="109"/>
      <c r="J457" s="24"/>
    </row>
    <row r="458" spans="1:10" s="1" customFormat="1" ht="15.9" customHeight="1">
      <c r="A458" s="109"/>
      <c r="B458" s="33"/>
      <c r="C458" s="161"/>
      <c r="D458" s="161"/>
      <c r="E458" s="109"/>
      <c r="F458" s="161"/>
      <c r="G458" s="109"/>
      <c r="H458" s="109"/>
      <c r="I458" s="24"/>
      <c r="J458" s="24"/>
    </row>
    <row r="459" spans="1:10" s="1" customFormat="1" ht="15.9" customHeight="1">
      <c r="A459" s="109"/>
      <c r="B459" s="33"/>
      <c r="C459" s="33"/>
      <c r="D459" s="161"/>
      <c r="E459" s="109"/>
      <c r="F459" s="109"/>
      <c r="G459" s="109"/>
      <c r="H459" s="109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7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" customHeight="1">
      <c r="A476" s="109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1" customFormat="1" ht="15" customHeight="1">
      <c r="A477" s="109"/>
      <c r="B477" s="33"/>
      <c r="C477" s="33"/>
      <c r="D477" s="161"/>
      <c r="E477" s="109"/>
      <c r="F477" s="109"/>
      <c r="G477" s="109"/>
      <c r="H477" s="109"/>
      <c r="I477" s="24"/>
      <c r="J477" s="24"/>
    </row>
    <row r="478" spans="1:10" s="23" customFormat="1" ht="15.9" customHeight="1">
      <c r="A478" s="109"/>
      <c r="B478" s="33"/>
      <c r="C478" s="33"/>
      <c r="D478" s="161"/>
      <c r="E478" s="109"/>
      <c r="F478" s="109"/>
      <c r="G478" s="109"/>
      <c r="H478" s="109"/>
      <c r="I478" s="109"/>
      <c r="J478" s="109"/>
    </row>
    <row r="479" spans="1:10" s="1" customFormat="1" ht="15.9" customHeight="1">
      <c r="A479" s="44"/>
      <c r="B479" s="33"/>
      <c r="C479" s="33"/>
      <c r="D479" s="161"/>
      <c r="E479" s="109"/>
      <c r="F479" s="109"/>
      <c r="G479" s="109"/>
      <c r="H479" s="109"/>
      <c r="I479" s="44"/>
      <c r="J479" s="119"/>
    </row>
    <row r="480" spans="1:10" s="1" customFormat="1" ht="15.9" customHeight="1">
      <c r="A480" s="40"/>
      <c r="B480" s="44"/>
      <c r="C480" s="44"/>
      <c r="D480" s="84"/>
      <c r="E480" s="44"/>
      <c r="F480" s="44"/>
      <c r="G480" s="44"/>
      <c r="H480" s="44"/>
      <c r="I480" s="32"/>
      <c r="J480" s="40"/>
    </row>
    <row r="481" spans="1:10" s="1" customFormat="1" ht="15.9" customHeight="1">
      <c r="A481" s="27"/>
      <c r="B481" s="40"/>
      <c r="C481" s="44"/>
      <c r="D481" s="85"/>
      <c r="E481" s="40"/>
      <c r="F481" s="32"/>
      <c r="G481" s="40"/>
      <c r="H481" s="32"/>
      <c r="I481" s="24"/>
      <c r="J481" s="24"/>
    </row>
    <row r="482" spans="1:10" s="1" customFormat="1" ht="15.9" customHeight="1">
      <c r="A482" s="27"/>
      <c r="B482" s="33"/>
      <c r="C482" s="42"/>
      <c r="D482" s="161"/>
      <c r="E482" s="109"/>
      <c r="F482" s="109"/>
      <c r="G482" s="109"/>
      <c r="H482" s="42"/>
      <c r="I482" s="67"/>
      <c r="J482" s="165"/>
    </row>
    <row r="483" spans="1:10" s="1" customFormat="1" ht="15.9" customHeight="1">
      <c r="A483" s="27"/>
      <c r="B483" s="33"/>
      <c r="C483" s="163"/>
      <c r="D483" s="161"/>
      <c r="E483" s="109"/>
      <c r="F483" s="109"/>
      <c r="G483" s="109"/>
      <c r="H483" s="67"/>
      <c r="I483" s="38"/>
      <c r="J483" s="109"/>
    </row>
    <row r="484" spans="1:10" s="1" customFormat="1" ht="15.9" customHeight="1">
      <c r="A484" s="27"/>
      <c r="B484" s="33"/>
      <c r="C484" s="161"/>
      <c r="D484" s="161"/>
      <c r="E484" s="109"/>
      <c r="F484" s="109"/>
      <c r="G484" s="109"/>
      <c r="H484" s="38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33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46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161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B492" s="33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B495" s="33"/>
      <c r="C495" s="33"/>
      <c r="D495" s="161"/>
      <c r="E495" s="109"/>
      <c r="F495" s="109"/>
      <c r="G495" s="109"/>
      <c r="H495" s="109"/>
      <c r="I495" s="24"/>
      <c r="J495" s="24"/>
    </row>
    <row r="496" spans="1:10" s="1" customFormat="1" ht="15.9" customHeight="1">
      <c r="A496" s="27"/>
      <c r="D496" s="161"/>
      <c r="E496" s="109"/>
      <c r="F496" s="109"/>
      <c r="G496" s="33"/>
      <c r="H496" s="33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109"/>
      <c r="I499" s="24"/>
      <c r="J499" s="24"/>
    </row>
    <row r="500" spans="1:10" s="1" customFormat="1" ht="15.9" customHeight="1">
      <c r="A500" s="27"/>
      <c r="B500" s="33"/>
      <c r="C500" s="33"/>
      <c r="D500" s="161"/>
      <c r="E500" s="109"/>
      <c r="F500" s="109"/>
      <c r="G500" s="109"/>
      <c r="H500" s="42"/>
      <c r="I500" s="67"/>
      <c r="J500" s="165"/>
    </row>
    <row r="501" spans="1:10" s="1" customFormat="1" ht="15.9" customHeight="1">
      <c r="A501" s="27"/>
      <c r="B501" s="33"/>
      <c r="C501" s="47"/>
      <c r="D501" s="161"/>
      <c r="E501" s="109"/>
      <c r="F501" s="109"/>
      <c r="G501" s="109"/>
      <c r="H501" s="67"/>
      <c r="I501" s="38"/>
      <c r="J501" s="109"/>
    </row>
    <row r="502" spans="1:10" s="1" customFormat="1" ht="15.9" customHeight="1">
      <c r="A502" s="27"/>
      <c r="B502" s="33"/>
      <c r="C502" s="46"/>
      <c r="D502" s="161"/>
      <c r="E502" s="109"/>
      <c r="F502" s="109"/>
      <c r="G502" s="109"/>
      <c r="H502" s="38"/>
      <c r="I502" s="24"/>
      <c r="J502" s="24"/>
    </row>
    <row r="503" spans="1:10" s="1" customFormat="1" ht="15.9" customHeight="1">
      <c r="A503" s="27"/>
      <c r="B503" s="33"/>
      <c r="C503" s="161"/>
      <c r="D503" s="161"/>
      <c r="E503" s="109"/>
      <c r="F503" s="109"/>
      <c r="G503" s="109"/>
      <c r="H503" s="42"/>
      <c r="I503" s="67"/>
      <c r="J503" s="165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67"/>
      <c r="I504" s="38"/>
      <c r="J504" s="109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38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24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109"/>
      <c r="J512" s="24"/>
    </row>
    <row r="513" spans="1:15" s="1" customFormat="1" ht="15.9" customHeight="1">
      <c r="A513" s="27"/>
      <c r="B513" s="33"/>
      <c r="C513" s="33"/>
      <c r="D513" s="161"/>
      <c r="E513" s="109"/>
      <c r="F513" s="109"/>
      <c r="G513" s="109"/>
      <c r="H513" s="109"/>
      <c r="I513" s="109"/>
      <c r="J513" s="24"/>
    </row>
    <row r="514" spans="1:15" s="1" customFormat="1" ht="15.9" customHeight="1">
      <c r="A514" s="27"/>
      <c r="B514" s="33"/>
      <c r="C514" s="33"/>
      <c r="D514" s="161"/>
      <c r="E514" s="109"/>
      <c r="F514" s="109"/>
      <c r="G514" s="109"/>
      <c r="H514" s="109"/>
      <c r="I514" s="43"/>
      <c r="J514" s="107"/>
    </row>
    <row r="515" spans="1:15" s="1" customFormat="1" ht="15.9" customHeight="1">
      <c r="A515" s="44"/>
      <c r="B515" s="44"/>
      <c r="C515" s="44"/>
      <c r="D515" s="84"/>
      <c r="E515" s="44"/>
      <c r="F515" s="44"/>
      <c r="G515" s="44"/>
      <c r="H515" s="44"/>
      <c r="I515" s="44"/>
      <c r="J515" s="119"/>
    </row>
    <row r="516" spans="1:15" s="1" customFormat="1" ht="15.9" customHeight="1">
      <c r="A516" s="44"/>
      <c r="B516" s="44"/>
      <c r="C516" s="44"/>
      <c r="D516" s="84"/>
      <c r="E516" s="44"/>
      <c r="F516" s="44"/>
      <c r="G516" s="44"/>
      <c r="H516" s="44"/>
      <c r="I516" s="44"/>
      <c r="J516" s="119"/>
    </row>
    <row r="517" spans="1:15" s="1" customFormat="1" ht="15.9" customHeight="1">
      <c r="B517" s="44"/>
      <c r="C517" s="44"/>
      <c r="D517" s="84"/>
      <c r="E517" s="44"/>
      <c r="F517" s="44"/>
      <c r="G517" s="44"/>
      <c r="H517" s="44"/>
    </row>
    <row r="518" spans="1:15" s="1" customFormat="1" ht="15.9" customHeight="1" thickBot="1"/>
    <row r="519" spans="1:15" s="1" customFormat="1" ht="24.9" customHeight="1" thickBot="1">
      <c r="A519" s="502" t="s">
        <v>401</v>
      </c>
      <c r="B519" s="503"/>
      <c r="C519" s="503"/>
      <c r="D519" s="503"/>
      <c r="E519" s="503"/>
      <c r="F519" s="503"/>
      <c r="G519" s="503"/>
      <c r="H519" s="503"/>
      <c r="I519" s="503"/>
      <c r="J519" s="504"/>
    </row>
    <row r="520" spans="1:15" s="1" customFormat="1" ht="35.1" customHeight="1" thickBot="1">
      <c r="A520" s="102" t="s">
        <v>2</v>
      </c>
      <c r="B520" s="103" t="s">
        <v>3</v>
      </c>
      <c r="C520" s="103" t="s">
        <v>3</v>
      </c>
      <c r="D520" s="104" t="s">
        <v>35</v>
      </c>
      <c r="E520" s="103" t="s">
        <v>5</v>
      </c>
      <c r="F520" s="339" t="s">
        <v>27</v>
      </c>
      <c r="G520" s="305"/>
      <c r="H520" s="104" t="s">
        <v>27</v>
      </c>
      <c r="I520" s="104" t="s">
        <v>26</v>
      </c>
      <c r="J520" s="115" t="s">
        <v>6</v>
      </c>
      <c r="N520" s="249" t="s">
        <v>3</v>
      </c>
      <c r="O520" s="249" t="s">
        <v>3</v>
      </c>
    </row>
    <row r="521" spans="1:15" s="1" customFormat="1" ht="15.9" customHeight="1">
      <c r="A521" s="123">
        <f>IF(C521="","",1)</f>
        <v>1</v>
      </c>
      <c r="B521" s="121" t="str">
        <f>IF($D$127=5,N521,IF($D$127=6,N522,IF($D$127=8,N523,IF($D$127=10,N524,IF($D$127=12,N525,IF($D$127=14,N526,IF($D$127=18,N527,IF($D$127=20,N528,IF($D$127=22,N529,)))))))))</f>
        <v>กระจก 5 mm (สูง) (กว้าง)</v>
      </c>
      <c r="C521" s="121" t="str">
        <f>IF($D$127=5,O521,IF($D$127=6,O522,IF($D$127=8,O523,IF($D$127=10,O524,IF($D$127=12,O525,IF($D$127=14,O526,IF($D$127=18,O527,IF($D$127=20,O528,IF($D$127=22,O529,)))))))))</f>
        <v>GLASS thk.5 mm (H) (W)</v>
      </c>
      <c r="D521" s="124">
        <f>$J$123-215</f>
        <v>2185</v>
      </c>
      <c r="E521" s="123" t="s">
        <v>11</v>
      </c>
      <c r="F521" s="527" t="s">
        <v>271</v>
      </c>
      <c r="G521" s="528"/>
      <c r="H521" s="123" t="s">
        <v>407</v>
      </c>
      <c r="I521" s="124">
        <f>(($J$126-185-(113.25*5))/6)-13</f>
        <v>511.79166666666663</v>
      </c>
      <c r="J521" s="151">
        <f>$J$120*6</f>
        <v>6</v>
      </c>
      <c r="M521" s="1">
        <f>ROW()</f>
        <v>521</v>
      </c>
      <c r="N521" s="19" t="s">
        <v>194</v>
      </c>
      <c r="O521" s="19" t="s">
        <v>195</v>
      </c>
    </row>
    <row r="522" spans="1:15" s="1" customFormat="1" ht="15.9" customHeight="1">
      <c r="A522" s="346"/>
      <c r="B522" s="295"/>
      <c r="C522" s="295"/>
      <c r="D522" s="296"/>
      <c r="E522" s="238"/>
      <c r="F522" s="251"/>
      <c r="G522" s="297"/>
      <c r="H522" s="238"/>
      <c r="I522" s="298"/>
      <c r="J522" s="299"/>
      <c r="M522" s="1">
        <f>ROW()</f>
        <v>522</v>
      </c>
      <c r="N522" s="19" t="s">
        <v>53</v>
      </c>
      <c r="O522" s="19" t="s">
        <v>54</v>
      </c>
    </row>
    <row r="523" spans="1:15" s="1" customFormat="1" ht="15.9" customHeight="1">
      <c r="A523" s="346"/>
      <c r="B523" s="295"/>
      <c r="C523" s="295"/>
      <c r="D523" s="296"/>
      <c r="E523" s="238"/>
      <c r="F523" s="251"/>
      <c r="G523" s="297"/>
      <c r="H523" s="238"/>
      <c r="I523" s="298"/>
      <c r="J523" s="299"/>
      <c r="M523" s="1">
        <f>ROW()</f>
        <v>523</v>
      </c>
      <c r="N523" s="19" t="s">
        <v>257</v>
      </c>
      <c r="O523" s="19" t="s">
        <v>258</v>
      </c>
    </row>
    <row r="524" spans="1:15" s="1" customFormat="1" ht="15.9" customHeight="1">
      <c r="A524" s="129" t="str">
        <f>IF(B524="","",+#REF!+1)</f>
        <v/>
      </c>
      <c r="B524" s="127"/>
      <c r="C524" s="127"/>
      <c r="D524" s="128"/>
      <c r="E524" s="129"/>
      <c r="F524" s="155"/>
      <c r="G524" s="157"/>
      <c r="H524" s="129"/>
      <c r="I524" s="144"/>
      <c r="J524" s="130"/>
      <c r="M524" s="1">
        <f>ROW()</f>
        <v>524</v>
      </c>
      <c r="N524" s="19" t="s">
        <v>259</v>
      </c>
      <c r="O524" s="19" t="s">
        <v>265</v>
      </c>
    </row>
    <row r="525" spans="1:15" s="1" customFormat="1" ht="15.9" customHeight="1">
      <c r="A525" s="135" t="str">
        <f>IF(B525="","",+A524+1)</f>
        <v/>
      </c>
      <c r="B525" s="133"/>
      <c r="C525" s="133"/>
      <c r="D525" s="134"/>
      <c r="E525" s="135"/>
      <c r="F525" s="158"/>
      <c r="G525" s="159"/>
      <c r="H525" s="135"/>
      <c r="I525" s="145"/>
      <c r="J525" s="136"/>
      <c r="M525" s="1">
        <f>ROW()</f>
        <v>525</v>
      </c>
      <c r="N525" s="19" t="s">
        <v>260</v>
      </c>
      <c r="O525" s="19" t="s">
        <v>266</v>
      </c>
    </row>
    <row r="526" spans="1:15" s="1" customFormat="1" ht="15.9" customHeight="1">
      <c r="A526" s="17"/>
      <c r="B526" s="56"/>
      <c r="C526" s="56"/>
      <c r="D526" s="30"/>
      <c r="E526" s="17"/>
      <c r="F526" s="17"/>
      <c r="G526" s="17"/>
      <c r="H526" s="109"/>
      <c r="I526" s="109"/>
      <c r="J526" s="24"/>
      <c r="M526" s="1">
        <f>ROW()</f>
        <v>526</v>
      </c>
      <c r="N526" s="19" t="s">
        <v>261</v>
      </c>
      <c r="O526" s="19" t="s">
        <v>267</v>
      </c>
    </row>
    <row r="527" spans="1:15">
      <c r="H527" s="294"/>
      <c r="I527" s="294"/>
      <c r="J527" s="99" t="str">
        <f>LEFT($J$111,13)&amp;"-05"</f>
        <v>FG-240-6P1L5R-05</v>
      </c>
      <c r="M527" s="1">
        <f>ROW()</f>
        <v>527</v>
      </c>
      <c r="N527" s="19" t="s">
        <v>262</v>
      </c>
      <c r="O527" s="19" t="s">
        <v>268</v>
      </c>
    </row>
    <row r="528" spans="1:15">
      <c r="M528" s="1">
        <f>ROW()</f>
        <v>528</v>
      </c>
      <c r="N528" s="19" t="s">
        <v>263</v>
      </c>
      <c r="O528" s="19" t="s">
        <v>269</v>
      </c>
    </row>
    <row r="529" spans="13:15">
      <c r="M529" s="1">
        <f>ROW()</f>
        <v>529</v>
      </c>
      <c r="N529" s="19" t="s">
        <v>264</v>
      </c>
      <c r="O529" s="19" t="s">
        <v>270</v>
      </c>
    </row>
  </sheetData>
  <dataConsolidate function="product">
    <dataRefs count="1">
      <dataRef ref="O154:O162" sheet="240_2Panel(L)" r:id="rId1"/>
    </dataRefs>
  </dataConsolidate>
  <mergeCells count="46">
    <mergeCell ref="D127:G127"/>
    <mergeCell ref="A6:J6"/>
    <mergeCell ref="H120:I121"/>
    <mergeCell ref="J120:J121"/>
    <mergeCell ref="A117:J117"/>
    <mergeCell ref="D121:G121"/>
    <mergeCell ref="D119:G119"/>
    <mergeCell ref="H123:I124"/>
    <mergeCell ref="J123:J124"/>
    <mergeCell ref="A125:B125"/>
    <mergeCell ref="H126:I127"/>
    <mergeCell ref="J126:J127"/>
    <mergeCell ref="D123:G123"/>
    <mergeCell ref="D125:G125"/>
    <mergeCell ref="D168:D169"/>
    <mergeCell ref="D170:D171"/>
    <mergeCell ref="H163:H167"/>
    <mergeCell ref="H161:H162"/>
    <mergeCell ref="I157:J157"/>
    <mergeCell ref="I158:J158"/>
    <mergeCell ref="H159:H160"/>
    <mergeCell ref="I159:J160"/>
    <mergeCell ref="D159:D160"/>
    <mergeCell ref="H170:H171"/>
    <mergeCell ref="I161:J161"/>
    <mergeCell ref="A131:J131"/>
    <mergeCell ref="D129:G129"/>
    <mergeCell ref="I154:J154"/>
    <mergeCell ref="I155:J155"/>
    <mergeCell ref="I156:J156"/>
    <mergeCell ref="F521:G521"/>
    <mergeCell ref="A172:J172"/>
    <mergeCell ref="I162:J165"/>
    <mergeCell ref="I166:J167"/>
    <mergeCell ref="A519:J519"/>
    <mergeCell ref="A427:J427"/>
    <mergeCell ref="A320:J320"/>
    <mergeCell ref="A213:J213"/>
    <mergeCell ref="F331:G331"/>
    <mergeCell ref="F334:G334"/>
    <mergeCell ref="F330:G330"/>
    <mergeCell ref="C307:E307"/>
    <mergeCell ref="I168:J168"/>
    <mergeCell ref="H168:H169"/>
    <mergeCell ref="D161:D162"/>
    <mergeCell ref="D163:D167"/>
  </mergeCells>
  <dataValidations count="4">
    <dataValidation type="list" allowBlank="1" showInputMessage="1" showErrorMessage="1" sqref="D127:G127">
      <formula1>$N$120:$N$128</formula1>
    </dataValidation>
    <dataValidation type="list" allowBlank="1" showInputMessage="1" showErrorMessage="1" sqref="C206">
      <formula1>$O$174:$O$192</formula1>
    </dataValidation>
    <dataValidation type="list" allowBlank="1" showInputMessage="1" showErrorMessage="1" sqref="D129:G129">
      <formula1>$O$120</formula1>
    </dataValidation>
    <dataValidation type="list" allowBlank="1" showInputMessage="1" showErrorMessage="1" sqref="D123:G123">
      <formula1>$P$119:$P$128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16383" man="1"/>
    <brk id="421" max="9" man="1"/>
  </rowBreaks>
  <drawing r:id="rId3"/>
  <legacy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>
    <tabColor theme="5" tint="-0.249977111117893"/>
  </sheetPr>
  <dimension ref="A1:X528"/>
  <sheetViews>
    <sheetView showGridLines="0" view="pageBreakPreview" topLeftCell="A115" zoomScale="75" zoomScaleNormal="75" zoomScaleSheetLayoutView="75" workbookViewId="0">
      <selection activeCell="J128" sqref="J128"/>
    </sheetView>
  </sheetViews>
  <sheetFormatPr defaultRowHeight="14.4" outlineLevelRow="1" outlineLevelCol="1"/>
  <cols>
    <col min="1" max="1" width="7" customWidth="1"/>
    <col min="2" max="2" width="40.6640625" customWidth="1"/>
    <col min="3" max="3" width="61.3320312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7.88671875" bestFit="1" customWidth="1"/>
    <col min="9" max="9" width="11.109375" bestFit="1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3.4414062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17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17"/>
      <c r="E3" s="217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155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>
      <c r="G45" s="10"/>
    </row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/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341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17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17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5.6">
      <c r="A118" s="12"/>
      <c r="C118" s="8"/>
      <c r="D118" s="15"/>
      <c r="E118" s="13"/>
      <c r="J118" s="219"/>
      <c r="K118" s="11"/>
      <c r="L118" s="56"/>
      <c r="M118" s="56"/>
      <c r="N118" s="56"/>
    </row>
    <row r="119" spans="1:16" s="1" customFormat="1" ht="18" customHeight="1">
      <c r="A119" s="12"/>
      <c r="C119" s="110" t="s">
        <v>635</v>
      </c>
      <c r="D119" s="524" t="s">
        <v>681</v>
      </c>
      <c r="E119" s="525"/>
      <c r="F119" s="525"/>
      <c r="G119" s="526"/>
      <c r="I119" s="16"/>
      <c r="J119" s="12"/>
      <c r="N119" s="243" t="s">
        <v>191</v>
      </c>
      <c r="O119" s="12" t="s">
        <v>227</v>
      </c>
      <c r="P119" s="247" t="s">
        <v>16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4">
        <v>5</v>
      </c>
      <c r="O120" s="12" t="s">
        <v>243</v>
      </c>
      <c r="P120" s="335" t="s">
        <v>389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6</v>
      </c>
      <c r="O121" s="12" t="s">
        <v>244</v>
      </c>
      <c r="P121" s="336" t="s">
        <v>390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8</v>
      </c>
      <c r="P122" s="336" t="s">
        <v>391</v>
      </c>
    </row>
    <row r="123" spans="1:16" s="1" customFormat="1" ht="15" customHeight="1">
      <c r="A123" s="12"/>
      <c r="C123" s="110" t="s">
        <v>629</v>
      </c>
      <c r="D123" s="524" t="s">
        <v>394</v>
      </c>
      <c r="E123" s="525"/>
      <c r="F123" s="525"/>
      <c r="G123" s="526"/>
      <c r="H123" s="519" t="s">
        <v>638</v>
      </c>
      <c r="I123" s="520"/>
      <c r="J123" s="517">
        <v>2500</v>
      </c>
      <c r="N123" s="245">
        <v>10</v>
      </c>
      <c r="P123" s="336" t="s">
        <v>392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12</v>
      </c>
      <c r="P124" s="335" t="s">
        <v>393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218"/>
      <c r="L125" s="77"/>
      <c r="N125" s="245">
        <v>14</v>
      </c>
      <c r="P125" s="335" t="s">
        <v>394</v>
      </c>
    </row>
    <row r="126" spans="1:16" s="1" customFormat="1" ht="15" customHeight="1">
      <c r="A126" s="219"/>
      <c r="B126" s="219"/>
      <c r="C126" s="423" t="s">
        <v>631</v>
      </c>
      <c r="D126" s="15"/>
      <c r="H126" s="519" t="s">
        <v>639</v>
      </c>
      <c r="I126" s="520"/>
      <c r="J126" s="517">
        <v>4000</v>
      </c>
      <c r="K126" s="218"/>
      <c r="L126" s="77"/>
      <c r="N126" s="245">
        <v>18</v>
      </c>
      <c r="P126" s="335" t="s">
        <v>395</v>
      </c>
    </row>
    <row r="127" spans="1:16" s="1" customFormat="1" ht="15" customHeight="1">
      <c r="A127" s="219"/>
      <c r="B127" s="219"/>
      <c r="C127" s="110" t="s">
        <v>633</v>
      </c>
      <c r="D127" s="534">
        <v>6</v>
      </c>
      <c r="E127" s="535"/>
      <c r="F127" s="535"/>
      <c r="G127" s="536"/>
      <c r="H127" s="520"/>
      <c r="I127" s="520"/>
      <c r="J127" s="518"/>
      <c r="N127" s="245">
        <v>20</v>
      </c>
      <c r="P127" s="335" t="s">
        <v>396</v>
      </c>
    </row>
    <row r="128" spans="1:16" s="1" customFormat="1" ht="18.75" customHeight="1">
      <c r="C128" s="423" t="s">
        <v>632</v>
      </c>
      <c r="I128" s="12"/>
      <c r="J128" s="12"/>
      <c r="N128" s="245">
        <v>22</v>
      </c>
      <c r="P128" s="335" t="s">
        <v>397</v>
      </c>
    </row>
    <row r="129" spans="1:23" s="1" customFormat="1" ht="15" customHeight="1">
      <c r="A129" s="88" t="str">
        <f>A18</f>
        <v>240-6 Panel (3L3R)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  <c r="P129" s="1" t="s">
        <v>11</v>
      </c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3940</v>
      </c>
      <c r="J133" s="125">
        <f t="shared" ref="J133:J153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12</v>
      </c>
      <c r="U133" s="283" t="s">
        <v>298</v>
      </c>
      <c r="V133" s="307">
        <f>($J$126-185-(113.25*5))/6</f>
        <v>541.45833333333337</v>
      </c>
      <c r="W133" s="286">
        <f>$J$121*T133</f>
        <v>0</v>
      </c>
    </row>
    <row r="134" spans="1:23" s="1" customFormat="1" ht="18" customHeight="1">
      <c r="A134" s="143">
        <f t="shared" ref="A134:A153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3914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12</v>
      </c>
      <c r="U134" s="129" t="s">
        <v>298</v>
      </c>
      <c r="V134" s="307">
        <f t="shared" ref="V134:V135" si="2">($J$126-185-(113.25*5))/6</f>
        <v>541.45833333333337</v>
      </c>
      <c r="W134" s="131">
        <f t="shared" ref="W134:W135" si="3">$J$121*T134</f>
        <v>0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3940</v>
      </c>
      <c r="J135" s="131">
        <f t="shared" ref="J135:J139" si="4">$J$120*G135</f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12</v>
      </c>
      <c r="U135" s="135" t="s">
        <v>298</v>
      </c>
      <c r="V135" s="307">
        <f t="shared" si="2"/>
        <v>541.45833333333337</v>
      </c>
      <c r="W135" s="293">
        <f t="shared" si="3"/>
        <v>0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3940</v>
      </c>
      <c r="J136" s="131">
        <f t="shared" si="4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12</v>
      </c>
      <c r="U136" s="283" t="s">
        <v>64</v>
      </c>
      <c r="V136" s="288">
        <f>$J$123-242</f>
        <v>2258</v>
      </c>
      <c r="W136" s="286">
        <f>$J$121*T136</f>
        <v>0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2500</v>
      </c>
      <c r="J137" s="131">
        <f t="shared" si="4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12</v>
      </c>
      <c r="U137" s="129" t="s">
        <v>64</v>
      </c>
      <c r="V137" s="130">
        <f>$J$123-242</f>
        <v>2258</v>
      </c>
      <c r="W137" s="131">
        <f t="shared" ref="W137:W138" si="5">$J$121*T137</f>
        <v>0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2500</v>
      </c>
      <c r="J138" s="131">
        <f t="shared" si="4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12</v>
      </c>
      <c r="U138" s="135" t="s">
        <v>64</v>
      </c>
      <c r="V138" s="136">
        <f>$J$123-242</f>
        <v>2258</v>
      </c>
      <c r="W138" s="293">
        <f t="shared" si="5"/>
        <v>0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2404</v>
      </c>
      <c r="J139" s="131">
        <f t="shared" si="4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2404</v>
      </c>
      <c r="J140" s="131">
        <f t="shared" ref="J140" si="6">$J$120*G140</f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6</v>
      </c>
      <c r="H141" s="143" t="s">
        <v>298</v>
      </c>
      <c r="I141" s="178">
        <f>($J$126-185-(113.25*5))/6</f>
        <v>541.45833333333337</v>
      </c>
      <c r="J141" s="131">
        <f t="shared" ref="J141:J150" si="7">$J$120*G141</f>
        <v>6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6</v>
      </c>
      <c r="H142" s="143" t="s">
        <v>298</v>
      </c>
      <c r="I142" s="178">
        <f>($J$126-185-(113.25*5))/6</f>
        <v>541.45833333333337</v>
      </c>
      <c r="J142" s="131">
        <f t="shared" si="7"/>
        <v>6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9</v>
      </c>
      <c r="H143" s="143" t="s">
        <v>63</v>
      </c>
      <c r="I143" s="130">
        <f>$J$123-92</f>
        <v>2408</v>
      </c>
      <c r="J143" s="131">
        <f t="shared" si="7"/>
        <v>9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1</v>
      </c>
      <c r="H144" s="143" t="s">
        <v>63</v>
      </c>
      <c r="I144" s="130">
        <f t="shared" ref="I144:I146" si="8">$J$123-92</f>
        <v>2408</v>
      </c>
      <c r="J144" s="131">
        <f t="shared" si="7"/>
        <v>1</v>
      </c>
      <c r="N144" s="98"/>
    </row>
    <row r="145" spans="1:14" s="1" customFormat="1" ht="18" customHeight="1">
      <c r="A145" s="143">
        <f t="shared" si="1"/>
        <v>13</v>
      </c>
      <c r="B145" s="140" t="s">
        <v>116</v>
      </c>
      <c r="C145" s="140" t="s">
        <v>58</v>
      </c>
      <c r="D145" s="139" t="s">
        <v>50</v>
      </c>
      <c r="E145" s="143">
        <v>1.1060000000000001</v>
      </c>
      <c r="F145" s="139" t="s">
        <v>496</v>
      </c>
      <c r="G145" s="143">
        <v>1</v>
      </c>
      <c r="H145" s="143" t="s">
        <v>63</v>
      </c>
      <c r="I145" s="130">
        <f t="shared" si="8"/>
        <v>2408</v>
      </c>
      <c r="J145" s="131">
        <f t="shared" si="7"/>
        <v>1</v>
      </c>
      <c r="N145" s="98"/>
    </row>
    <row r="146" spans="1:14" s="1" customFormat="1" ht="18" customHeight="1">
      <c r="A146" s="143">
        <f t="shared" si="1"/>
        <v>14</v>
      </c>
      <c r="B146" s="140" t="s">
        <v>116</v>
      </c>
      <c r="C146" s="140" t="s">
        <v>99</v>
      </c>
      <c r="D146" s="139" t="s">
        <v>50</v>
      </c>
      <c r="E146" s="143">
        <v>1.1060000000000001</v>
      </c>
      <c r="F146" s="139" t="s">
        <v>506</v>
      </c>
      <c r="G146" s="143">
        <v>1</v>
      </c>
      <c r="H146" s="143" t="s">
        <v>63</v>
      </c>
      <c r="I146" s="130">
        <f t="shared" si="8"/>
        <v>2408</v>
      </c>
      <c r="J146" s="131">
        <f t="shared" si="7"/>
        <v>1</v>
      </c>
      <c r="N146" s="98"/>
    </row>
    <row r="147" spans="1:14" s="1" customFormat="1" ht="18" customHeight="1">
      <c r="A147" s="143">
        <f t="shared" si="1"/>
        <v>15</v>
      </c>
      <c r="B147" s="127" t="str">
        <f t="shared" ref="B147:I147" si="9">IF($D$127=5,O133,IF($D$127=6,O133,IF($D$127=8,O134,IF($D$127=10,O134,IF($D$127=12,O134,IF($D$127=14,O135,IF($D$127=18,O135,IF($D$127=20,O135,IF($D$127=22,O135,)))))))))</f>
        <v>5-6mm คิ้วตบกระจกแนวนอน</v>
      </c>
      <c r="C147" s="127" t="str">
        <f t="shared" si="9"/>
        <v>5-6mm GLAZING BEAD HORIZONTAL</v>
      </c>
      <c r="D147" s="127" t="str">
        <f t="shared" si="9"/>
        <v>B24008</v>
      </c>
      <c r="E147" s="127">
        <f t="shared" si="9"/>
        <v>0.23100000000000001</v>
      </c>
      <c r="F147" s="127" t="str">
        <f t="shared" si="9"/>
        <v>B24008-001</v>
      </c>
      <c r="G147" s="129">
        <f t="shared" si="9"/>
        <v>12</v>
      </c>
      <c r="H147" s="129" t="str">
        <f t="shared" si="9"/>
        <v>(W-185-(113.25 × 5))/6</v>
      </c>
      <c r="I147" s="178">
        <f t="shared" si="9"/>
        <v>541.45833333333337</v>
      </c>
      <c r="J147" s="131">
        <f t="shared" si="7"/>
        <v>12</v>
      </c>
      <c r="N147" s="98"/>
    </row>
    <row r="148" spans="1:14" s="1" customFormat="1" ht="18" customHeight="1">
      <c r="A148" s="143">
        <f t="shared" si="1"/>
        <v>16</v>
      </c>
      <c r="B148" s="127" t="str">
        <f t="shared" ref="B148:I148" si="10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27" t="str">
        <f t="shared" si="10"/>
        <v>5-6mm GLAZING BEAD VERTICAL</v>
      </c>
      <c r="D148" s="127" t="str">
        <f t="shared" si="10"/>
        <v>B24008</v>
      </c>
      <c r="E148" s="127">
        <f t="shared" si="10"/>
        <v>0.23100000000000001</v>
      </c>
      <c r="F148" s="127" t="str">
        <f t="shared" si="10"/>
        <v>B24008-002</v>
      </c>
      <c r="G148" s="129">
        <f t="shared" si="10"/>
        <v>12</v>
      </c>
      <c r="H148" s="129" t="str">
        <f t="shared" si="10"/>
        <v>H-242</v>
      </c>
      <c r="I148" s="144">
        <f t="shared" si="10"/>
        <v>2258</v>
      </c>
      <c r="J148" s="131">
        <f t="shared" si="7"/>
        <v>12</v>
      </c>
      <c r="N148" s="98"/>
    </row>
    <row r="149" spans="1:14" s="1" customFormat="1" ht="18" customHeight="1">
      <c r="A149" s="143">
        <f t="shared" si="1"/>
        <v>17</v>
      </c>
      <c r="B149" s="140" t="s">
        <v>125</v>
      </c>
      <c r="C149" s="140" t="s">
        <v>124</v>
      </c>
      <c r="D149" s="139" t="s">
        <v>123</v>
      </c>
      <c r="E149" s="143"/>
      <c r="F149" s="139" t="s">
        <v>362</v>
      </c>
      <c r="G149" s="143">
        <v>1</v>
      </c>
      <c r="H149" s="143" t="s">
        <v>63</v>
      </c>
      <c r="I149" s="130">
        <f>$J$123-92</f>
        <v>2408</v>
      </c>
      <c r="J149" s="131">
        <f t="shared" si="7"/>
        <v>1</v>
      </c>
      <c r="N149" s="98"/>
    </row>
    <row r="150" spans="1:14" s="1" customFormat="1" ht="18" customHeight="1">
      <c r="A150" s="143">
        <f t="shared" si="1"/>
        <v>18</v>
      </c>
      <c r="B150" s="140" t="s">
        <v>125</v>
      </c>
      <c r="C150" s="140" t="s">
        <v>124</v>
      </c>
      <c r="D150" s="139" t="s">
        <v>123</v>
      </c>
      <c r="E150" s="143"/>
      <c r="F150" s="139" t="s">
        <v>363</v>
      </c>
      <c r="G150" s="143">
        <v>1</v>
      </c>
      <c r="H150" s="143" t="s">
        <v>63</v>
      </c>
      <c r="I150" s="130">
        <f>$J$123-92</f>
        <v>2408</v>
      </c>
      <c r="J150" s="131">
        <f t="shared" si="7"/>
        <v>1</v>
      </c>
      <c r="N150" s="98"/>
    </row>
    <row r="151" spans="1:14" s="1" customFormat="1" ht="18" customHeight="1">
      <c r="A151" s="143" t="str">
        <f t="shared" si="1"/>
        <v/>
      </c>
      <c r="B151" s="140"/>
      <c r="C151" s="140"/>
      <c r="D151" s="139"/>
      <c r="E151" s="143"/>
      <c r="F151" s="139"/>
      <c r="G151" s="143"/>
      <c r="H151" s="143"/>
      <c r="I151" s="130"/>
      <c r="J151" s="131"/>
      <c r="N151" s="98"/>
    </row>
    <row r="152" spans="1:14" s="1" customFormat="1" ht="18" customHeight="1">
      <c r="A152" s="143" t="str">
        <f t="shared" si="1"/>
        <v/>
      </c>
      <c r="B152" s="140"/>
      <c r="C152" s="140"/>
      <c r="D152" s="139"/>
      <c r="E152" s="143"/>
      <c r="F152" s="139"/>
      <c r="G152" s="143"/>
      <c r="H152" s="143"/>
      <c r="I152" s="144"/>
      <c r="J152" s="131">
        <f t="shared" si="0"/>
        <v>0</v>
      </c>
      <c r="N152" s="98"/>
    </row>
    <row r="153" spans="1:14" s="1" customFormat="1" ht="18" customHeight="1" thickBot="1">
      <c r="A153" s="143" t="str">
        <f t="shared" si="1"/>
        <v/>
      </c>
      <c r="B153" s="167"/>
      <c r="C153" s="167"/>
      <c r="D153" s="168"/>
      <c r="E153" s="166"/>
      <c r="F153" s="168"/>
      <c r="G153" s="166"/>
      <c r="H153" s="166"/>
      <c r="I153" s="171"/>
      <c r="J153" s="172">
        <f t="shared" si="0"/>
        <v>0</v>
      </c>
    </row>
    <row r="154" spans="1:14" s="1" customFormat="1" ht="27" outlineLevel="1" thickBot="1">
      <c r="A154" s="169" t="s">
        <v>2</v>
      </c>
      <c r="B154" s="169" t="s">
        <v>29</v>
      </c>
      <c r="C154" s="169" t="s">
        <v>3</v>
      </c>
      <c r="D154" s="169" t="s">
        <v>4</v>
      </c>
      <c r="E154" s="169" t="s">
        <v>5</v>
      </c>
      <c r="F154" s="177" t="s">
        <v>85</v>
      </c>
      <c r="G154" s="169" t="s">
        <v>22</v>
      </c>
      <c r="H154" s="170" t="s">
        <v>23</v>
      </c>
      <c r="I154" s="540"/>
      <c r="J154" s="541"/>
    </row>
    <row r="155" spans="1:14" s="1" customFormat="1" ht="15" customHeight="1" outlineLevel="1">
      <c r="A155" s="21">
        <f>IF(B155="","",1)</f>
        <v>1</v>
      </c>
      <c r="B155" s="173" t="str">
        <f t="shared" ref="B155:C161" si="11">B133</f>
        <v>เฟรมบน</v>
      </c>
      <c r="C155" s="173" t="str">
        <f t="shared" si="11"/>
        <v>HEAD</v>
      </c>
      <c r="D155" s="174" t="str">
        <f>VLOOKUP(C155,$C$133:$H$153,2,0)</f>
        <v>B24001</v>
      </c>
      <c r="E155" s="175">
        <f t="shared" ref="E155:E161" si="12">VLOOKUP(C155,$C$133:$H$153,3,0)</f>
        <v>1.603</v>
      </c>
      <c r="F155" s="353">
        <f>VLOOKUP(C155,$C$133:$J$153,7,0)</f>
        <v>3940</v>
      </c>
      <c r="G155" s="175">
        <f t="shared" ref="G155:G161" si="13">VLOOKUP(C155,$C$133:$J$153,8,0)</f>
        <v>1</v>
      </c>
      <c r="H155" s="191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ref="A156:A161" si="14">IF(B156="","",+A155+1)</f>
        <v>2</v>
      </c>
      <c r="B156" s="173" t="str">
        <f t="shared" si="11"/>
        <v>บังใบบน</v>
      </c>
      <c r="C156" s="173" t="str">
        <f t="shared" si="11"/>
        <v>DOOR STOP HEAD</v>
      </c>
      <c r="D156" s="174" t="str">
        <f>VLOOKUP(C156,$C$133:$H$153,2,0)</f>
        <v>B24002</v>
      </c>
      <c r="E156" s="175">
        <f t="shared" si="12"/>
        <v>0.27800000000000002</v>
      </c>
      <c r="F156" s="353">
        <f t="shared" ref="F156:F161" si="15">VLOOKUP(C156,$C$133:$I$153,7,0)</f>
        <v>3914</v>
      </c>
      <c r="G156" s="175">
        <f t="shared" si="13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si="14"/>
        <v>3</v>
      </c>
      <c r="B157" s="173" t="str">
        <f t="shared" si="11"/>
        <v xml:space="preserve">เฟรมล่าง </v>
      </c>
      <c r="C157" s="173" t="str">
        <f t="shared" si="11"/>
        <v>SILL</v>
      </c>
      <c r="D157" s="174" t="str">
        <f>VLOOKUP(C157,$C$133:$H$153,2,0)</f>
        <v>B24003</v>
      </c>
      <c r="E157" s="175">
        <f t="shared" si="12"/>
        <v>1.603</v>
      </c>
      <c r="F157" s="353">
        <f t="shared" si="15"/>
        <v>3940</v>
      </c>
      <c r="G157" s="175">
        <f t="shared" si="13"/>
        <v>1</v>
      </c>
      <c r="H157" s="192">
        <f t="shared" ref="H157:H158" si="16">ROUNDUP((F157*G157)/6400,0)</f>
        <v>1</v>
      </c>
      <c r="I157" s="501"/>
      <c r="J157" s="501"/>
    </row>
    <row r="158" spans="1:14" s="1" customFormat="1" ht="15" customHeight="1" outlineLevel="1">
      <c r="A158" s="18">
        <f t="shared" si="14"/>
        <v>4</v>
      </c>
      <c r="B158" s="173" t="str">
        <f t="shared" si="11"/>
        <v>ตัวตับธรณี</v>
      </c>
      <c r="C158" s="173" t="str">
        <f t="shared" si="11"/>
        <v>DOOR STOP SILL</v>
      </c>
      <c r="D158" s="174" t="str">
        <f>VLOOKUP(C158,$C$133:$H$153,2,0)</f>
        <v>B24004</v>
      </c>
      <c r="E158" s="175">
        <f t="shared" si="12"/>
        <v>0.51600000000000001</v>
      </c>
      <c r="F158" s="353">
        <f t="shared" si="15"/>
        <v>3940</v>
      </c>
      <c r="G158" s="175">
        <f t="shared" si="13"/>
        <v>1</v>
      </c>
      <c r="H158" s="192">
        <f t="shared" si="16"/>
        <v>1</v>
      </c>
      <c r="I158" s="501"/>
      <c r="J158" s="501"/>
    </row>
    <row r="159" spans="1:14" s="1" customFormat="1" ht="15" customHeight="1" outlineLevel="1">
      <c r="A159" s="18">
        <f t="shared" si="14"/>
        <v>5</v>
      </c>
      <c r="B159" s="173" t="str">
        <f t="shared" si="11"/>
        <v>เฟรมข้าง (ซ้าย)</v>
      </c>
      <c r="C159" s="173" t="str">
        <f t="shared" si="11"/>
        <v>JAMB (L)</v>
      </c>
      <c r="D159" s="508" t="str">
        <f>VLOOKUP(C159,$C$133:$H$153,2,0)</f>
        <v>B24005</v>
      </c>
      <c r="E159" s="175">
        <f t="shared" si="12"/>
        <v>0.89300000000000002</v>
      </c>
      <c r="F159" s="353">
        <f t="shared" si="15"/>
        <v>2500</v>
      </c>
      <c r="G159" s="175">
        <f t="shared" si="13"/>
        <v>1</v>
      </c>
      <c r="H159" s="516">
        <f>ROUNDUP(((F159*G159)+(F160*G160))/6400,0)</f>
        <v>1</v>
      </c>
      <c r="I159" s="506"/>
      <c r="J159" s="506"/>
    </row>
    <row r="160" spans="1:14" s="1" customFormat="1" ht="15" customHeight="1" outlineLevel="1">
      <c r="A160" s="18">
        <f t="shared" si="14"/>
        <v>6</v>
      </c>
      <c r="B160" s="173" t="str">
        <f t="shared" si="11"/>
        <v>เฟรมข้าง (ขวา)</v>
      </c>
      <c r="C160" s="173" t="str">
        <f t="shared" si="11"/>
        <v>JAMB (R)</v>
      </c>
      <c r="D160" s="509"/>
      <c r="E160" s="175">
        <f t="shared" si="12"/>
        <v>0.89300000000000002</v>
      </c>
      <c r="F160" s="353">
        <f t="shared" si="15"/>
        <v>2500</v>
      </c>
      <c r="G160" s="175">
        <f t="shared" si="13"/>
        <v>1</v>
      </c>
      <c r="H160" s="516"/>
      <c r="I160" s="506"/>
      <c r="J160" s="506"/>
    </row>
    <row r="161" spans="1:23" s="1" customFormat="1" ht="15" customHeight="1" outlineLevel="1">
      <c r="A161" s="18">
        <f t="shared" si="14"/>
        <v>7</v>
      </c>
      <c r="B161" s="173" t="str">
        <f>B139</f>
        <v>บังใบข้าง (ซ้าย)</v>
      </c>
      <c r="C161" s="173" t="str">
        <f t="shared" si="11"/>
        <v>DOOR STOP JAMB (L)</v>
      </c>
      <c r="D161" s="508" t="str">
        <f>VLOOKUP(C161,$C$133:$H$153,2,0)</f>
        <v>B24006</v>
      </c>
      <c r="E161" s="175">
        <f t="shared" si="12"/>
        <v>0.23499999999999999</v>
      </c>
      <c r="F161" s="353">
        <f t="shared" si="15"/>
        <v>2404</v>
      </c>
      <c r="G161" s="175">
        <f t="shared" si="13"/>
        <v>1</v>
      </c>
      <c r="H161" s="516">
        <f>ROUNDUP(((F161*G161)+(F162*G162))/6400,0)</f>
        <v>1</v>
      </c>
      <c r="I161" s="501"/>
      <c r="J161" s="501"/>
    </row>
    <row r="162" spans="1:23" s="1" customFormat="1" ht="15" customHeight="1" outlineLevel="1">
      <c r="A162" s="18">
        <f t="shared" ref="A162:A172" si="17">IF(B162="","",+A161+1)</f>
        <v>8</v>
      </c>
      <c r="B162" s="173" t="str">
        <f t="shared" ref="B162:C162" si="18">B140</f>
        <v>บังใบข้าง (ขวา)</v>
      </c>
      <c r="C162" s="173" t="str">
        <f t="shared" si="18"/>
        <v>DOOR STOP JAMB (R)</v>
      </c>
      <c r="D162" s="509"/>
      <c r="E162" s="175">
        <f t="shared" ref="E162:E172" si="19">VLOOKUP(C162,$C$133:$H$153,3,0)</f>
        <v>0.23499999999999999</v>
      </c>
      <c r="F162" s="353">
        <f t="shared" ref="F162:F172" si="20">VLOOKUP(C162,$C$133:$I$153,7,0)</f>
        <v>2404</v>
      </c>
      <c r="G162" s="175">
        <f t="shared" ref="G162:G172" si="21">VLOOKUP(C162,$C$133:$J$153,8,0)</f>
        <v>1</v>
      </c>
      <c r="H162" s="516"/>
      <c r="I162" s="506"/>
      <c r="J162" s="506"/>
    </row>
    <row r="163" spans="1:23" s="1" customFormat="1" ht="13.8" outlineLevel="1">
      <c r="A163" s="18">
        <f t="shared" si="17"/>
        <v>9</v>
      </c>
      <c r="B163" s="173" t="str">
        <f t="shared" ref="B163:C163" si="22">B141</f>
        <v>ขวางบน</v>
      </c>
      <c r="C163" s="173" t="str">
        <f t="shared" si="22"/>
        <v>SASH (Hor) (T)</v>
      </c>
      <c r="D163" s="508" t="str">
        <f>VLOOKUP(C163,$C$133:$H$153,2,0)</f>
        <v>B24007</v>
      </c>
      <c r="E163" s="175">
        <f t="shared" si="19"/>
        <v>1.1060000000000001</v>
      </c>
      <c r="F163" s="353">
        <f t="shared" si="20"/>
        <v>541.45833333333337</v>
      </c>
      <c r="G163" s="175">
        <f t="shared" si="21"/>
        <v>6</v>
      </c>
      <c r="H163" s="512">
        <f>ROUNDUP(((F163*G163)+(F164*G164)+(F165*G165)+(F166*G166)+(F167*G167)+(F168*G168))/6400,0)</f>
        <v>6</v>
      </c>
      <c r="I163" s="506"/>
      <c r="J163" s="506"/>
    </row>
    <row r="164" spans="1:23" s="1" customFormat="1" ht="13.8" outlineLevel="1">
      <c r="A164" s="18">
        <f t="shared" si="17"/>
        <v>10</v>
      </c>
      <c r="B164" s="173" t="str">
        <f t="shared" ref="B164:C164" si="23">B142</f>
        <v>ขวางล่าง</v>
      </c>
      <c r="C164" s="173" t="str">
        <f t="shared" si="23"/>
        <v>SASH (Hor) (B)</v>
      </c>
      <c r="D164" s="510"/>
      <c r="E164" s="175">
        <f t="shared" si="19"/>
        <v>1.1060000000000001</v>
      </c>
      <c r="F164" s="353">
        <f t="shared" si="20"/>
        <v>541.45833333333337</v>
      </c>
      <c r="G164" s="175">
        <f t="shared" si="21"/>
        <v>6</v>
      </c>
      <c r="H164" s="514"/>
      <c r="I164" s="506"/>
      <c r="J164" s="506"/>
    </row>
    <row r="165" spans="1:23" s="1" customFormat="1" ht="13.8" outlineLevel="1">
      <c r="A165" s="18">
        <f t="shared" si="17"/>
        <v>11</v>
      </c>
      <c r="B165" s="173" t="str">
        <f t="shared" ref="B165:C165" si="24">B143</f>
        <v>เสา</v>
      </c>
      <c r="C165" s="173" t="str">
        <f t="shared" si="24"/>
        <v xml:space="preserve">SASH (Ver) </v>
      </c>
      <c r="D165" s="510"/>
      <c r="E165" s="175">
        <f t="shared" si="19"/>
        <v>1.1060000000000001</v>
      </c>
      <c r="F165" s="353">
        <f t="shared" si="20"/>
        <v>2408</v>
      </c>
      <c r="G165" s="175">
        <f t="shared" si="21"/>
        <v>9</v>
      </c>
      <c r="H165" s="514"/>
      <c r="I165" s="506"/>
      <c r="J165" s="506"/>
    </row>
    <row r="166" spans="1:23" s="1" customFormat="1" ht="13.8" outlineLevel="1">
      <c r="A166" s="18">
        <f t="shared" si="17"/>
        <v>12</v>
      </c>
      <c r="B166" s="173" t="str">
        <f t="shared" ref="B166:C166" si="25">B144</f>
        <v>เสากุญแจ</v>
      </c>
      <c r="C166" s="173" t="str">
        <f t="shared" si="25"/>
        <v xml:space="preserve">SASH (Ver) LOCK </v>
      </c>
      <c r="D166" s="510"/>
      <c r="E166" s="175">
        <f t="shared" si="19"/>
        <v>1.1060000000000001</v>
      </c>
      <c r="F166" s="353">
        <f t="shared" si="20"/>
        <v>2408</v>
      </c>
      <c r="G166" s="175">
        <f t="shared" si="21"/>
        <v>1</v>
      </c>
      <c r="H166" s="514"/>
      <c r="I166" s="506"/>
      <c r="J166" s="506"/>
    </row>
    <row r="167" spans="1:23" s="1" customFormat="1" ht="13.8" outlineLevel="1">
      <c r="A167" s="18">
        <f t="shared" si="17"/>
        <v>13</v>
      </c>
      <c r="B167" s="173" t="str">
        <f t="shared" ref="B167:C167" si="26">B145</f>
        <v>เสากุญแจมือจับ</v>
      </c>
      <c r="C167" s="173" t="str">
        <f t="shared" si="26"/>
        <v xml:space="preserve">SASH (Ver) LOCK </v>
      </c>
      <c r="D167" s="510"/>
      <c r="E167" s="175">
        <f t="shared" si="19"/>
        <v>1.1060000000000001</v>
      </c>
      <c r="F167" s="353">
        <f t="shared" si="20"/>
        <v>2408</v>
      </c>
      <c r="G167" s="175">
        <f t="shared" si="21"/>
        <v>1</v>
      </c>
      <c r="H167" s="514"/>
      <c r="I167" s="506"/>
      <c r="J167" s="506"/>
    </row>
    <row r="168" spans="1:23" s="1" customFormat="1" ht="13.8" outlineLevel="1">
      <c r="A168" s="18">
        <f t="shared" si="17"/>
        <v>14</v>
      </c>
      <c r="B168" s="173" t="str">
        <f t="shared" ref="B168:C168" si="27">B146</f>
        <v>เสากุญแจมือจับ</v>
      </c>
      <c r="C168" s="173" t="str">
        <f t="shared" si="27"/>
        <v>SASH (Ver) LOCK HANDLE</v>
      </c>
      <c r="D168" s="509"/>
      <c r="E168" s="175">
        <f t="shared" si="19"/>
        <v>1.1060000000000001</v>
      </c>
      <c r="F168" s="353">
        <f t="shared" si="20"/>
        <v>2408</v>
      </c>
      <c r="G168" s="175">
        <f t="shared" si="21"/>
        <v>1</v>
      </c>
      <c r="H168" s="515"/>
      <c r="I168" s="501"/>
      <c r="J168" s="501"/>
    </row>
    <row r="169" spans="1:23" s="1" customFormat="1" ht="13.8" outlineLevel="1">
      <c r="A169" s="18">
        <f t="shared" si="17"/>
        <v>15</v>
      </c>
      <c r="B169" s="173" t="str">
        <f t="shared" ref="B169:C169" si="28">B147</f>
        <v>5-6mm คิ้วตบกระจกแนวนอน</v>
      </c>
      <c r="C169" s="173" t="str">
        <f t="shared" si="28"/>
        <v>5-6mm GLAZING BEAD HORIZONTAL</v>
      </c>
      <c r="D169" s="508" t="str">
        <f t="shared" ref="D169:D171" si="29">VLOOKUP(C169,$C$133:$H$153,2,0)</f>
        <v>B24008</v>
      </c>
      <c r="E169" s="175">
        <f t="shared" si="19"/>
        <v>0.23100000000000001</v>
      </c>
      <c r="F169" s="353">
        <f t="shared" si="20"/>
        <v>541.45833333333337</v>
      </c>
      <c r="G169" s="175">
        <f t="shared" si="21"/>
        <v>12</v>
      </c>
      <c r="H169" s="516">
        <f>ROUNDUP(((F169*G169)+(F170*G170))/6400,0)</f>
        <v>6</v>
      </c>
      <c r="I169" s="215"/>
      <c r="J169" s="215"/>
    </row>
    <row r="170" spans="1:23" s="1" customFormat="1" ht="13.8" outlineLevel="1">
      <c r="A170" s="18">
        <f t="shared" si="17"/>
        <v>16</v>
      </c>
      <c r="B170" s="173" t="str">
        <f t="shared" ref="B170:C170" si="30">B148</f>
        <v>5-6mm คิ้วตบกระจกแนวตั้ง</v>
      </c>
      <c r="C170" s="173" t="str">
        <f t="shared" si="30"/>
        <v>5-6mm GLAZING BEAD VERTICAL</v>
      </c>
      <c r="D170" s="509"/>
      <c r="E170" s="175">
        <f t="shared" si="19"/>
        <v>0.23100000000000001</v>
      </c>
      <c r="F170" s="353">
        <f t="shared" si="20"/>
        <v>2258</v>
      </c>
      <c r="G170" s="175">
        <f t="shared" si="21"/>
        <v>12</v>
      </c>
      <c r="H170" s="516"/>
      <c r="I170" s="215"/>
      <c r="J170" s="215"/>
    </row>
    <row r="171" spans="1:23" s="1" customFormat="1" ht="13.8" outlineLevel="1">
      <c r="A171" s="18">
        <f t="shared" si="17"/>
        <v>17</v>
      </c>
      <c r="B171" s="173" t="str">
        <f t="shared" ref="B171:C171" si="31">B149</f>
        <v>บังใบ</v>
      </c>
      <c r="C171" s="173" t="str">
        <f t="shared" si="31"/>
        <v>SASH STOP</v>
      </c>
      <c r="D171" s="508" t="str">
        <f t="shared" si="29"/>
        <v>B24009</v>
      </c>
      <c r="E171" s="175">
        <f t="shared" si="19"/>
        <v>0</v>
      </c>
      <c r="F171" s="353">
        <f t="shared" si="20"/>
        <v>2408</v>
      </c>
      <c r="G171" s="175">
        <f t="shared" si="21"/>
        <v>1</v>
      </c>
      <c r="H171" s="516">
        <f>ROUNDUP(((F171*G171)+(F172*G172))/6400,0)</f>
        <v>1</v>
      </c>
      <c r="I171" s="215"/>
      <c r="J171" s="215"/>
    </row>
    <row r="172" spans="1:23" s="1" customFormat="1" outlineLevel="1" thickBot="1">
      <c r="A172" s="18">
        <f t="shared" si="17"/>
        <v>18</v>
      </c>
      <c r="B172" s="173" t="str">
        <f t="shared" ref="B172:C172" si="32">B150</f>
        <v>บังใบ</v>
      </c>
      <c r="C172" s="173" t="str">
        <f t="shared" si="32"/>
        <v>SASH STOP</v>
      </c>
      <c r="D172" s="511"/>
      <c r="E172" s="175">
        <f t="shared" si="19"/>
        <v>0</v>
      </c>
      <c r="F172" s="353">
        <f t="shared" si="20"/>
        <v>2408</v>
      </c>
      <c r="G172" s="175">
        <f t="shared" si="21"/>
        <v>1</v>
      </c>
      <c r="H172" s="516"/>
      <c r="I172" s="215"/>
      <c r="J172" s="215"/>
    </row>
    <row r="173" spans="1:23" s="1" customFormat="1" ht="24.9" customHeight="1" thickBot="1">
      <c r="A173" s="529" t="s">
        <v>9</v>
      </c>
      <c r="B173" s="530"/>
      <c r="C173" s="530"/>
      <c r="D173" s="530"/>
      <c r="E173" s="530"/>
      <c r="F173" s="530"/>
      <c r="G173" s="530"/>
      <c r="H173" s="530"/>
      <c r="I173" s="530"/>
      <c r="J173" s="531"/>
    </row>
    <row r="174" spans="1:23" s="1" customFormat="1" ht="35.1" customHeight="1" thickBot="1">
      <c r="A174" s="102" t="s">
        <v>2</v>
      </c>
      <c r="B174" s="103" t="s">
        <v>29</v>
      </c>
      <c r="C174" s="103" t="s">
        <v>3</v>
      </c>
      <c r="D174" s="103" t="s">
        <v>199</v>
      </c>
      <c r="E174" s="103" t="s">
        <v>5</v>
      </c>
      <c r="F174" s="104" t="s">
        <v>28</v>
      </c>
      <c r="G174" s="103" t="s">
        <v>19</v>
      </c>
      <c r="H174" s="104" t="s">
        <v>200</v>
      </c>
      <c r="I174" s="104" t="s">
        <v>20</v>
      </c>
      <c r="J174" s="115" t="s">
        <v>201</v>
      </c>
      <c r="N174" s="101" t="s">
        <v>191</v>
      </c>
      <c r="O174" s="246" t="s">
        <v>29</v>
      </c>
      <c r="P174" s="246" t="s">
        <v>3</v>
      </c>
      <c r="Q174" s="246" t="s">
        <v>199</v>
      </c>
      <c r="R174" s="246" t="s">
        <v>5</v>
      </c>
      <c r="S174" s="246" t="s">
        <v>28</v>
      </c>
      <c r="T174" s="246" t="s">
        <v>19</v>
      </c>
      <c r="U174" s="246" t="s">
        <v>200</v>
      </c>
      <c r="V174" s="246" t="s">
        <v>20</v>
      </c>
      <c r="W174" s="246" t="s">
        <v>201</v>
      </c>
    </row>
    <row r="175" spans="1:23" s="1" customFormat="1" ht="18" customHeight="1">
      <c r="A175" s="200">
        <f>IF(B175="","",1)</f>
        <v>1</v>
      </c>
      <c r="B175" s="140" t="s">
        <v>111</v>
      </c>
      <c r="C175" s="140" t="s">
        <v>67</v>
      </c>
      <c r="D175" s="139" t="s">
        <v>74</v>
      </c>
      <c r="E175" s="143"/>
      <c r="F175" s="143" t="s">
        <v>74</v>
      </c>
      <c r="G175" s="143" t="s">
        <v>202</v>
      </c>
      <c r="H175" s="143">
        <v>12</v>
      </c>
      <c r="I175" s="130"/>
      <c r="J175" s="131">
        <f>$J$120*H175</f>
        <v>12</v>
      </c>
      <c r="N175" s="101" t="s">
        <v>226</v>
      </c>
      <c r="O175" s="280" t="s">
        <v>252</v>
      </c>
      <c r="P175" s="290" t="s">
        <v>248</v>
      </c>
      <c r="Q175" s="280" t="s">
        <v>69</v>
      </c>
      <c r="R175" s="213"/>
      <c r="S175" s="213" t="s">
        <v>69</v>
      </c>
      <c r="T175" s="213" t="s">
        <v>198</v>
      </c>
      <c r="U175" s="291">
        <f>((($I$141*$G$141)+($I$142*$G$142)+($I$143*$G$143)+($I$144*$G$144)+($I$145*$G$145)+($I$147*$G$146))/1000)*$J$120</f>
        <v>33.526958333333333</v>
      </c>
      <c r="V175" s="291">
        <v>100</v>
      </c>
      <c r="W175" s="292">
        <f>ROUNDUP((U175)/100,0)</f>
        <v>1</v>
      </c>
    </row>
    <row r="176" spans="1:23" s="1" customFormat="1" ht="18" customHeight="1">
      <c r="A176" s="201">
        <f>IF(B176="","",+A175+1)</f>
        <v>2</v>
      </c>
      <c r="B176" s="140" t="s">
        <v>106</v>
      </c>
      <c r="C176" s="140" t="s">
        <v>503</v>
      </c>
      <c r="D176" s="139" t="s">
        <v>75</v>
      </c>
      <c r="E176" s="143"/>
      <c r="F176" s="143" t="s">
        <v>75</v>
      </c>
      <c r="G176" s="143" t="s">
        <v>202</v>
      </c>
      <c r="H176" s="143">
        <v>2</v>
      </c>
      <c r="I176" s="130"/>
      <c r="J176" s="131">
        <f t="shared" ref="J176:J200" si="33">$J$120*H176</f>
        <v>2</v>
      </c>
      <c r="N176" s="101" t="s">
        <v>230</v>
      </c>
      <c r="O176" s="280" t="s">
        <v>253</v>
      </c>
      <c r="P176" s="290" t="s">
        <v>249</v>
      </c>
      <c r="Q176" s="280" t="s">
        <v>188</v>
      </c>
      <c r="R176" s="213"/>
      <c r="S176" s="213" t="s">
        <v>188</v>
      </c>
      <c r="T176" s="213" t="s">
        <v>198</v>
      </c>
      <c r="U176" s="291">
        <f>((($I$141*$G$141)+($I$142*$G$142)+($I$143*$G$143)+($I$144*$G$144)+($I$145*$G$145)+($I$147*$G$146))/1000)*$J$120</f>
        <v>33.526958333333333</v>
      </c>
      <c r="V176" s="291">
        <v>100</v>
      </c>
      <c r="W176" s="292">
        <f t="shared" ref="W176:W178" si="34">ROUNDUP((U176)/100,0)</f>
        <v>1</v>
      </c>
    </row>
    <row r="177" spans="1:23" s="1" customFormat="1" ht="18" customHeight="1">
      <c r="A177" s="201">
        <f t="shared" ref="A177:A204" si="35">IF(B177="","",+A176+1)</f>
        <v>3</v>
      </c>
      <c r="B177" s="140" t="s">
        <v>107</v>
      </c>
      <c r="C177" s="140" t="s">
        <v>504</v>
      </c>
      <c r="D177" s="139" t="s">
        <v>76</v>
      </c>
      <c r="E177" s="143"/>
      <c r="F177" s="143" t="s">
        <v>76</v>
      </c>
      <c r="G177" s="143" t="s">
        <v>202</v>
      </c>
      <c r="H177" s="143">
        <v>2</v>
      </c>
      <c r="I177" s="130"/>
      <c r="J177" s="131">
        <f t="shared" si="33"/>
        <v>2</v>
      </c>
      <c r="N177" s="101" t="s">
        <v>229</v>
      </c>
      <c r="O177" s="290" t="s">
        <v>254</v>
      </c>
      <c r="P177" s="290" t="s">
        <v>250</v>
      </c>
      <c r="Q177" s="280" t="s">
        <v>70</v>
      </c>
      <c r="R177" s="213"/>
      <c r="S177" s="213" t="s">
        <v>70</v>
      </c>
      <c r="T177" s="213" t="s">
        <v>198</v>
      </c>
      <c r="U177" s="291">
        <f>((($I$141*$G$141)+($I$142*$G$142)+($I$143*$G$143)+($I$144*$G$144)+($I$145*$G$145)+($I$147*$G$146))/1000)*$J$120</f>
        <v>33.526958333333333</v>
      </c>
      <c r="V177" s="291">
        <v>100</v>
      </c>
      <c r="W177" s="292">
        <f t="shared" si="34"/>
        <v>1</v>
      </c>
    </row>
    <row r="178" spans="1:23" s="1" customFormat="1" ht="18" customHeight="1">
      <c r="A178" s="201">
        <f t="shared" si="35"/>
        <v>4</v>
      </c>
      <c r="B178" s="140" t="s">
        <v>108</v>
      </c>
      <c r="C178" s="140" t="s">
        <v>10</v>
      </c>
      <c r="D178" s="139">
        <v>9</v>
      </c>
      <c r="E178" s="143"/>
      <c r="F178" s="143">
        <v>9</v>
      </c>
      <c r="G178" s="143" t="s">
        <v>202</v>
      </c>
      <c r="H178" s="143">
        <v>8</v>
      </c>
      <c r="I178" s="130"/>
      <c r="J178" s="131">
        <f t="shared" si="33"/>
        <v>8</v>
      </c>
      <c r="N178" s="101" t="s">
        <v>231</v>
      </c>
      <c r="O178" s="290" t="s">
        <v>255</v>
      </c>
      <c r="P178" s="290" t="s">
        <v>251</v>
      </c>
      <c r="Q178" s="280" t="s">
        <v>189</v>
      </c>
      <c r="R178" s="213"/>
      <c r="S178" s="213" t="s">
        <v>189</v>
      </c>
      <c r="T178" s="213" t="s">
        <v>198</v>
      </c>
      <c r="U178" s="291">
        <f>((($I$141*$G$141)+($I$142*$G$142)+($I$143*$G$143)+($I$144*$G$144)+($I$145*$G$145)+($I$147*$G$146))/1000)*$J$120</f>
        <v>33.526958333333333</v>
      </c>
      <c r="V178" s="291">
        <v>100</v>
      </c>
      <c r="W178" s="292">
        <f t="shared" si="34"/>
        <v>1</v>
      </c>
    </row>
    <row r="179" spans="1:23" s="1" customFormat="1" ht="18" customHeight="1">
      <c r="A179" s="201">
        <f t="shared" si="35"/>
        <v>5</v>
      </c>
      <c r="B179" s="140" t="s">
        <v>109</v>
      </c>
      <c r="C179" s="140" t="s">
        <v>68</v>
      </c>
      <c r="D179" s="139">
        <v>9</v>
      </c>
      <c r="E179" s="143"/>
      <c r="F179" s="143">
        <v>9</v>
      </c>
      <c r="G179" s="143" t="s">
        <v>202</v>
      </c>
      <c r="H179" s="143">
        <v>110</v>
      </c>
      <c r="I179" s="130"/>
      <c r="J179" s="131">
        <f t="shared" si="33"/>
        <v>110</v>
      </c>
      <c r="N179" s="101" t="s">
        <v>232</v>
      </c>
      <c r="O179" s="290" t="s">
        <v>256</v>
      </c>
      <c r="P179" s="290" t="s">
        <v>247</v>
      </c>
      <c r="Q179" s="280" t="s">
        <v>233</v>
      </c>
      <c r="R179" s="213"/>
      <c r="S179" s="213" t="s">
        <v>233</v>
      </c>
      <c r="T179" s="213" t="s">
        <v>198</v>
      </c>
      <c r="U179" s="291">
        <f>((($I$141*$G$141)+($I$142*$G$142)+($I$143*$G$143)+($I$144*$G$144)+($I$145*$G$145)+($I$147*$G$146))/1000)*$J$120</f>
        <v>33.526958333333333</v>
      </c>
      <c r="V179" s="291">
        <v>100</v>
      </c>
      <c r="W179" s="292">
        <f>ROUNDUP((U179)/100,0)</f>
        <v>1</v>
      </c>
    </row>
    <row r="180" spans="1:23" s="1" customFormat="1" ht="18" customHeight="1">
      <c r="A180" s="201">
        <f t="shared" si="35"/>
        <v>6</v>
      </c>
      <c r="B180" s="140" t="s">
        <v>143</v>
      </c>
      <c r="C180" s="140" t="s">
        <v>121</v>
      </c>
      <c r="D180" s="139" t="s">
        <v>103</v>
      </c>
      <c r="E180" s="143"/>
      <c r="F180" s="143" t="s">
        <v>103</v>
      </c>
      <c r="G180" s="143" t="s">
        <v>185</v>
      </c>
      <c r="H180" s="143">
        <v>2</v>
      </c>
      <c r="I180" s="130"/>
      <c r="J180" s="131">
        <f t="shared" si="33"/>
        <v>2</v>
      </c>
    </row>
    <row r="181" spans="1:23" s="1" customFormat="1" ht="18" customHeight="1">
      <c r="A181" s="201">
        <f t="shared" si="35"/>
        <v>7</v>
      </c>
      <c r="B181" s="140" t="s">
        <v>118</v>
      </c>
      <c r="C181" s="140" t="s">
        <v>77</v>
      </c>
      <c r="D181" s="139" t="s">
        <v>80</v>
      </c>
      <c r="E181" s="143"/>
      <c r="F181" s="143" t="s">
        <v>80</v>
      </c>
      <c r="G181" s="143" t="s">
        <v>185</v>
      </c>
      <c r="H181" s="143">
        <v>1</v>
      </c>
      <c r="I181" s="130"/>
      <c r="J181" s="131">
        <f t="shared" si="33"/>
        <v>1</v>
      </c>
    </row>
    <row r="182" spans="1:23" s="1" customFormat="1" ht="18" customHeight="1">
      <c r="A182" s="201">
        <f t="shared" si="35"/>
        <v>8</v>
      </c>
      <c r="B182" s="140" t="s">
        <v>120</v>
      </c>
      <c r="C182" s="140" t="s">
        <v>94</v>
      </c>
      <c r="D182" s="139" t="s">
        <v>96</v>
      </c>
      <c r="E182" s="143"/>
      <c r="F182" s="143" t="s">
        <v>96</v>
      </c>
      <c r="G182" s="143" t="s">
        <v>185</v>
      </c>
      <c r="H182" s="143">
        <v>1</v>
      </c>
      <c r="I182" s="130"/>
      <c r="J182" s="131">
        <f t="shared" si="33"/>
        <v>1</v>
      </c>
    </row>
    <row r="183" spans="1:23" s="1" customFormat="1" ht="18" customHeight="1">
      <c r="A183" s="201">
        <f t="shared" si="35"/>
        <v>9</v>
      </c>
      <c r="B183" s="140" t="s">
        <v>131</v>
      </c>
      <c r="C183" s="140" t="s">
        <v>100</v>
      </c>
      <c r="D183" s="139" t="s">
        <v>102</v>
      </c>
      <c r="E183" s="143"/>
      <c r="F183" s="143" t="s">
        <v>102</v>
      </c>
      <c r="G183" s="143" t="s">
        <v>185</v>
      </c>
      <c r="H183" s="143">
        <v>2</v>
      </c>
      <c r="I183" s="130"/>
      <c r="J183" s="131">
        <f t="shared" si="33"/>
        <v>2</v>
      </c>
    </row>
    <row r="184" spans="1:23" s="1" customFormat="1" ht="18" customHeight="1">
      <c r="A184" s="201">
        <f t="shared" si="35"/>
        <v>10</v>
      </c>
      <c r="B184" s="140" t="s">
        <v>113</v>
      </c>
      <c r="C184" s="140" t="s">
        <v>502</v>
      </c>
      <c r="D184" s="139" t="s">
        <v>83</v>
      </c>
      <c r="E184" s="143"/>
      <c r="F184" s="143" t="s">
        <v>83</v>
      </c>
      <c r="G184" s="143" t="s">
        <v>185</v>
      </c>
      <c r="H184" s="143">
        <v>2</v>
      </c>
      <c r="I184" s="144"/>
      <c r="J184" s="131">
        <f t="shared" ref="J184:J189" si="36">$J$120*H184</f>
        <v>2</v>
      </c>
      <c r="N184" s="56"/>
      <c r="O184" s="56"/>
      <c r="P184" s="56"/>
      <c r="Q184" s="289"/>
      <c r="R184" s="289"/>
      <c r="S184" s="289"/>
      <c r="T184" s="17"/>
      <c r="U184" s="17"/>
      <c r="V184" s="17"/>
      <c r="W184" s="56"/>
    </row>
    <row r="185" spans="1:23" s="1" customFormat="1" ht="18" customHeight="1">
      <c r="A185" s="201">
        <f t="shared" si="35"/>
        <v>11</v>
      </c>
      <c r="B185" s="140" t="s">
        <v>122</v>
      </c>
      <c r="C185" s="140" t="s">
        <v>101</v>
      </c>
      <c r="D185" s="139" t="s">
        <v>104</v>
      </c>
      <c r="E185" s="143"/>
      <c r="F185" s="139" t="s">
        <v>104</v>
      </c>
      <c r="G185" s="143" t="s">
        <v>185</v>
      </c>
      <c r="H185" s="143">
        <v>1</v>
      </c>
      <c r="I185" s="144"/>
      <c r="J185" s="131">
        <f t="shared" si="36"/>
        <v>1</v>
      </c>
      <c r="N185" s="101" t="s">
        <v>227</v>
      </c>
      <c r="O185" s="246" t="s">
        <v>29</v>
      </c>
      <c r="P185" s="246" t="s">
        <v>3</v>
      </c>
      <c r="Q185" s="246" t="s">
        <v>199</v>
      </c>
      <c r="R185" s="246" t="s">
        <v>5</v>
      </c>
      <c r="S185" s="246" t="s">
        <v>28</v>
      </c>
      <c r="T185" s="246" t="s">
        <v>19</v>
      </c>
      <c r="U185" s="246" t="s">
        <v>200</v>
      </c>
      <c r="V185" s="246" t="s">
        <v>20</v>
      </c>
      <c r="W185" s="246" t="s">
        <v>201</v>
      </c>
    </row>
    <row r="186" spans="1:23" s="1" customFormat="1" ht="18" customHeight="1">
      <c r="A186" s="201">
        <f t="shared" si="35"/>
        <v>12</v>
      </c>
      <c r="B186" s="140" t="s">
        <v>112</v>
      </c>
      <c r="C186" s="140" t="s">
        <v>114</v>
      </c>
      <c r="D186" s="139" t="s">
        <v>520</v>
      </c>
      <c r="E186" s="143"/>
      <c r="F186" s="143" t="s">
        <v>520</v>
      </c>
      <c r="G186" s="143" t="s">
        <v>202</v>
      </c>
      <c r="H186" s="143">
        <v>4</v>
      </c>
      <c r="I186" s="144"/>
      <c r="J186" s="131">
        <f t="shared" si="36"/>
        <v>4</v>
      </c>
      <c r="N186" s="101" t="s">
        <v>240</v>
      </c>
      <c r="O186" s="290" t="s">
        <v>234</v>
      </c>
      <c r="P186" s="290" t="s">
        <v>236</v>
      </c>
      <c r="Q186" s="280" t="s">
        <v>190</v>
      </c>
      <c r="R186" s="213"/>
      <c r="S186" s="213" t="s">
        <v>190</v>
      </c>
      <c r="T186" s="213" t="s">
        <v>198</v>
      </c>
      <c r="U186" s="291">
        <f>((($I$134*$G$134)+($I$136*$G$136)+($I$139*$G$139))/1000)*$J$120</f>
        <v>10.257999999999999</v>
      </c>
      <c r="V186" s="291">
        <v>300</v>
      </c>
      <c r="W186" s="292">
        <f>ROUNDUP((U186)/V186,0)</f>
        <v>1</v>
      </c>
    </row>
    <row r="187" spans="1:23" s="1" customFormat="1" ht="18" customHeight="1">
      <c r="A187" s="201">
        <f t="shared" si="35"/>
        <v>13</v>
      </c>
      <c r="B187" s="140" t="s">
        <v>115</v>
      </c>
      <c r="C187" s="140" t="s">
        <v>45</v>
      </c>
      <c r="D187" s="139" t="s">
        <v>84</v>
      </c>
      <c r="E187" s="143"/>
      <c r="F187" s="143" t="s">
        <v>84</v>
      </c>
      <c r="G187" s="143" t="s">
        <v>202</v>
      </c>
      <c r="H187" s="143">
        <v>1</v>
      </c>
      <c r="I187" s="130"/>
      <c r="J187" s="131">
        <f t="shared" si="36"/>
        <v>1</v>
      </c>
      <c r="N187" s="101" t="s">
        <v>241</v>
      </c>
      <c r="O187" s="290" t="s">
        <v>235</v>
      </c>
      <c r="P187" s="290" t="s">
        <v>238</v>
      </c>
      <c r="Q187" s="280" t="s">
        <v>71</v>
      </c>
      <c r="R187" s="213"/>
      <c r="S187" s="213" t="s">
        <v>71</v>
      </c>
      <c r="T187" s="213" t="s">
        <v>198</v>
      </c>
      <c r="U187" s="291">
        <f>((($I$134*$G$134)+($I$136*$G$136)+($I$139*$G$139))/1000)*$J$120</f>
        <v>10.257999999999999</v>
      </c>
      <c r="V187" s="291">
        <v>100</v>
      </c>
      <c r="W187" s="292">
        <f t="shared" ref="W187:W189" si="37">ROUNDUP((U187)/V187,0)</f>
        <v>1</v>
      </c>
    </row>
    <row r="188" spans="1:23" s="1" customFormat="1" ht="18" customHeight="1">
      <c r="A188" s="201">
        <f t="shared" si="35"/>
        <v>14</v>
      </c>
      <c r="B188" s="140" t="s">
        <v>110</v>
      </c>
      <c r="C188" s="140" t="s">
        <v>66</v>
      </c>
      <c r="D188" s="139" t="s">
        <v>128</v>
      </c>
      <c r="E188" s="143"/>
      <c r="F188" s="143" t="s">
        <v>128</v>
      </c>
      <c r="G188" s="143" t="s">
        <v>202</v>
      </c>
      <c r="H188" s="143">
        <v>1</v>
      </c>
      <c r="I188" s="130"/>
      <c r="J188" s="131">
        <f t="shared" si="36"/>
        <v>1</v>
      </c>
      <c r="N188" s="101" t="s">
        <v>240</v>
      </c>
      <c r="O188" s="290" t="s">
        <v>245</v>
      </c>
      <c r="P188" s="290" t="s">
        <v>237</v>
      </c>
      <c r="Q188" s="280" t="s">
        <v>72</v>
      </c>
      <c r="R188" s="213"/>
      <c r="S188" s="213" t="s">
        <v>72</v>
      </c>
      <c r="T188" s="213" t="s">
        <v>198</v>
      </c>
      <c r="U188" s="291">
        <f>((($I$141*$G$141*2)+($I$143*$G$143*2)+($I$144*$G$144*2))/1000)*$J$120</f>
        <v>54.657499999999999</v>
      </c>
      <c r="V188" s="291">
        <v>350</v>
      </c>
      <c r="W188" s="292">
        <f t="shared" si="37"/>
        <v>1</v>
      </c>
    </row>
    <row r="189" spans="1:23" s="1" customFormat="1" ht="18" customHeight="1">
      <c r="A189" s="201">
        <f t="shared" si="35"/>
        <v>15</v>
      </c>
      <c r="B189" s="140" t="s">
        <v>110</v>
      </c>
      <c r="C189" s="140" t="s">
        <v>66</v>
      </c>
      <c r="D189" s="139" t="s">
        <v>73</v>
      </c>
      <c r="E189" s="143"/>
      <c r="F189" s="143" t="s">
        <v>73</v>
      </c>
      <c r="G189" s="143" t="s">
        <v>202</v>
      </c>
      <c r="H189" s="143">
        <v>2</v>
      </c>
      <c r="I189" s="130"/>
      <c r="J189" s="131">
        <f t="shared" si="36"/>
        <v>2</v>
      </c>
      <c r="N189" s="101" t="s">
        <v>241</v>
      </c>
      <c r="O189" s="290" t="s">
        <v>246</v>
      </c>
      <c r="P189" s="290" t="s">
        <v>239</v>
      </c>
      <c r="Q189" s="280" t="s">
        <v>193</v>
      </c>
      <c r="R189" s="213"/>
      <c r="S189" s="213" t="s">
        <v>193</v>
      </c>
      <c r="T189" s="213" t="s">
        <v>198</v>
      </c>
      <c r="U189" s="291">
        <f>((($I$141*$G$141*2)+($I$143*$G$143*2)+($I$144*$G$144*2))/1000)*$J$120</f>
        <v>54.657499999999999</v>
      </c>
      <c r="V189" s="291">
        <v>100</v>
      </c>
      <c r="W189" s="292">
        <f t="shared" si="37"/>
        <v>1</v>
      </c>
    </row>
    <row r="190" spans="1:23" s="1" customFormat="1" ht="18" customHeight="1">
      <c r="A190" s="201">
        <f t="shared" si="35"/>
        <v>16</v>
      </c>
      <c r="B190" s="140" t="s">
        <v>647</v>
      </c>
      <c r="C190" s="140" t="s">
        <v>127</v>
      </c>
      <c r="D190" s="139" t="s">
        <v>126</v>
      </c>
      <c r="E190" s="143"/>
      <c r="F190" s="143" t="s">
        <v>126</v>
      </c>
      <c r="G190" s="143" t="s">
        <v>185</v>
      </c>
      <c r="H190" s="143">
        <v>1</v>
      </c>
      <c r="I190" s="130"/>
      <c r="J190" s="131">
        <f>$J$120*H190</f>
        <v>1</v>
      </c>
    </row>
    <row r="191" spans="1:23" s="1" customFormat="1" ht="18" customHeight="1">
      <c r="A191" s="201">
        <f t="shared" si="35"/>
        <v>17</v>
      </c>
      <c r="B191" s="140" t="s">
        <v>648</v>
      </c>
      <c r="C191" s="140" t="s">
        <v>127</v>
      </c>
      <c r="D191" s="139" t="s">
        <v>521</v>
      </c>
      <c r="E191" s="143"/>
      <c r="F191" s="143" t="s">
        <v>521</v>
      </c>
      <c r="G191" s="143" t="s">
        <v>185</v>
      </c>
      <c r="H191" s="143">
        <v>1</v>
      </c>
      <c r="I191" s="130"/>
      <c r="J191" s="131">
        <f t="shared" ref="J191" si="38">$J$120*H191</f>
        <v>1</v>
      </c>
    </row>
    <row r="192" spans="1:23" s="1" customFormat="1" ht="18" customHeight="1">
      <c r="A192" s="201">
        <f t="shared" si="35"/>
        <v>18</v>
      </c>
      <c r="B192" s="140" t="s">
        <v>512</v>
      </c>
      <c r="C192" s="140" t="s">
        <v>135</v>
      </c>
      <c r="D192" s="139" t="s">
        <v>137</v>
      </c>
      <c r="E192" s="143"/>
      <c r="F192" s="143" t="s">
        <v>137</v>
      </c>
      <c r="G192" s="143" t="s">
        <v>198</v>
      </c>
      <c r="H192" s="261">
        <f>((($I$149*$G$149)+($I$150*$G$150))/1000)*$J$120</f>
        <v>4.8159999999999998</v>
      </c>
      <c r="I192" s="258">
        <v>100</v>
      </c>
      <c r="J192" s="267">
        <f>ROUNDUP((H192)/100,0)</f>
        <v>1</v>
      </c>
    </row>
    <row r="193" spans="1:24" s="1" customFormat="1" ht="18" customHeight="1">
      <c r="A193" s="201">
        <f t="shared" si="35"/>
        <v>19</v>
      </c>
      <c r="B193" s="140" t="s">
        <v>513</v>
      </c>
      <c r="C193" s="140" t="s">
        <v>136</v>
      </c>
      <c r="D193" s="139" t="s">
        <v>138</v>
      </c>
      <c r="E193" s="143"/>
      <c r="F193" s="143" t="s">
        <v>138</v>
      </c>
      <c r="G193" s="143" t="s">
        <v>198</v>
      </c>
      <c r="H193" s="261">
        <f>((($I$145*$G$145)+($I$146*$G$146))/1000)*$J$120</f>
        <v>4.8159999999999998</v>
      </c>
      <c r="I193" s="258">
        <v>100</v>
      </c>
      <c r="J193" s="267">
        <f>ROUNDUP((H193)/100,0)</f>
        <v>1</v>
      </c>
    </row>
    <row r="194" spans="1:24" s="1" customFormat="1" ht="18" customHeight="1">
      <c r="A194" s="201">
        <f t="shared" si="35"/>
        <v>20</v>
      </c>
      <c r="B194" s="139" t="str">
        <f>IF($D$129="Standard",$O$186,IF($D$129="Soumdproof",$O$187,))</f>
        <v>ยางเฟรมกันน้ำ (ธรรมดา)</v>
      </c>
      <c r="C194" s="139" t="str">
        <f>IF($D$129="Standard",$P$186,IF($D$129="Soumdproof",$P$187,))</f>
        <v>FRAME SEAL (Standard)</v>
      </c>
      <c r="D194" s="139" t="str">
        <f>IF($D$129="Standard",$Q$186,IF($D$129="Soumdproof",$Q$187,))</f>
        <v>02-026</v>
      </c>
      <c r="E194" s="143">
        <f>IF($D$129="Standard",R190,IF($D$129="Soumdproof",R191,))</f>
        <v>0</v>
      </c>
      <c r="F194" s="143" t="str">
        <f>IF($D$129="Standard",$S$186,IF($D$129="Soumdproof",$S$187,))</f>
        <v>02-026</v>
      </c>
      <c r="G194" s="143" t="str">
        <f>IF($D$129="Standard",$T$186,IF($D$129="Soumdproof",$T$187,))</f>
        <v>M</v>
      </c>
      <c r="H194" s="261">
        <f>IF($D$129="Standard",$U$186,IF($D$129="Soumdproof",$U$187,))</f>
        <v>10.257999999999999</v>
      </c>
      <c r="I194" s="258">
        <f>IF($D$129="Standard",$V$186,IF($D$129="Soumdproof",$V$187,))</f>
        <v>300</v>
      </c>
      <c r="J194" s="267">
        <f>ROUNDUP((H194)/100,0)</f>
        <v>1</v>
      </c>
    </row>
    <row r="195" spans="1:24" s="1" customFormat="1" ht="18" customHeight="1">
      <c r="A195" s="201">
        <f t="shared" si="35"/>
        <v>21</v>
      </c>
      <c r="B195" s="139" t="str">
        <f>IF($D$129="Standard",$O$188,IF($D$129="Soumdproof",$O$189,))</f>
        <v>ยางแซชกันน้ำ (ธรรมดา)</v>
      </c>
      <c r="C195" s="139" t="str">
        <f>IF($D$129="Standard",$P$188,IF($D$129="Soumdproof",$P$189,))</f>
        <v>SASH SEAL FOAM (Standard)</v>
      </c>
      <c r="D195" s="139" t="str">
        <f>IF($D$129="Standard",$Q$188,IF($D$129="Soumdproof",$Q$189,))</f>
        <v>02-031</v>
      </c>
      <c r="E195" s="143">
        <f>IF($D$129="Standard",R193,IF($D$129="Soumdproof",R194,))</f>
        <v>0</v>
      </c>
      <c r="F195" s="143" t="str">
        <f>IF($D$129="Standard",$S$188,IF($D$129="Soumdproof",$S$189,))</f>
        <v>02-031</v>
      </c>
      <c r="G195" s="143" t="str">
        <f>IF($D$129="Standard",$T$188,IF($D$129="Soumdproof",$T$189,))</f>
        <v>M</v>
      </c>
      <c r="H195" s="261">
        <f>IF($D$129="Standard",$U$188,IF($D$129="Soumdproof",$U$189,))</f>
        <v>54.657499999999999</v>
      </c>
      <c r="I195" s="258">
        <f>IF($D$129="Standard",$V$188,IF($D$129="Soumdproof",$V$189,))</f>
        <v>350</v>
      </c>
      <c r="J195" s="267">
        <f>ROUNDUP((H195)/100,0)</f>
        <v>1</v>
      </c>
    </row>
    <row r="196" spans="1:24" ht="18" customHeight="1">
      <c r="A196" s="201">
        <f t="shared" si="35"/>
        <v>22</v>
      </c>
      <c r="B196" s="241" t="str">
        <f>IF($D$127=5,$O$177,IF($D$127=6,$O$178,IF($D$127=8,$O$179,IF($D$127=10,$O$177,IF($D$127=12,$O$177,IF($D$127=14,$O$179,IF($D$127=18,$O$177,IF($D$127=20,$O$178,IF($D$127=22,"")))))))))</f>
        <v>6,20 mm ยางอัดกระจก</v>
      </c>
      <c r="C196" s="241" t="str">
        <f>IF($D$127=5,$P$177,IF($D$127=6,$P$178,IF($D$127=8,$P$179,IF($D$127=10,$P$177,IF($D$127=12,$P$177,IF($D$127=14,$P$179,IF($D$127=18,$P$177,IF($D$127=20,$P$178,IF($D$127=22,"")))))))))</f>
        <v>6,20 mm ROLL IN WEDGE</v>
      </c>
      <c r="D196" s="241" t="str">
        <f>IF($D$127=5,$Q$177,IF($D$127=6,$Q$178,IF($D$127=8,$Q$179,IF($D$127=10,$Q$177,IF($D$127=12,$Q$177,IF($D$127=14,$Q$179,IF($D$127=18,$Q$177,IF($D$127=20,$Q$178,IF($D$127=22,"")))))))))</f>
        <v>02-034</v>
      </c>
      <c r="E196" s="241">
        <f>IF($D$127=5,R181,IF($D$127=6,R182,IF($D$127=8,R183,IF($D$127=10,R181,IF($D$127=12,R181,IF($D$127=14,R183,IF($D$127=18,R181,IF($D$127=20,R182,IF($D$127=22,"",)))))))))</f>
        <v>0</v>
      </c>
      <c r="F196" s="242" t="str">
        <f>IF($D$127=5,$S$177,IF($D$127=6,$S$178,IF($D$127=8,$S$179,IF($D$127=10,$S$177,IF($D$127=12,$S$177,IF($D$127=14,$S$179,IF($D$127=18,$S$177,IF($D$127=20,$S$178,IF($D$127=22,"")))))))))</f>
        <v>02-034</v>
      </c>
      <c r="G196" s="242" t="str">
        <f>IF($D$127=5,$T$177,IF($D$127=6,$T$178,IF($D$127=8,$T$179,IF($D$127=10,$T$177,IF($D$127=12,$T$177,IF($D$127=14,$T$179,IF($D$127=18,$T$177,IF($D$127=20,$T$178,IF($D$127=22,"")))))))))</f>
        <v>M</v>
      </c>
      <c r="H196" s="261">
        <f>IF($D$127=5,$U$177,IF($D$127=6,$U$178,IF($D$127=8,$U$179,IF($D$127=10,$U$177*2,IF($D$127=12,$U$177,IF($D$127=14,$U$179*2,IF($D$127=18,$U$177,IF($D$127=20,$U$178,IF($D$127=22,"")))))))))</f>
        <v>33.526958333333333</v>
      </c>
      <c r="I196" s="258">
        <f>IF($D$127=5,$V$177,IF($D$127=6,$V$178,IF($D$127=8,$V$179,IF($D$127=10,$V$177,IF($D$127=12,$V$177,IF($D$127=14,$V$179,IF($D$127=18,$V$177,IF($D$127=20,$V$178,IF($D$127=22,"")))))))))</f>
        <v>100</v>
      </c>
      <c r="J196" s="267">
        <f t="shared" ref="J196:J197" si="39">ROUNDUP((H196)/100,0)</f>
        <v>1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s="1" customFormat="1" ht="18" customHeight="1">
      <c r="A197" s="201">
        <f t="shared" si="35"/>
        <v>23</v>
      </c>
      <c r="B197" s="241" t="str">
        <f>IF($D$127=5,$O$175,IF($D$127=6,$O$175,IF($D$127=8,$O$177,IF($D$127=10,"",IF($D$127=12,$O$176,IF($D$127=14,"",IF($D$127=18,$O$175,IF($D$127=20,$O$176,IF($D$127=22,"",)))))))))</f>
        <v>5,6,18 mm ยางรองกระจก</v>
      </c>
      <c r="C197" s="241" t="str">
        <f>IF($D$127=5,$P$175,IF($D$127=6,$P$175,IF($D$127=8,$P$177,IF($D$127=10,"",IF($D$127=12,$P$176,IF($D$127=14,"",IF($D$127=18,$P$175,IF($D$127=20,$P$176,IF($D$127=22,"",)))))))))</f>
        <v>5,6,18 mm CAPTIVE WEDGE</v>
      </c>
      <c r="D197" s="241" t="str">
        <f>IF($D$127=5,$Q$175,IF($D$127=6,$Q$175,IF($D$127=8,$Q$177,IF($D$127=10,"",IF($D$127=12,$Q$176,IF($D$127=14,"",IF($D$127=18,$Q$175,IF($D$127=20,$Q$176,IF($D$127=22,"",)))))))))</f>
        <v>02-022</v>
      </c>
      <c r="E197" s="241">
        <f>IF($D$127=5,R179,IF($D$127=6,R179,IF($D$127=8,R181,IF($D$127=10,"",IF($D$127=12,R180,IF($D$127=14,"",IF($D$127=18,R179,IF($D$127=20,R180,IF($D$127=22,"",)))))))))</f>
        <v>0</v>
      </c>
      <c r="F197" s="242" t="str">
        <f>IF($D$127=5,$S$175,IF($D$127=6,$S$175,IF($D$127=8,$S$177,IF($D$127=10,"",IF($D$127=12,$S$176,IF($D$127=14,"",IF($D$127=18,$S$175,IF($D$127=20,$S$176,IF($D$127=22,"",)))))))))</f>
        <v>02-022</v>
      </c>
      <c r="G197" s="242" t="str">
        <f>IF($D$127=5,$T$175,IF($D$127=6,$T$175,IF($D$127=8,$T$177,IF($D$127=10,"",IF($D$127=12,$T$176,IF($D$127=14,"",IF($D$127=18,$T$175,IF($D$127=20,$T$176,IF($D$127=22,"",)))))))))</f>
        <v>M</v>
      </c>
      <c r="H197" s="261">
        <f>IF($D$127=5,$U$175,IF($D$127=6,$U$175,IF($D$127=8,$U$177,IF($D$127=10,"",IF($D$127=12,$U$176,IF($D$127=14,"",IF($D$127=18,$U$175,IF($D$127=20,$U$176,IF($D$127=22,"")))))))))</f>
        <v>33.526958333333333</v>
      </c>
      <c r="I197" s="258">
        <f>IF($D$127=5,$V$175,IF($D$127=6,$V$175,IF($D$127=8,$V$177,IF($D$127=10,"",IF($D$127=12,$V$176,IF($D$127=14,"",IF($D$127=18,$V$175,IF($D$127=20,$V$176,IF($D$127=22,"",)))))))))</f>
        <v>100</v>
      </c>
      <c r="J197" s="267">
        <f t="shared" si="39"/>
        <v>1</v>
      </c>
    </row>
    <row r="198" spans="1:24" s="1" customFormat="1" ht="18" customHeight="1">
      <c r="A198" s="201" t="str">
        <f t="shared" si="35"/>
        <v/>
      </c>
      <c r="B198" s="140"/>
      <c r="C198" s="140"/>
      <c r="D198" s="139"/>
      <c r="E198" s="143"/>
      <c r="F198" s="143"/>
      <c r="G198" s="143"/>
      <c r="H198" s="143"/>
      <c r="I198" s="130"/>
      <c r="J198" s="131"/>
    </row>
    <row r="199" spans="1:24" s="1" customFormat="1" ht="18" customHeight="1">
      <c r="A199" s="201" t="str">
        <f t="shared" si="35"/>
        <v/>
      </c>
      <c r="B199" s="140"/>
      <c r="C199" s="140"/>
      <c r="D199" s="139"/>
      <c r="E199" s="143"/>
      <c r="F199" s="143"/>
      <c r="G199" s="143"/>
      <c r="H199" s="143"/>
      <c r="I199" s="144"/>
      <c r="J199" s="131">
        <f t="shared" si="33"/>
        <v>0</v>
      </c>
    </row>
    <row r="200" spans="1:24" s="1" customFormat="1" ht="18" customHeight="1">
      <c r="A200" s="201" t="str">
        <f t="shared" si="35"/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si="33"/>
        <v>0</v>
      </c>
    </row>
    <row r="201" spans="1:24" s="1" customFormat="1" ht="18" customHeight="1">
      <c r="A201" s="201" t="str">
        <f t="shared" si="35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ref="J201:J205" si="40">$J$120*H201</f>
        <v>0</v>
      </c>
    </row>
    <row r="202" spans="1:24" s="1" customFormat="1" ht="18" customHeight="1">
      <c r="A202" s="201" t="str">
        <f t="shared" si="35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si="40"/>
        <v>0</v>
      </c>
    </row>
    <row r="203" spans="1:24" s="1" customFormat="1" ht="18" customHeight="1">
      <c r="A203" s="201" t="str">
        <f>IF(B203="","",+#REF!+1)</f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si="40"/>
        <v>0</v>
      </c>
    </row>
    <row r="204" spans="1:24" s="1" customFormat="1" ht="18" customHeight="1">
      <c r="A204" s="201" t="str">
        <f t="shared" si="35"/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 t="shared" si="40"/>
        <v>0</v>
      </c>
    </row>
    <row r="205" spans="1:24" s="1" customFormat="1" ht="18" customHeight="1">
      <c r="A205" s="317" t="str">
        <f>IF(B205="","",+#REF!+1)</f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 t="shared" si="40"/>
        <v>0</v>
      </c>
    </row>
    <row r="206" spans="1:24" s="1" customFormat="1" ht="18" customHeight="1">
      <c r="A206" s="25"/>
      <c r="B206" s="161"/>
      <c r="C206" s="33"/>
      <c r="D206" s="30"/>
      <c r="E206" s="17"/>
      <c r="F206" s="30"/>
      <c r="G206" s="30"/>
      <c r="H206" s="161"/>
      <c r="I206" s="24"/>
      <c r="J206" s="24"/>
    </row>
    <row r="207" spans="1:24" ht="18" customHeight="1">
      <c r="A207" s="17"/>
      <c r="J207" s="99" t="str">
        <f>LEFT($J$111,13)&amp;"-02"</f>
        <v>FG-240-6P3L3R-02</v>
      </c>
    </row>
    <row r="208" spans="1:24" ht="12.75" customHeight="1">
      <c r="B208" s="56"/>
      <c r="C208" s="56"/>
      <c r="D208" s="30"/>
      <c r="E208" s="17"/>
      <c r="F208" s="17"/>
      <c r="G208" s="17"/>
      <c r="H208" s="17"/>
      <c r="K208" s="7"/>
      <c r="L208" s="7"/>
      <c r="M208" s="2"/>
      <c r="N208" s="2"/>
    </row>
    <row r="209" spans="1:14" ht="30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217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217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/>
      <c r="C215"/>
      <c r="D215" s="81"/>
      <c r="E215"/>
      <c r="F215"/>
      <c r="G215"/>
      <c r="H215"/>
      <c r="I215" s="160"/>
      <c r="J215" s="116"/>
    </row>
    <row r="216" spans="1:14" s="1" customFormat="1" ht="15" customHeight="1">
      <c r="A216" s="17"/>
      <c r="B216" s="93"/>
      <c r="C216" s="56"/>
      <c r="D216" s="30"/>
      <c r="E216" s="29"/>
      <c r="F216" s="160"/>
      <c r="G216" s="160"/>
      <c r="H216" s="16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s="1" customFormat="1" ht="15.6">
      <c r="A218" s="109"/>
      <c r="B218" s="33"/>
      <c r="C218" s="327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378</v>
      </c>
      <c r="D220" s="30"/>
      <c r="E220" s="29"/>
      <c r="F220" s="30"/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89"/>
      <c r="J221" s="12"/>
    </row>
    <row r="222" spans="1:14" s="1" customFormat="1" ht="15" customHeight="1">
      <c r="A222" s="109"/>
      <c r="B222" s="33"/>
      <c r="C222" s="327" t="s">
        <v>273</v>
      </c>
      <c r="D222" s="161"/>
      <c r="E222" s="109"/>
      <c r="F222" s="161"/>
      <c r="J222" s="12"/>
    </row>
    <row r="223" spans="1:14" s="1" customFormat="1" ht="15" customHeight="1">
      <c r="A223" s="109"/>
      <c r="B223" s="33"/>
      <c r="C223" s="374">
        <f>$I$133</f>
        <v>3940</v>
      </c>
      <c r="D223" s="161"/>
      <c r="E223" s="35"/>
      <c r="F223" s="161"/>
      <c r="G223" s="68"/>
      <c r="J223" s="12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326"/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326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327"/>
      <c r="D229" s="161"/>
      <c r="E229" s="109"/>
      <c r="F229" s="161"/>
      <c r="H229" s="109"/>
      <c r="I229" s="216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216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216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216"/>
      <c r="J232" s="117"/>
    </row>
    <row r="233" spans="1:10" s="1" customFormat="1" ht="15.9" customHeight="1">
      <c r="A233" s="44"/>
      <c r="B233" s="44"/>
      <c r="C233" s="89" t="s">
        <v>369</v>
      </c>
      <c r="D233" s="84"/>
      <c r="E233" s="44"/>
      <c r="F233" s="44"/>
      <c r="G233" s="109"/>
      <c r="H233" s="109"/>
      <c r="I233" s="216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3914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216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16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109"/>
      <c r="J242" s="24"/>
    </row>
    <row r="243" spans="1:10" s="1" customFormat="1" ht="15.9" customHeight="1">
      <c r="A243" s="109"/>
      <c r="B243" s="33"/>
      <c r="C243" s="89" t="s">
        <v>370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.9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" customHeight="1">
      <c r="A245" s="109"/>
      <c r="B245" s="33"/>
      <c r="C245" s="327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3940</v>
      </c>
      <c r="D246" s="161"/>
      <c r="E246" s="109"/>
      <c r="F246" s="161"/>
      <c r="G246" s="109"/>
      <c r="H246" s="109"/>
      <c r="I246" s="44"/>
      <c r="J246" s="119"/>
    </row>
    <row r="247" spans="1:10" s="1" customFormat="1" ht="15.9" customHeight="1">
      <c r="A247" s="109"/>
      <c r="B247" s="33"/>
      <c r="C247" s="363">
        <f>$J$135</f>
        <v>1</v>
      </c>
      <c r="D247" s="161"/>
      <c r="E247" s="109"/>
      <c r="F247" s="161"/>
      <c r="G247" s="109"/>
      <c r="H247" s="109"/>
      <c r="I247" s="32"/>
      <c r="J247" s="40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0"/>
      <c r="H251" s="109"/>
      <c r="I251" s="24"/>
      <c r="J251" s="24"/>
    </row>
    <row r="252" spans="1:10" s="1" customFormat="1" ht="15.9" customHeight="1">
      <c r="A252" s="109"/>
      <c r="B252" s="33"/>
      <c r="D252" s="161"/>
      <c r="E252" s="109"/>
      <c r="F252" s="109"/>
      <c r="G252" s="109"/>
      <c r="H252" s="109"/>
      <c r="I252" s="24"/>
      <c r="J252" s="24"/>
    </row>
    <row r="253" spans="1:10" s="1" customFormat="1" ht="15.9" customHeight="1">
      <c r="A253" s="44"/>
      <c r="B253" s="44"/>
      <c r="D253" s="84"/>
      <c r="E253" s="44"/>
      <c r="F253" s="44"/>
      <c r="G253" s="109"/>
      <c r="H253" s="109"/>
      <c r="I253" s="24"/>
      <c r="J253" s="24"/>
    </row>
    <row r="254" spans="1:10" s="1" customFormat="1" ht="15.9" customHeight="1">
      <c r="A254" s="40"/>
      <c r="B254" s="40"/>
      <c r="C254" s="89" t="s">
        <v>382</v>
      </c>
      <c r="D254" s="85"/>
      <c r="E254" s="40"/>
      <c r="F254" s="32"/>
      <c r="G254" s="109"/>
      <c r="I254" s="24"/>
      <c r="J254" s="24"/>
    </row>
    <row r="255" spans="1:10" s="1" customFormat="1" ht="15.9" customHeight="1">
      <c r="A255" s="27"/>
      <c r="B255" s="33"/>
      <c r="C255" s="328" t="s">
        <v>275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27" t="s">
        <v>273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74">
        <f>$I$136</f>
        <v>3940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63">
        <f>$J$136</f>
        <v>1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46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161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89" t="s">
        <v>373</v>
      </c>
      <c r="D264" s="161"/>
      <c r="E264" s="109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8" t="s">
        <v>379</v>
      </c>
      <c r="D265" s="328"/>
      <c r="E265" s="328"/>
      <c r="F265" s="109"/>
      <c r="G265" s="109"/>
      <c r="H265" s="109"/>
      <c r="I265" s="24"/>
      <c r="J265" s="24"/>
    </row>
    <row r="266" spans="1:10" s="1" customFormat="1" ht="15.9" customHeight="1">
      <c r="A266" s="27"/>
      <c r="B266" s="33"/>
      <c r="C266" s="327" t="s">
        <v>279</v>
      </c>
      <c r="D266" s="327"/>
      <c r="E266" s="327"/>
      <c r="F266" s="109"/>
      <c r="G266" s="109"/>
      <c r="H266" s="109"/>
      <c r="J266" s="12"/>
    </row>
    <row r="267" spans="1:10" s="1" customFormat="1" ht="15.9" customHeight="1">
      <c r="A267" s="27"/>
      <c r="B267" s="33"/>
      <c r="C267" s="374">
        <f>$I$137</f>
        <v>2500</v>
      </c>
      <c r="D267" s="161"/>
      <c r="E267" s="109"/>
      <c r="F267" s="109"/>
      <c r="G267" s="33"/>
      <c r="H267" s="33"/>
      <c r="J267" s="12"/>
    </row>
    <row r="268" spans="1:10" s="1" customFormat="1" ht="15.9" customHeight="1">
      <c r="A268" s="27"/>
      <c r="B268" s="33"/>
      <c r="C268" s="363">
        <f>$J$137+$J$138</f>
        <v>2</v>
      </c>
      <c r="D268" s="161"/>
      <c r="E268" s="10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D271" s="328"/>
      <c r="E271" s="328"/>
      <c r="F271" s="109"/>
      <c r="G271" s="109"/>
      <c r="H271" s="109"/>
      <c r="J271" s="12"/>
    </row>
    <row r="272" spans="1:10" s="1" customFormat="1" ht="15.9" customHeight="1">
      <c r="A272" s="27"/>
      <c r="D272" s="328"/>
      <c r="E272" s="328"/>
      <c r="F272" s="109"/>
      <c r="G272" s="109"/>
      <c r="H272" s="109"/>
      <c r="J272" s="12"/>
    </row>
    <row r="273" spans="1:10" s="1" customFormat="1" ht="15.9" customHeight="1">
      <c r="A273" s="27"/>
      <c r="B273" s="33"/>
      <c r="D273" s="328"/>
      <c r="E273" s="328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33"/>
      <c r="D274" s="161"/>
      <c r="E274" s="109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89" t="s">
        <v>374</v>
      </c>
      <c r="D275" s="162"/>
      <c r="E275" s="24"/>
      <c r="F275" s="109"/>
      <c r="G275" s="109"/>
      <c r="I275" s="24"/>
      <c r="J275" s="24"/>
    </row>
    <row r="276" spans="1:10" s="1" customFormat="1" ht="15.9" customHeight="1">
      <c r="A276" s="27"/>
      <c r="B276" s="33"/>
      <c r="C276" s="328" t="s">
        <v>649</v>
      </c>
      <c r="D276" s="328"/>
      <c r="E276" s="328"/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433" t="s">
        <v>650</v>
      </c>
      <c r="D277" s="327"/>
      <c r="E277" s="327"/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374">
        <f>$I$139</f>
        <v>2404</v>
      </c>
      <c r="F278" s="109"/>
      <c r="G278" s="109"/>
      <c r="I278" s="109"/>
      <c r="J278" s="24"/>
    </row>
    <row r="279" spans="1:10" s="1" customFormat="1" ht="15.9" customHeight="1">
      <c r="A279" s="27"/>
      <c r="B279" s="33"/>
      <c r="C279" s="363">
        <f>$J$139+$J$140</f>
        <v>2</v>
      </c>
      <c r="F279" s="109"/>
      <c r="G279" s="109"/>
      <c r="I279" s="109"/>
      <c r="J279" s="24"/>
    </row>
    <row r="280" spans="1:10" s="1" customFormat="1" ht="15.9" customHeight="1">
      <c r="A280" s="27"/>
      <c r="B280" s="33"/>
      <c r="F280" s="109"/>
      <c r="G280" s="109"/>
      <c r="H280" s="109"/>
      <c r="J280" s="12"/>
    </row>
    <row r="281" spans="1:10" s="1" customFormat="1" ht="15.9" customHeight="1">
      <c r="A281" s="27"/>
      <c r="B281" s="33"/>
      <c r="C281" s="33"/>
      <c r="D281" s="161"/>
      <c r="E281" s="109"/>
      <c r="F281" s="109"/>
      <c r="G281" s="109"/>
      <c r="H281" s="109"/>
      <c r="J281" s="12"/>
    </row>
    <row r="282" spans="1:10" s="1" customFormat="1" ht="15.9" customHeight="1">
      <c r="A282" s="27"/>
      <c r="B282" s="33"/>
      <c r="F282" s="109"/>
      <c r="G282" s="109"/>
      <c r="H282" s="109"/>
      <c r="J282" s="12"/>
    </row>
    <row r="283" spans="1:10" s="1" customFormat="1" ht="15.9" customHeight="1">
      <c r="A283" s="27"/>
      <c r="B283" s="33"/>
      <c r="F283" s="109"/>
      <c r="G283" s="109"/>
      <c r="H283" s="109"/>
      <c r="I283" s="162"/>
      <c r="J283" s="24"/>
    </row>
    <row r="284" spans="1:10" s="1" customFormat="1" ht="15.9" customHeight="1">
      <c r="A284" s="27"/>
      <c r="B284" s="33"/>
      <c r="C284" s="89" t="s">
        <v>375</v>
      </c>
      <c r="F284" s="109"/>
      <c r="G284" s="109"/>
      <c r="H284" s="109"/>
      <c r="I284" s="109"/>
      <c r="J284" s="24"/>
    </row>
    <row r="285" spans="1:10" s="1" customFormat="1" ht="15.9" customHeight="1">
      <c r="A285" s="27"/>
      <c r="B285" s="33"/>
      <c r="C285" s="94" t="s">
        <v>412</v>
      </c>
      <c r="D285" s="161"/>
      <c r="E285" s="109"/>
      <c r="F285" s="109"/>
      <c r="G285" s="109"/>
      <c r="H285" s="109"/>
      <c r="I285" s="24"/>
      <c r="J285" s="24"/>
    </row>
    <row r="286" spans="1:10" s="1" customFormat="1" ht="15.9" customHeight="1">
      <c r="A286" s="27"/>
      <c r="B286" s="33"/>
      <c r="C286" s="327" t="s">
        <v>413</v>
      </c>
      <c r="D286" s="161"/>
      <c r="E286" s="109"/>
      <c r="F286" s="109"/>
      <c r="G286" s="109"/>
      <c r="H286" s="109"/>
      <c r="I286" s="24"/>
      <c r="J286" s="24"/>
    </row>
    <row r="287" spans="1:10" s="1" customFormat="1" ht="15.9" customHeight="1">
      <c r="A287" s="27"/>
      <c r="B287" s="33"/>
      <c r="C287" s="328" t="s">
        <v>281</v>
      </c>
      <c r="D287" s="328"/>
      <c r="E287" s="328"/>
      <c r="F287" s="109"/>
      <c r="G287" s="109"/>
      <c r="I287" s="24"/>
      <c r="J287" s="24"/>
    </row>
    <row r="288" spans="1:10" s="23" customFormat="1" ht="15.9" customHeight="1">
      <c r="A288" s="27"/>
      <c r="B288" s="33"/>
      <c r="C288" s="327" t="s">
        <v>282</v>
      </c>
      <c r="D288" s="327"/>
      <c r="E288" s="327"/>
      <c r="F288" s="109"/>
      <c r="G288" s="109"/>
      <c r="H288" s="1"/>
      <c r="I288" s="109"/>
      <c r="J288" s="109"/>
    </row>
    <row r="289" spans="1:10" s="1" customFormat="1" ht="15.9" customHeight="1">
      <c r="A289" s="27"/>
      <c r="B289" s="33"/>
      <c r="C289" s="374">
        <f>$I$141</f>
        <v>541.45833333333337</v>
      </c>
      <c r="F289" s="109"/>
      <c r="G289" s="109"/>
      <c r="I289" s="44"/>
      <c r="J289" s="119"/>
    </row>
    <row r="290" spans="1:10" s="1" customFormat="1" ht="15.9" customHeight="1">
      <c r="A290" s="27"/>
      <c r="B290" s="33"/>
      <c r="C290" s="363">
        <f>$J$141+$J$142</f>
        <v>12</v>
      </c>
      <c r="D290" s="161"/>
      <c r="E290" s="109"/>
      <c r="F290" s="109"/>
      <c r="G290" s="109"/>
      <c r="H290" s="161"/>
      <c r="I290" s="32"/>
      <c r="J290" s="40"/>
    </row>
    <row r="291" spans="1:10" s="1" customFormat="1" ht="15.9" customHeight="1">
      <c r="A291" s="27"/>
      <c r="B291" s="33"/>
      <c r="C291" s="374">
        <f>$I$143</f>
        <v>2408</v>
      </c>
      <c r="D291" s="161"/>
      <c r="E291" s="109"/>
      <c r="F291" s="109"/>
      <c r="G291" s="109"/>
      <c r="H291" s="109"/>
      <c r="I291" s="24"/>
      <c r="J291" s="24"/>
    </row>
    <row r="292" spans="1:10" s="1" customFormat="1" ht="15.9" customHeight="1">
      <c r="A292" s="27"/>
      <c r="B292" s="33"/>
      <c r="C292" s="363">
        <f>$J$143+$J$144+$J$145+$J$146</f>
        <v>12</v>
      </c>
      <c r="D292" s="161"/>
      <c r="E292" s="109"/>
      <c r="F292" s="109"/>
      <c r="G292" s="109"/>
      <c r="H292" s="109"/>
      <c r="I292" s="24"/>
      <c r="J292" s="24"/>
    </row>
    <row r="293" spans="1:10" s="1" customFormat="1" ht="15.9" customHeight="1">
      <c r="A293" s="27"/>
      <c r="B293" s="33"/>
      <c r="D293" s="161"/>
      <c r="E293" s="109"/>
      <c r="F293" s="109"/>
      <c r="G293" s="109"/>
      <c r="H293" s="109"/>
      <c r="I293" s="24"/>
      <c r="J293" s="24"/>
    </row>
    <row r="294" spans="1:10" s="1" customFormat="1" ht="15.9" customHeight="1">
      <c r="A294" s="27"/>
      <c r="B294" s="33"/>
      <c r="C294" s="33"/>
      <c r="D294" s="161"/>
      <c r="E294" s="109"/>
      <c r="F294" s="109"/>
      <c r="G294" s="109"/>
      <c r="H294" s="109"/>
      <c r="I294" s="109"/>
      <c r="J294" s="24"/>
    </row>
    <row r="295" spans="1:10" s="1" customFormat="1" ht="15.9" customHeight="1">
      <c r="A295" s="27"/>
      <c r="B295" s="33"/>
      <c r="C295" s="23"/>
      <c r="D295" s="161"/>
      <c r="E295" s="109"/>
      <c r="F295" s="109"/>
      <c r="G295" s="109"/>
      <c r="H295" s="109"/>
      <c r="I295" s="109"/>
      <c r="J295" s="24"/>
    </row>
    <row r="296" spans="1:10" s="1" customFormat="1" ht="15.9" customHeight="1">
      <c r="A296" s="27"/>
      <c r="B296" s="33"/>
      <c r="C296" s="89" t="s">
        <v>376</v>
      </c>
      <c r="D296" s="161"/>
      <c r="E296" s="109"/>
      <c r="F296" s="109"/>
      <c r="G296" s="109"/>
      <c r="H296" s="109"/>
      <c r="I296" s="109"/>
      <c r="J296" s="24"/>
    </row>
    <row r="297" spans="1:10" s="1" customFormat="1" ht="15.9" customHeight="1">
      <c r="A297" s="27"/>
      <c r="B297" s="33"/>
      <c r="C297" s="94" t="s">
        <v>414</v>
      </c>
      <c r="D297" s="161"/>
      <c r="E297" s="109"/>
      <c r="F297" s="109"/>
      <c r="G297" s="44"/>
      <c r="H297" s="44"/>
      <c r="I297" s="109"/>
      <c r="J297" s="24"/>
    </row>
    <row r="298" spans="1:10" s="1" customFormat="1" ht="15.9" customHeight="1">
      <c r="A298" s="27"/>
      <c r="B298" s="33"/>
      <c r="C298" s="327" t="s">
        <v>415</v>
      </c>
      <c r="D298" s="328"/>
      <c r="E298" s="328"/>
      <c r="F298" s="109"/>
      <c r="G298" s="40"/>
      <c r="H298" s="32"/>
      <c r="I298" s="109"/>
      <c r="J298" s="24"/>
    </row>
    <row r="299" spans="1:10" s="1" customFormat="1" ht="15.9" customHeight="1">
      <c r="A299" s="41"/>
      <c r="B299" s="33"/>
      <c r="C299" s="328" t="s">
        <v>286</v>
      </c>
      <c r="D299" s="327"/>
      <c r="E299" s="327"/>
      <c r="F299" s="109"/>
      <c r="G299" s="109"/>
      <c r="H299" s="109"/>
      <c r="I299" s="109"/>
      <c r="J299" s="24"/>
    </row>
    <row r="300" spans="1:10" s="1" customFormat="1" ht="15.9" customHeight="1">
      <c r="A300" s="44"/>
      <c r="B300" s="44"/>
      <c r="C300" s="327" t="s">
        <v>285</v>
      </c>
      <c r="D300" s="86"/>
      <c r="E300" s="79"/>
      <c r="F300" s="44"/>
      <c r="G300" s="109"/>
      <c r="H300" s="109"/>
      <c r="I300" s="109"/>
      <c r="J300" s="24"/>
    </row>
    <row r="301" spans="1:10" s="1" customFormat="1" ht="15.9" customHeight="1">
      <c r="A301" s="40"/>
      <c r="B301" s="40"/>
      <c r="C301" s="374">
        <f>$I$147</f>
        <v>541.45833333333337</v>
      </c>
      <c r="D301" s="87"/>
      <c r="E301" s="80"/>
      <c r="F301" s="32"/>
      <c r="G301" s="109"/>
      <c r="H301" s="109"/>
      <c r="I301" s="109"/>
      <c r="J301" s="24"/>
    </row>
    <row r="302" spans="1:10" s="1" customFormat="1" ht="15.9" customHeight="1">
      <c r="A302" s="109"/>
      <c r="B302" s="33"/>
      <c r="C302" s="363">
        <f>$J$147</f>
        <v>12</v>
      </c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C303" s="374">
        <f>$I$148</f>
        <v>2258</v>
      </c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C304" s="363">
        <f>$J$148</f>
        <v>12</v>
      </c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C305" s="374"/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C306" s="363"/>
      <c r="D306" s="15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89" t="s">
        <v>377</v>
      </c>
      <c r="D307" s="161"/>
      <c r="E307" s="109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328" t="s">
        <v>281</v>
      </c>
      <c r="D308" s="328"/>
      <c r="E308" s="328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542" t="s">
        <v>282</v>
      </c>
      <c r="D309" s="542"/>
      <c r="E309" s="542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74">
        <f>$I$149</f>
        <v>2408</v>
      </c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C311" s="363">
        <f>$J$149+$J$150</f>
        <v>2</v>
      </c>
      <c r="D311" s="328"/>
      <c r="E311" s="328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33"/>
      <c r="D314" s="162"/>
      <c r="E314" s="24"/>
      <c r="F314" s="109"/>
      <c r="G314" s="109"/>
      <c r="H314" s="109"/>
      <c r="I314" s="27"/>
      <c r="J314" s="99" t="str">
        <f>LEFT($J$111,13)&amp;"-03"</f>
        <v>FG-240-6P3L3R-03</v>
      </c>
    </row>
    <row r="315" spans="1:14" ht="12.75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30" customHeight="1">
      <c r="A316" s="17"/>
      <c r="B316" s="26"/>
      <c r="C316" s="26"/>
      <c r="D316" s="83"/>
      <c r="E316" s="25"/>
      <c r="F316" s="25"/>
      <c r="G316" s="25"/>
      <c r="H316" s="25"/>
      <c r="I316" s="179"/>
      <c r="J316" s="90" t="str">
        <f>$J$2</f>
        <v>HOMELIFE</v>
      </c>
    </row>
    <row r="317" spans="1:14" ht="24.9" customHeight="1">
      <c r="B317" s="217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217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s="1" customFormat="1" ht="15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  <c r="K320" s="4"/>
      <c r="L320" s="4"/>
      <c r="M320" s="4"/>
      <c r="N320" s="4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218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218"/>
      <c r="I331" s="161"/>
      <c r="J331" s="109"/>
    </row>
    <row r="332" spans="1:10" s="1" customFormat="1" ht="15" customHeight="1">
      <c r="A332" s="64" t="str">
        <f>A18</f>
        <v>240-6 Panel (3L3R)</v>
      </c>
      <c r="B332" s="92"/>
      <c r="C332" s="161"/>
      <c r="D332" s="161"/>
      <c r="E332" s="109"/>
      <c r="F332" s="218"/>
      <c r="G332" s="218"/>
      <c r="H332" s="218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92"/>
      <c r="C333" s="161"/>
      <c r="D333" s="161"/>
      <c r="E333" s="109"/>
      <c r="F333" s="218"/>
      <c r="G333" s="218"/>
      <c r="H333" s="218"/>
      <c r="I333" s="109"/>
      <c r="J333" s="109"/>
    </row>
    <row r="334" spans="1:10" s="1" customFormat="1" ht="15" customHeight="1">
      <c r="A334" s="76"/>
      <c r="B334" s="92"/>
      <c r="C334" s="161"/>
      <c r="D334" s="161"/>
      <c r="E334" s="109"/>
      <c r="F334" s="347"/>
      <c r="G334" s="347"/>
      <c r="H334" s="347"/>
      <c r="I334" s="109"/>
      <c r="J334" s="109"/>
    </row>
    <row r="335" spans="1:10" s="1" customFormat="1" ht="15" customHeight="1">
      <c r="A335" s="76"/>
      <c r="B335" s="92"/>
      <c r="C335" s="161"/>
      <c r="D335" s="161"/>
      <c r="E335" s="109"/>
      <c r="F335" s="347"/>
      <c r="G335" s="347"/>
      <c r="H335" s="347"/>
      <c r="I335" s="109"/>
      <c r="J335" s="109"/>
    </row>
    <row r="336" spans="1:10" s="1" customFormat="1" ht="15" customHeight="1">
      <c r="A336" s="76"/>
      <c r="B336" s="92"/>
      <c r="C336" s="161"/>
      <c r="D336" s="161"/>
      <c r="E336" s="109"/>
      <c r="F336" s="347"/>
      <c r="G336" s="347"/>
      <c r="H336" s="347"/>
      <c r="I336" s="109"/>
      <c r="J336" s="109"/>
    </row>
    <row r="337" spans="1:10" s="1" customFormat="1" ht="15" customHeight="1">
      <c r="A337" s="76"/>
      <c r="B337" s="92"/>
      <c r="C337" s="161"/>
      <c r="D337" s="161"/>
      <c r="E337" s="109"/>
      <c r="F337" s="347"/>
      <c r="G337" s="347"/>
      <c r="H337" s="347"/>
      <c r="I337" s="109"/>
      <c r="J337" s="109"/>
    </row>
    <row r="338" spans="1:10" s="1" customFormat="1" ht="15.9" customHeight="1">
      <c r="A338" s="109"/>
      <c r="B338" s="45"/>
      <c r="C338" s="42"/>
      <c r="D338" s="161"/>
      <c r="E338" s="109"/>
      <c r="F338" s="507"/>
      <c r="G338" s="507"/>
      <c r="H338" s="218"/>
      <c r="I338" s="109"/>
      <c r="J338" s="109"/>
    </row>
    <row r="339" spans="1:10" s="1" customFormat="1" ht="15.9" customHeight="1">
      <c r="A339" s="39"/>
      <c r="B339" s="109"/>
      <c r="C339" s="161"/>
      <c r="D339" s="161"/>
      <c r="E339" s="109"/>
      <c r="F339" s="37"/>
      <c r="G339" s="38"/>
      <c r="H339" s="109"/>
      <c r="I339" s="109"/>
      <c r="J339" s="109"/>
    </row>
    <row r="340" spans="1:10" s="1" customFormat="1" ht="15.9" customHeight="1">
      <c r="A340" s="44"/>
      <c r="C340" s="43"/>
      <c r="D340" s="161"/>
      <c r="E340" s="109"/>
      <c r="F340" s="109"/>
      <c r="G340" s="109"/>
      <c r="H340" s="109"/>
      <c r="I340" s="44"/>
      <c r="J340" s="119"/>
    </row>
    <row r="341" spans="1:10" s="1" customFormat="1" ht="15.9" customHeight="1">
      <c r="A341" s="40"/>
      <c r="C341" s="44"/>
      <c r="D341" s="84"/>
      <c r="E341" s="44"/>
      <c r="F341" s="44"/>
      <c r="G341" s="44"/>
      <c r="H341" s="44"/>
      <c r="I341" s="32"/>
      <c r="J341" s="40"/>
    </row>
    <row r="342" spans="1:10" s="1" customFormat="1" ht="15.9" customHeight="1">
      <c r="A342" s="109"/>
      <c r="C342" s="161"/>
      <c r="D342" s="85"/>
      <c r="E342" s="40"/>
      <c r="F342" s="32"/>
      <c r="G342" s="40"/>
      <c r="H342" s="32"/>
      <c r="I342" s="24"/>
      <c r="J342" s="24"/>
    </row>
    <row r="343" spans="1:10" s="1" customFormat="1" ht="15.9" customHeight="1">
      <c r="A343" s="109"/>
      <c r="C343" s="163"/>
      <c r="D343" s="161"/>
      <c r="E343" s="109"/>
      <c r="F343" s="161"/>
      <c r="G343" s="109"/>
      <c r="H343" s="109"/>
      <c r="I343" s="24"/>
      <c r="J343" s="24"/>
    </row>
    <row r="344" spans="1:10" s="1" customFormat="1" ht="15.9" customHeight="1">
      <c r="A344" s="109"/>
      <c r="B344" s="33"/>
      <c r="C344" s="161"/>
      <c r="D344" s="161"/>
      <c r="E344" s="109"/>
      <c r="F344" s="161"/>
      <c r="G344" s="109"/>
      <c r="H344" s="109"/>
      <c r="I344" s="162"/>
      <c r="J344" s="162"/>
    </row>
    <row r="345" spans="1:10" s="1" customFormat="1" ht="15.9" customHeight="1">
      <c r="A345" s="109"/>
      <c r="B345" s="33"/>
      <c r="C345" s="44"/>
      <c r="D345" s="161"/>
      <c r="E345" s="109"/>
      <c r="F345" s="161"/>
      <c r="G345" s="109"/>
      <c r="H345" s="162"/>
      <c r="I345" s="161"/>
      <c r="J345" s="161"/>
    </row>
    <row r="346" spans="1:10" s="1" customFormat="1" ht="15.9" customHeight="1">
      <c r="A346" s="109"/>
      <c r="B346" s="33"/>
      <c r="C346" s="42"/>
      <c r="D346" s="161"/>
      <c r="E346" s="109"/>
      <c r="F346" s="161"/>
      <c r="G346" s="109"/>
      <c r="H346" s="161"/>
      <c r="I346" s="161"/>
      <c r="J346" s="161"/>
    </row>
    <row r="347" spans="1:10" s="1" customFormat="1" ht="15.9" customHeight="1">
      <c r="A347" s="109"/>
      <c r="B347" s="33"/>
      <c r="C347" s="163"/>
      <c r="D347" s="161"/>
      <c r="E347" s="109"/>
      <c r="F347" s="161"/>
      <c r="G347" s="109"/>
      <c r="H347" s="161"/>
      <c r="I347" s="109"/>
      <c r="J347" s="24"/>
    </row>
    <row r="348" spans="1:10" s="1" customFormat="1" ht="15.9" customHeight="1">
      <c r="A348" s="109"/>
      <c r="B348" s="33"/>
      <c r="C348" s="161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33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33"/>
      <c r="D350" s="161"/>
      <c r="E350" s="109"/>
      <c r="F350" s="161"/>
      <c r="G350" s="109"/>
      <c r="H350" s="109"/>
      <c r="I350" s="24"/>
      <c r="J350" s="24"/>
    </row>
    <row r="351" spans="1:10" s="1" customFormat="1" ht="15.9" customHeight="1">
      <c r="A351" s="109"/>
      <c r="B351" s="33"/>
      <c r="C351" s="33"/>
      <c r="D351" s="161"/>
      <c r="E351" s="109"/>
      <c r="F351" s="161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44"/>
      <c r="D352" s="161"/>
      <c r="E352" s="109"/>
      <c r="F352" s="161"/>
      <c r="G352" s="109"/>
      <c r="H352" s="109"/>
      <c r="I352" s="24"/>
      <c r="J352" s="24"/>
    </row>
    <row r="353" spans="1:10" s="1" customFormat="1" ht="15.9" customHeight="1">
      <c r="A353" s="109"/>
      <c r="B353" s="33"/>
      <c r="C353" s="161"/>
      <c r="D353" s="161"/>
      <c r="E353" s="109"/>
      <c r="F353" s="161"/>
      <c r="G353" s="109"/>
      <c r="H353" s="109"/>
      <c r="I353" s="24"/>
      <c r="J353" s="24"/>
    </row>
    <row r="354" spans="1:10" s="1" customFormat="1" ht="15.9" customHeight="1">
      <c r="A354" s="109"/>
      <c r="B354" s="33"/>
      <c r="C354" s="163"/>
      <c r="D354" s="161"/>
      <c r="E354" s="109"/>
      <c r="F354" s="161"/>
      <c r="G354" s="109"/>
      <c r="H354" s="109"/>
      <c r="I354" s="109"/>
      <c r="J354" s="24"/>
    </row>
    <row r="355" spans="1:10" s="1" customFormat="1" ht="15.9" customHeight="1">
      <c r="A355" s="109"/>
      <c r="B355" s="33"/>
      <c r="C355" s="161"/>
      <c r="D355" s="161"/>
      <c r="E355" s="109"/>
      <c r="F355" s="161"/>
      <c r="G355" s="109"/>
      <c r="H355" s="109"/>
      <c r="I355" s="24"/>
      <c r="J355" s="24"/>
    </row>
    <row r="356" spans="1:10" s="1" customFormat="1" ht="15.9" customHeight="1">
      <c r="A356" s="109"/>
      <c r="B356" s="33"/>
      <c r="C356" s="33"/>
      <c r="D356" s="161"/>
      <c r="E356" s="109"/>
      <c r="F356" s="109"/>
      <c r="G356" s="109"/>
      <c r="H356" s="109"/>
      <c r="I356" s="24"/>
      <c r="J356" s="24"/>
    </row>
    <row r="357" spans="1:10" s="1" customFormat="1" ht="15" customHeight="1">
      <c r="A357" s="109"/>
      <c r="B357" s="33"/>
      <c r="C357" s="33"/>
      <c r="D357" s="161"/>
      <c r="E357" s="109"/>
      <c r="F357" s="109"/>
      <c r="G357" s="109"/>
      <c r="H357" s="107"/>
      <c r="I357" s="24"/>
      <c r="J357" s="24"/>
    </row>
    <row r="358" spans="1:10" s="23" customFormat="1" ht="15.9" customHeight="1">
      <c r="A358" s="109"/>
      <c r="B358" s="33"/>
      <c r="C358" s="33"/>
      <c r="D358" s="161"/>
      <c r="E358" s="109"/>
      <c r="F358" s="109"/>
      <c r="G358" s="109"/>
      <c r="H358" s="109"/>
      <c r="I358" s="109"/>
      <c r="J358" s="109"/>
    </row>
    <row r="359" spans="1:10" s="1" customFormat="1" ht="15.9" customHeight="1">
      <c r="A359" s="44"/>
      <c r="B359" s="33"/>
      <c r="C359" s="33"/>
      <c r="D359" s="161"/>
      <c r="E359" s="109"/>
      <c r="F359" s="109"/>
      <c r="G359" s="109"/>
      <c r="H359" s="109"/>
      <c r="I359" s="44"/>
      <c r="J359" s="119"/>
    </row>
    <row r="360" spans="1:10" s="1" customFormat="1" ht="15.9" customHeight="1">
      <c r="A360" s="40"/>
      <c r="B360" s="44"/>
      <c r="C360" s="44"/>
      <c r="D360" s="84"/>
      <c r="E360" s="44"/>
      <c r="F360" s="44"/>
      <c r="G360" s="44"/>
      <c r="H360" s="44"/>
      <c r="I360" s="32"/>
      <c r="J360" s="40"/>
    </row>
    <row r="361" spans="1:10" s="1" customFormat="1" ht="15.9" customHeight="1">
      <c r="A361" s="27"/>
      <c r="B361" s="40"/>
      <c r="C361" s="44"/>
      <c r="D361" s="85"/>
      <c r="E361" s="40"/>
      <c r="F361" s="32"/>
      <c r="G361" s="40"/>
      <c r="H361" s="32"/>
      <c r="I361" s="24"/>
      <c r="J361" s="24"/>
    </row>
    <row r="362" spans="1:10" s="1" customFormat="1" ht="15.9" customHeight="1">
      <c r="A362" s="27"/>
      <c r="B362" s="33"/>
      <c r="C362" s="42"/>
      <c r="D362" s="161"/>
      <c r="E362" s="109"/>
      <c r="F362" s="109"/>
      <c r="G362" s="109"/>
      <c r="H362" s="42"/>
      <c r="I362" s="163"/>
      <c r="J362" s="163"/>
    </row>
    <row r="363" spans="1:10" s="1" customFormat="1" ht="15.9" customHeight="1">
      <c r="A363" s="27"/>
      <c r="B363" s="33"/>
      <c r="C363" s="163"/>
      <c r="D363" s="161"/>
      <c r="E363" s="109"/>
      <c r="F363" s="109"/>
      <c r="G363" s="109"/>
      <c r="H363" s="163"/>
      <c r="I363" s="161"/>
      <c r="J363" s="161"/>
    </row>
    <row r="364" spans="1:10" s="1" customFormat="1" ht="15.9" customHeight="1">
      <c r="A364" s="27"/>
      <c r="B364" s="33"/>
      <c r="C364" s="161"/>
      <c r="D364" s="161"/>
      <c r="E364" s="109"/>
      <c r="F364" s="109"/>
      <c r="G364" s="109"/>
      <c r="H364" s="161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46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161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B369" s="33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B372" s="33"/>
      <c r="C372" s="33"/>
      <c r="D372" s="161"/>
      <c r="E372" s="109"/>
      <c r="F372" s="109"/>
      <c r="G372" s="109"/>
      <c r="H372" s="109"/>
      <c r="I372" s="24"/>
      <c r="J372" s="24"/>
    </row>
    <row r="373" spans="1:10" s="1" customFormat="1" ht="15.9" customHeight="1">
      <c r="A373" s="27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D376" s="161"/>
      <c r="E376" s="109"/>
      <c r="F376" s="109"/>
      <c r="G376" s="33"/>
      <c r="H376" s="33"/>
      <c r="I376" s="24"/>
      <c r="J376" s="24"/>
    </row>
    <row r="377" spans="1:10" s="1" customFormat="1" ht="15.9" customHeight="1">
      <c r="A377" s="27"/>
      <c r="B377" s="33"/>
      <c r="C377" s="33"/>
      <c r="D377" s="161"/>
      <c r="E377" s="109"/>
      <c r="F377" s="109"/>
      <c r="G377" s="109"/>
      <c r="H377" s="109"/>
      <c r="I377" s="24"/>
      <c r="J377" s="24"/>
    </row>
    <row r="378" spans="1:10" s="1" customFormat="1" ht="15.9" customHeight="1">
      <c r="A378" s="27"/>
      <c r="B378" s="33"/>
      <c r="C378" s="33"/>
      <c r="D378" s="161"/>
      <c r="E378" s="109"/>
      <c r="F378" s="109"/>
      <c r="G378" s="109"/>
      <c r="H378" s="109"/>
      <c r="I378" s="24"/>
      <c r="J378" s="24"/>
    </row>
    <row r="379" spans="1:10" s="1" customFormat="1" ht="15.9" customHeight="1">
      <c r="A379" s="27"/>
      <c r="B379" s="33"/>
      <c r="C379" s="33"/>
      <c r="D379" s="161"/>
      <c r="E379" s="109"/>
      <c r="F379" s="109"/>
      <c r="G379" s="109"/>
      <c r="H379" s="109"/>
      <c r="I379" s="24"/>
      <c r="J379" s="24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42"/>
      <c r="I380" s="163"/>
      <c r="J380" s="163"/>
    </row>
    <row r="381" spans="1:10" s="1" customFormat="1" ht="15.9" customHeight="1">
      <c r="A381" s="27"/>
      <c r="B381" s="33"/>
      <c r="C381" s="47"/>
      <c r="D381" s="161"/>
      <c r="E381" s="109"/>
      <c r="F381" s="109"/>
      <c r="G381" s="109"/>
      <c r="H381" s="163"/>
      <c r="I381" s="161"/>
      <c r="J381" s="161"/>
    </row>
    <row r="382" spans="1:10" s="1" customFormat="1" ht="15.9" customHeight="1">
      <c r="A382" s="27"/>
      <c r="B382" s="33"/>
      <c r="C382" s="46"/>
      <c r="D382" s="161"/>
      <c r="E382" s="109"/>
      <c r="F382" s="109"/>
      <c r="G382" s="109"/>
      <c r="H382" s="161"/>
      <c r="I382" s="24"/>
      <c r="J382" s="24"/>
    </row>
    <row r="383" spans="1:10" s="1" customFormat="1" ht="15.9" customHeight="1">
      <c r="A383" s="27"/>
      <c r="B383" s="33"/>
      <c r="C383" s="161"/>
      <c r="D383" s="161"/>
      <c r="E383" s="109"/>
      <c r="F383" s="109"/>
      <c r="G383" s="109"/>
      <c r="H383" s="42"/>
      <c r="I383" s="163"/>
      <c r="J383" s="163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63"/>
      <c r="I384" s="161"/>
      <c r="J384" s="161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61"/>
      <c r="I385" s="24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24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24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09"/>
      <c r="J388" s="2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09"/>
      <c r="I389" s="109"/>
      <c r="J389" s="24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09"/>
      <c r="I390" s="109"/>
      <c r="J390" s="24"/>
    </row>
    <row r="391" spans="1:10" s="1" customFormat="1" ht="15.9" customHeight="1">
      <c r="A391" s="27"/>
      <c r="B391" s="33"/>
      <c r="C391" s="33"/>
      <c r="D391" s="161"/>
      <c r="E391" s="109"/>
      <c r="F391" s="109"/>
      <c r="G391" s="109"/>
      <c r="H391" s="109"/>
      <c r="I391" s="109"/>
      <c r="J391" s="24"/>
    </row>
    <row r="392" spans="1:10" s="1" customFormat="1" ht="15.9" customHeight="1">
      <c r="A392" s="27"/>
      <c r="B392" s="33"/>
      <c r="C392" s="33"/>
      <c r="D392" s="161"/>
      <c r="E392" s="109"/>
      <c r="F392" s="109"/>
      <c r="G392" s="109"/>
      <c r="H392" s="109"/>
      <c r="I392" s="164"/>
      <c r="J392" s="164"/>
    </row>
    <row r="393" spans="1:10" s="1" customFormat="1" ht="15.9" customHeight="1">
      <c r="A393" s="27"/>
      <c r="B393" s="33"/>
      <c r="C393" s="33"/>
      <c r="D393" s="161"/>
      <c r="E393" s="109"/>
      <c r="F393" s="109"/>
      <c r="G393" s="109"/>
      <c r="H393" s="164"/>
      <c r="I393" s="165"/>
      <c r="J393" s="165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65"/>
      <c r="I394" s="161"/>
      <c r="J394" s="161"/>
    </row>
    <row r="395" spans="1:10" s="1" customFormat="1" ht="15.9" customHeight="1">
      <c r="A395" s="27"/>
      <c r="B395" s="33"/>
      <c r="C395" s="47"/>
      <c r="D395" s="161"/>
      <c r="E395" s="109"/>
      <c r="F395" s="109"/>
      <c r="G395" s="109"/>
      <c r="H395" s="161"/>
      <c r="I395" s="24"/>
      <c r="J395" s="24"/>
    </row>
    <row r="396" spans="1:10" s="1" customFormat="1" ht="15.9" customHeight="1">
      <c r="A396" s="27"/>
      <c r="B396" s="33"/>
      <c r="C396" s="46"/>
      <c r="D396" s="161"/>
      <c r="E396" s="109"/>
      <c r="F396" s="109"/>
      <c r="G396" s="109"/>
      <c r="H396" s="109"/>
      <c r="I396" s="109"/>
      <c r="J396" s="24"/>
    </row>
    <row r="397" spans="1:10" s="1" customFormat="1" ht="15.9" customHeight="1">
      <c r="A397" s="27"/>
      <c r="B397" s="33"/>
      <c r="C397" s="161"/>
      <c r="D397" s="161"/>
      <c r="E397" s="109"/>
      <c r="F397" s="109"/>
      <c r="G397" s="109"/>
      <c r="H397" s="109"/>
      <c r="I397" s="24"/>
      <c r="J397" s="24"/>
    </row>
    <row r="398" spans="1:10" s="1" customFormat="1" ht="15.9" customHeight="1">
      <c r="A398" s="27"/>
      <c r="B398" s="33"/>
      <c r="C398" s="33"/>
      <c r="D398" s="161"/>
      <c r="E398" s="109"/>
      <c r="F398" s="109"/>
      <c r="G398" s="109"/>
      <c r="H398" s="109"/>
      <c r="I398" s="24"/>
      <c r="J398" s="24"/>
    </row>
    <row r="399" spans="1:10" s="1" customFormat="1" ht="15.9" customHeight="1">
      <c r="A399" s="27"/>
      <c r="B399" s="33"/>
      <c r="C399" s="33"/>
      <c r="D399" s="161"/>
      <c r="E399" s="109"/>
      <c r="F399" s="109"/>
      <c r="G399" s="109"/>
      <c r="H399" s="109"/>
      <c r="I399" s="24"/>
      <c r="J399" s="24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1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1" customFormat="1" ht="15.9" customHeight="1">
      <c r="A405" s="41"/>
      <c r="B405" s="33"/>
      <c r="C405" s="33"/>
      <c r="D405" s="161"/>
      <c r="E405" s="109"/>
      <c r="F405" s="109"/>
      <c r="G405" s="109"/>
      <c r="H405" s="109"/>
      <c r="I405" s="109"/>
      <c r="J405" s="109"/>
    </row>
    <row r="406" spans="1:10" s="1" customFormat="1" ht="15.9" customHeight="1">
      <c r="A406" s="41"/>
      <c r="B406" s="33"/>
      <c r="C406" s="33"/>
      <c r="D406" s="161"/>
      <c r="E406" s="109"/>
      <c r="F406" s="109"/>
      <c r="G406" s="109"/>
      <c r="H406" s="109"/>
      <c r="I406" s="109"/>
      <c r="J406" s="109"/>
    </row>
    <row r="407" spans="1:10" s="1" customFormat="1" ht="15.9" customHeight="1">
      <c r="A407" s="41"/>
      <c r="B407" s="33"/>
      <c r="C407" s="33"/>
      <c r="D407" s="161"/>
      <c r="E407" s="109"/>
      <c r="F407" s="109"/>
      <c r="G407" s="109"/>
      <c r="H407" s="109"/>
      <c r="I407" s="109"/>
      <c r="J407" s="109"/>
    </row>
    <row r="408" spans="1:10" s="23" customFormat="1" ht="15.9" customHeight="1">
      <c r="A408" s="41"/>
      <c r="B408" s="33"/>
      <c r="C408" s="33"/>
      <c r="D408" s="161"/>
      <c r="E408" s="109"/>
      <c r="F408" s="109"/>
      <c r="G408" s="109"/>
      <c r="H408" s="109"/>
      <c r="I408" s="109"/>
      <c r="J408" s="109"/>
    </row>
    <row r="409" spans="1:10" s="1" customFormat="1" ht="15.9" customHeight="1">
      <c r="A409" s="44"/>
      <c r="B409" s="33"/>
      <c r="C409" s="33"/>
      <c r="D409" s="161"/>
      <c r="E409" s="109"/>
      <c r="F409" s="109"/>
      <c r="G409" s="109"/>
      <c r="H409" s="109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109"/>
      <c r="B419" s="44"/>
      <c r="C419" s="44"/>
      <c r="D419" s="84"/>
      <c r="E419" s="44"/>
      <c r="F419" s="44"/>
      <c r="G419" s="44"/>
      <c r="H419" s="44"/>
      <c r="I419" s="24"/>
      <c r="J419" s="24"/>
      <c r="K419" s="71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LEFT($J$111,13)&amp;"-04"</f>
        <v>FG-240-6P3L3R-04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A423" s="109"/>
      <c r="B423" s="33"/>
      <c r="C423" s="33"/>
      <c r="D423" s="161"/>
      <c r="E423" s="109"/>
      <c r="F423" s="109"/>
      <c r="G423" s="109"/>
      <c r="H423" s="109"/>
      <c r="I423" s="109"/>
      <c r="J423" s="90" t="str">
        <f>$J$2</f>
        <v>HOMELIFE</v>
      </c>
      <c r="K423" s="7"/>
      <c r="L423" s="7"/>
      <c r="M423" s="2"/>
      <c r="N423" s="2"/>
    </row>
    <row r="424" spans="1:14" ht="24.9" customHeight="1">
      <c r="A424" s="109"/>
      <c r="B424" s="33"/>
      <c r="C424" s="33"/>
      <c r="D424" s="161"/>
      <c r="E424" s="109"/>
      <c r="F424" s="109"/>
      <c r="G424" s="109"/>
      <c r="H424" s="109"/>
      <c r="I424" s="109"/>
      <c r="J424" s="91" t="str">
        <f>$J$3</f>
        <v>Fabricators Guide</v>
      </c>
      <c r="K424" s="7"/>
      <c r="L424" s="7"/>
      <c r="M424" s="2"/>
      <c r="N424" s="2"/>
    </row>
    <row r="425" spans="1:14" ht="24.9" customHeight="1">
      <c r="B425" s="217"/>
      <c r="C425" s="28"/>
      <c r="D425" s="28"/>
      <c r="E425" s="28"/>
      <c r="F425" s="28"/>
      <c r="G425" s="28"/>
      <c r="H425" s="28"/>
      <c r="I425" s="28"/>
      <c r="J425" s="91" t="str">
        <f>$J$4</f>
        <v xml:space="preserve">240 Series Bi Fold Door </v>
      </c>
      <c r="K425" s="48"/>
      <c r="L425" s="48"/>
      <c r="M425" s="4"/>
      <c r="N425" s="4"/>
    </row>
    <row r="426" spans="1:14" s="1" customFormat="1" ht="15" customHeight="1" thickBot="1">
      <c r="A426" s="78"/>
      <c r="B426" s="8"/>
      <c r="C426" s="28"/>
      <c r="D426" s="28"/>
      <c r="E426" s="28"/>
      <c r="F426" s="28"/>
      <c r="G426" s="28"/>
      <c r="H426" s="2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  <c r="K427" s="4"/>
      <c r="L427" s="4"/>
      <c r="M427" s="4"/>
      <c r="N427" s="4"/>
    </row>
    <row r="428" spans="1:14" s="1" customFormat="1" ht="15" customHeight="1">
      <c r="A428" s="193"/>
      <c r="B428" s="194"/>
      <c r="C428" s="194"/>
      <c r="D428" s="194"/>
      <c r="E428" s="194"/>
      <c r="F428" s="194"/>
      <c r="G428" s="194"/>
      <c r="H428" s="194"/>
      <c r="I428" s="193"/>
      <c r="K428" s="56"/>
      <c r="L428" s="56"/>
      <c r="M428" s="56"/>
      <c r="N428" s="56"/>
    </row>
    <row r="429" spans="1:14" s="1" customFormat="1" ht="15" customHeight="1">
      <c r="A429" s="45"/>
      <c r="B429" s="193"/>
      <c r="C429" s="193"/>
      <c r="D429" s="193"/>
      <c r="E429" s="193"/>
      <c r="F429" s="193"/>
      <c r="G429" s="193"/>
      <c r="H429" s="193"/>
      <c r="I429" s="44"/>
      <c r="J429" s="119"/>
    </row>
    <row r="430" spans="1:14" s="1" customFormat="1" ht="15" customHeight="1">
      <c r="A430" s="109"/>
      <c r="B430" s="39"/>
      <c r="C430" s="33"/>
      <c r="D430" s="161"/>
      <c r="E430" s="35"/>
      <c r="F430" s="39"/>
      <c r="G430" s="193"/>
      <c r="H430" s="44"/>
      <c r="I430" s="44"/>
      <c r="J430" s="119"/>
    </row>
    <row r="431" spans="1:14" s="1" customFormat="1" ht="15" customHeight="1">
      <c r="A431" s="109"/>
      <c r="B431" s="33"/>
      <c r="C431" s="33"/>
      <c r="D431" s="161"/>
      <c r="E431" s="35"/>
      <c r="F431" s="161"/>
      <c r="G431" s="193"/>
      <c r="H431" s="44"/>
      <c r="I431" s="44"/>
      <c r="J431" s="119"/>
    </row>
    <row r="432" spans="1:14" s="1" customFormat="1" ht="15" customHeight="1">
      <c r="A432" s="109"/>
      <c r="B432" s="56"/>
      <c r="C432" s="56"/>
      <c r="D432" s="30"/>
      <c r="E432" s="29"/>
      <c r="F432" s="30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109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3"/>
      <c r="H434" s="44"/>
      <c r="I434" s="44"/>
      <c r="J434" s="119"/>
    </row>
    <row r="435" spans="1:10" s="1" customFormat="1" ht="15" customHeight="1">
      <c r="A435" s="109"/>
      <c r="B435" s="33"/>
      <c r="C435" s="161"/>
      <c r="D435" s="161"/>
      <c r="E435" s="35"/>
      <c r="F435" s="161"/>
      <c r="H435" s="44"/>
      <c r="I435" s="44"/>
      <c r="J435" s="119"/>
    </row>
    <row r="436" spans="1:10" s="1" customFormat="1" ht="15" customHeight="1">
      <c r="A436" s="39"/>
      <c r="B436" s="33"/>
      <c r="C436" s="42"/>
      <c r="D436" s="161"/>
      <c r="E436" s="109"/>
      <c r="F436" s="69"/>
      <c r="H436" s="44"/>
      <c r="I436" s="44"/>
      <c r="J436" s="119"/>
    </row>
    <row r="437" spans="1:10" s="1" customFormat="1" ht="15" customHeight="1">
      <c r="A437" s="92"/>
      <c r="B437" s="39"/>
      <c r="C437" s="163"/>
      <c r="D437" s="161"/>
      <c r="E437" s="109"/>
      <c r="F437" s="68"/>
      <c r="H437" s="44"/>
      <c r="I437" s="44"/>
      <c r="J437" s="119"/>
    </row>
    <row r="438" spans="1:10" s="1" customFormat="1" ht="15" customHeight="1">
      <c r="B438" s="92"/>
      <c r="C438" s="161"/>
      <c r="D438" s="161"/>
      <c r="E438" s="109"/>
      <c r="F438" s="218"/>
      <c r="H438" s="44"/>
      <c r="I438" s="44"/>
      <c r="J438" s="119"/>
    </row>
    <row r="439" spans="1:10" s="1" customFormat="1" ht="15" customHeight="1">
      <c r="A439" s="64" t="str">
        <f>A18</f>
        <v>240-6 Panel (3L3R)</v>
      </c>
      <c r="B439" s="92"/>
      <c r="C439" s="161"/>
      <c r="D439" s="161"/>
      <c r="E439" s="109"/>
      <c r="F439" s="218"/>
      <c r="H439" s="44"/>
      <c r="I439" s="44"/>
      <c r="J439" s="119"/>
    </row>
    <row r="440" spans="1:10" s="1" customFormat="1" ht="15.9" customHeight="1">
      <c r="A440" s="76" t="str">
        <f>A19</f>
        <v xml:space="preserve">Outside Bi Fold Door </v>
      </c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44"/>
      <c r="B442" s="38"/>
      <c r="C442" s="43"/>
      <c r="D442" s="161"/>
      <c r="E442" s="109"/>
      <c r="F442" s="109"/>
      <c r="H442" s="44"/>
      <c r="I442" s="44"/>
      <c r="J442" s="119"/>
    </row>
    <row r="443" spans="1:10" s="1" customFormat="1" ht="15.9" customHeight="1">
      <c r="A443" s="40"/>
      <c r="C443" s="44"/>
      <c r="D443" s="84"/>
      <c r="E443" s="44"/>
      <c r="F443" s="44"/>
      <c r="H443" s="44"/>
      <c r="I443" s="44"/>
      <c r="J443" s="119"/>
    </row>
    <row r="444" spans="1:10" s="1" customFormat="1" ht="35.1" customHeight="1">
      <c r="A444" s="109"/>
      <c r="C444" s="161"/>
      <c r="D444" s="85"/>
      <c r="E444" s="40"/>
      <c r="F444" s="32"/>
      <c r="H444" s="44"/>
      <c r="I444" s="24"/>
      <c r="J444" s="24"/>
    </row>
    <row r="445" spans="1:10" ht="15.6">
      <c r="B445" s="64"/>
      <c r="C445" s="163"/>
      <c r="D445" s="161"/>
      <c r="E445" s="109"/>
      <c r="F445" s="161"/>
      <c r="G445" s="109"/>
      <c r="H445" s="109"/>
    </row>
    <row r="450" spans="1:10" s="1" customFormat="1" ht="15.9" customHeight="1">
      <c r="A450" s="109"/>
      <c r="B450"/>
      <c r="C450"/>
      <c r="D450" s="81"/>
      <c r="E450"/>
      <c r="F450"/>
      <c r="G450"/>
      <c r="H450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44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1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163"/>
      <c r="D456" s="161"/>
      <c r="E456" s="109"/>
      <c r="F456" s="161"/>
      <c r="G456" s="109"/>
      <c r="H456" s="109"/>
      <c r="I456" s="109"/>
      <c r="J456" s="24"/>
    </row>
    <row r="457" spans="1:10" s="1" customFormat="1" ht="15.9" customHeight="1">
      <c r="A457" s="109"/>
      <c r="B457" s="33"/>
      <c r="C457" s="161"/>
      <c r="D457" s="161"/>
      <c r="E457" s="109"/>
      <c r="F457" s="161"/>
      <c r="G457" s="109"/>
      <c r="H457" s="109"/>
      <c r="I457" s="24"/>
      <c r="J457" s="24"/>
    </row>
    <row r="458" spans="1:10" s="1" customFormat="1" ht="15.9" customHeight="1">
      <c r="A458" s="109"/>
      <c r="B458" s="33"/>
      <c r="C458" s="33"/>
      <c r="D458" s="161"/>
      <c r="E458" s="109"/>
      <c r="F458" s="109"/>
      <c r="G458" s="109"/>
      <c r="H458" s="109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7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" customHeight="1">
      <c r="A476" s="109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23" customFormat="1" ht="15.9" customHeight="1">
      <c r="A477" s="109"/>
      <c r="B477" s="33"/>
      <c r="C477" s="33"/>
      <c r="D477" s="161"/>
      <c r="E477" s="109"/>
      <c r="F477" s="109"/>
      <c r="G477" s="109"/>
      <c r="H477" s="109"/>
      <c r="I477" s="109"/>
      <c r="J477" s="109"/>
    </row>
    <row r="478" spans="1:10" s="1" customFormat="1" ht="15.9" customHeight="1">
      <c r="A478" s="44"/>
      <c r="B478" s="33"/>
      <c r="C478" s="33"/>
      <c r="D478" s="161"/>
      <c r="E478" s="109"/>
      <c r="F478" s="109"/>
      <c r="G478" s="109"/>
      <c r="H478" s="109"/>
      <c r="I478" s="44"/>
      <c r="J478" s="119"/>
    </row>
    <row r="479" spans="1:10" s="1" customFormat="1" ht="15.9" customHeight="1">
      <c r="A479" s="40"/>
      <c r="B479" s="44"/>
      <c r="C479" s="44"/>
      <c r="D479" s="84"/>
      <c r="E479" s="44"/>
      <c r="F479" s="44"/>
      <c r="G479" s="44"/>
      <c r="H479" s="44"/>
      <c r="I479" s="32"/>
      <c r="J479" s="40"/>
    </row>
    <row r="480" spans="1:10" s="1" customFormat="1" ht="15.9" customHeight="1">
      <c r="A480" s="27"/>
      <c r="B480" s="40"/>
      <c r="C480" s="44"/>
      <c r="D480" s="85"/>
      <c r="E480" s="40"/>
      <c r="F480" s="32"/>
      <c r="G480" s="40"/>
      <c r="H480" s="32"/>
      <c r="I480" s="24"/>
      <c r="J480" s="24"/>
    </row>
    <row r="481" spans="1:10" s="1" customFormat="1" ht="15.9" customHeight="1">
      <c r="A481" s="27"/>
      <c r="B481" s="33"/>
      <c r="C481" s="42"/>
      <c r="D481" s="161"/>
      <c r="E481" s="109"/>
      <c r="F481" s="109"/>
      <c r="G481" s="109"/>
      <c r="H481" s="42"/>
      <c r="I481" s="67"/>
      <c r="J481" s="165"/>
    </row>
    <row r="482" spans="1:10" s="1" customFormat="1" ht="15.9" customHeight="1">
      <c r="A482" s="27"/>
      <c r="B482" s="33"/>
      <c r="C482" s="163"/>
      <c r="D482" s="161"/>
      <c r="E482" s="109"/>
      <c r="F482" s="109"/>
      <c r="G482" s="109"/>
      <c r="H482" s="67"/>
      <c r="I482" s="38"/>
      <c r="J482" s="109"/>
    </row>
    <row r="483" spans="1:10" s="1" customFormat="1" ht="15.9" customHeight="1">
      <c r="A483" s="27"/>
      <c r="B483" s="33"/>
      <c r="C483" s="161"/>
      <c r="D483" s="161"/>
      <c r="E483" s="109"/>
      <c r="F483" s="109"/>
      <c r="G483" s="109"/>
      <c r="H483" s="38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46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161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D495" s="161"/>
      <c r="E495" s="109"/>
      <c r="F495" s="109"/>
      <c r="G495" s="33"/>
      <c r="H495" s="33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42"/>
      <c r="I499" s="67"/>
      <c r="J499" s="165"/>
    </row>
    <row r="500" spans="1:10" s="1" customFormat="1" ht="15.9" customHeight="1">
      <c r="A500" s="27"/>
      <c r="B500" s="33"/>
      <c r="C500" s="47"/>
      <c r="D500" s="161"/>
      <c r="E500" s="109"/>
      <c r="F500" s="109"/>
      <c r="G500" s="109"/>
      <c r="H500" s="67"/>
      <c r="I500" s="38"/>
      <c r="J500" s="109"/>
    </row>
    <row r="501" spans="1:10" s="1" customFormat="1" ht="15.9" customHeight="1">
      <c r="A501" s="27"/>
      <c r="B501" s="33"/>
      <c r="C501" s="46"/>
      <c r="D501" s="161"/>
      <c r="E501" s="109"/>
      <c r="F501" s="109"/>
      <c r="G501" s="109"/>
      <c r="H501" s="38"/>
      <c r="I501" s="24"/>
      <c r="J501" s="24"/>
    </row>
    <row r="502" spans="1:10" s="1" customFormat="1" ht="15.9" customHeight="1">
      <c r="A502" s="27"/>
      <c r="B502" s="33"/>
      <c r="C502" s="161"/>
      <c r="D502" s="161"/>
      <c r="E502" s="109"/>
      <c r="F502" s="109"/>
      <c r="G502" s="109"/>
      <c r="H502" s="42"/>
      <c r="I502" s="67"/>
      <c r="J502" s="165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67"/>
      <c r="I503" s="38"/>
      <c r="J503" s="109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38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109"/>
      <c r="J512" s="24"/>
    </row>
    <row r="513" spans="1:15" s="1" customFormat="1" ht="15.9" customHeight="1">
      <c r="A513" s="27"/>
      <c r="B513" s="33"/>
      <c r="C513" s="33"/>
      <c r="D513" s="161"/>
      <c r="E513" s="109"/>
      <c r="F513" s="109"/>
      <c r="G513" s="109"/>
      <c r="H513" s="109"/>
      <c r="I513" s="43"/>
      <c r="J513" s="107"/>
    </row>
    <row r="514" spans="1:15" s="1" customFormat="1" ht="15.9" customHeight="1">
      <c r="A514" s="27"/>
      <c r="B514" s="33"/>
      <c r="C514" s="33"/>
      <c r="D514" s="161"/>
      <c r="E514" s="109"/>
      <c r="F514" s="109"/>
      <c r="G514" s="109"/>
      <c r="H514" s="66"/>
      <c r="I514" s="38"/>
      <c r="J514" s="109"/>
    </row>
    <row r="515" spans="1:15" s="1" customFormat="1" ht="15.9" customHeight="1">
      <c r="A515" s="44"/>
      <c r="B515" s="44"/>
      <c r="C515" s="44"/>
      <c r="D515" s="84"/>
      <c r="E515" s="44"/>
      <c r="F515" s="44"/>
      <c r="G515" s="44"/>
      <c r="H515" s="44"/>
      <c r="I515" s="44"/>
      <c r="J515" s="119"/>
    </row>
    <row r="516" spans="1:15" s="1" customFormat="1" ht="15.9" customHeight="1">
      <c r="B516" s="44"/>
      <c r="C516" s="44"/>
      <c r="D516" s="84"/>
      <c r="E516" s="44"/>
      <c r="F516" s="44"/>
      <c r="G516" s="44"/>
      <c r="H516" s="44"/>
    </row>
    <row r="517" spans="1:15" s="1" customFormat="1" ht="15.9" customHeight="1" thickBot="1"/>
    <row r="518" spans="1:15" s="1" customFormat="1" ht="24.9" customHeight="1" thickBot="1">
      <c r="A518" s="502" t="s">
        <v>401</v>
      </c>
      <c r="B518" s="503"/>
      <c r="C518" s="503"/>
      <c r="D518" s="503"/>
      <c r="E518" s="503"/>
      <c r="F518" s="503"/>
      <c r="G518" s="503"/>
      <c r="H518" s="503"/>
      <c r="I518" s="503"/>
      <c r="J518" s="504"/>
    </row>
    <row r="519" spans="1:15" s="1" customFormat="1" ht="35.1" customHeight="1" thickBot="1">
      <c r="A519" s="102" t="s">
        <v>2</v>
      </c>
      <c r="B519" s="103" t="s">
        <v>3</v>
      </c>
      <c r="C519" s="103" t="s">
        <v>3</v>
      </c>
      <c r="D519" s="104" t="s">
        <v>35</v>
      </c>
      <c r="E519" s="103" t="s">
        <v>5</v>
      </c>
      <c r="F519" s="339" t="s">
        <v>27</v>
      </c>
      <c r="G519" s="305"/>
      <c r="H519" s="104" t="s">
        <v>27</v>
      </c>
      <c r="I519" s="104" t="s">
        <v>26</v>
      </c>
      <c r="J519" s="115" t="s">
        <v>6</v>
      </c>
      <c r="N519" s="249" t="s">
        <v>3</v>
      </c>
      <c r="O519" s="249" t="s">
        <v>3</v>
      </c>
    </row>
    <row r="520" spans="1:15" s="1" customFormat="1" ht="15.9" customHeight="1">
      <c r="A520" s="123">
        <f>IF(C520="","",1)</f>
        <v>1</v>
      </c>
      <c r="B520" s="121" t="str">
        <f>IF($D$127=5,N520,IF($D$127=6,N521,IF($D$127=8,N522,IF($D$127=10,N523,IF($D$127=12,N524,IF($D$127=14,N525,IF($D$127=18,N526,IF($D$127=20,N527,IF($D$127=22,N528,)))))))))</f>
        <v>กระจก 6 mm (สูง) (กว้าง)</v>
      </c>
      <c r="C520" s="121" t="str">
        <f>IF($D$127=5,O520,IF($D$127=6,O521,IF($D$127=8,O522,IF($D$127=10,O523,IF($D$127=12,O524,IF($D$127=14,O525,IF($D$127=18,O526,IF($D$127=20,O527,IF($D$127=22,O528,)))))))))</f>
        <v>GLASS thk.6 mm (H) (W)</v>
      </c>
      <c r="D520" s="124">
        <f>$J$123-215</f>
        <v>2285</v>
      </c>
      <c r="E520" s="123" t="s">
        <v>11</v>
      </c>
      <c r="F520" s="527" t="s">
        <v>271</v>
      </c>
      <c r="G520" s="528"/>
      <c r="H520" s="123" t="s">
        <v>407</v>
      </c>
      <c r="I520" s="124">
        <f>(($J$126-185-(113.25*5))/6)-13</f>
        <v>528.45833333333337</v>
      </c>
      <c r="J520" s="151">
        <f>$J$120*6</f>
        <v>6</v>
      </c>
      <c r="M520" s="1">
        <f>ROW()</f>
        <v>520</v>
      </c>
      <c r="N520" s="19" t="s">
        <v>194</v>
      </c>
      <c r="O520" s="19" t="s">
        <v>195</v>
      </c>
    </row>
    <row r="521" spans="1:15" s="1" customFormat="1" ht="15.9" customHeight="1">
      <c r="A521" s="346"/>
      <c r="B521" s="295"/>
      <c r="C521" s="295"/>
      <c r="D521" s="296"/>
      <c r="E521" s="238"/>
      <c r="F521" s="251"/>
      <c r="G521" s="297"/>
      <c r="H521" s="238"/>
      <c r="I521" s="298"/>
      <c r="J521" s="299"/>
      <c r="M521" s="1">
        <f>ROW()</f>
        <v>521</v>
      </c>
      <c r="N521" s="19" t="s">
        <v>53</v>
      </c>
      <c r="O521" s="19" t="s">
        <v>54</v>
      </c>
    </row>
    <row r="522" spans="1:15" s="1" customFormat="1" ht="15.9" customHeight="1">
      <c r="A522" s="346"/>
      <c r="B522" s="295"/>
      <c r="C522" s="295"/>
      <c r="D522" s="296"/>
      <c r="E522" s="238"/>
      <c r="F522" s="251"/>
      <c r="G522" s="297"/>
      <c r="H522" s="238"/>
      <c r="I522" s="298"/>
      <c r="J522" s="299"/>
      <c r="M522" s="1">
        <f>ROW()</f>
        <v>522</v>
      </c>
      <c r="N522" s="19" t="s">
        <v>257</v>
      </c>
      <c r="O522" s="19" t="s">
        <v>258</v>
      </c>
    </row>
    <row r="523" spans="1:15" s="1" customFormat="1" ht="15.9" customHeight="1">
      <c r="A523" s="129" t="str">
        <f>IF(B523="","",+#REF!+1)</f>
        <v/>
      </c>
      <c r="B523" s="127"/>
      <c r="C523" s="127"/>
      <c r="D523" s="128"/>
      <c r="E523" s="129"/>
      <c r="F523" s="155"/>
      <c r="G523" s="157"/>
      <c r="H523" s="129"/>
      <c r="I523" s="144"/>
      <c r="J523" s="130"/>
      <c r="M523" s="1">
        <f>ROW()</f>
        <v>523</v>
      </c>
      <c r="N523" s="19" t="s">
        <v>259</v>
      </c>
      <c r="O523" s="19" t="s">
        <v>265</v>
      </c>
    </row>
    <row r="524" spans="1:15" s="1" customFormat="1" ht="15.9" customHeight="1">
      <c r="A524" s="135" t="str">
        <f>IF(B524="","",+A523+1)</f>
        <v/>
      </c>
      <c r="B524" s="133"/>
      <c r="C524" s="133"/>
      <c r="D524" s="134"/>
      <c r="E524" s="135"/>
      <c r="F524" s="158"/>
      <c r="G524" s="159"/>
      <c r="H524" s="135"/>
      <c r="I524" s="145"/>
      <c r="J524" s="136"/>
      <c r="M524" s="1">
        <f>ROW()</f>
        <v>524</v>
      </c>
      <c r="N524" s="19" t="s">
        <v>260</v>
      </c>
      <c r="O524" s="19" t="s">
        <v>266</v>
      </c>
    </row>
    <row r="525" spans="1:15" s="1" customFormat="1" ht="15.9" customHeight="1">
      <c r="A525" s="17"/>
      <c r="B525" s="56"/>
      <c r="C525" s="56"/>
      <c r="D525" s="30"/>
      <c r="E525" s="17"/>
      <c r="F525" s="17"/>
      <c r="G525" s="17"/>
      <c r="H525" s="109"/>
      <c r="I525" s="109"/>
      <c r="J525" s="24"/>
      <c r="M525" s="1">
        <f>ROW()</f>
        <v>525</v>
      </c>
      <c r="N525" s="19" t="s">
        <v>261</v>
      </c>
      <c r="O525" s="19" t="s">
        <v>267</v>
      </c>
    </row>
    <row r="526" spans="1:15">
      <c r="H526" s="294"/>
      <c r="I526" s="294"/>
      <c r="J526" s="99" t="str">
        <f>LEFT($J$111,13)&amp;"-05"</f>
        <v>FG-240-6P3L3R-05</v>
      </c>
      <c r="M526" s="1">
        <f>ROW()</f>
        <v>526</v>
      </c>
      <c r="N526" s="19" t="s">
        <v>262</v>
      </c>
      <c r="O526" s="19" t="s">
        <v>268</v>
      </c>
    </row>
    <row r="527" spans="1:15">
      <c r="M527" s="1">
        <f>ROW()</f>
        <v>527</v>
      </c>
      <c r="N527" s="19" t="s">
        <v>263</v>
      </c>
      <c r="O527" s="19" t="s">
        <v>269</v>
      </c>
    </row>
    <row r="528" spans="1:15">
      <c r="M528" s="1">
        <f>ROW()</f>
        <v>528</v>
      </c>
      <c r="N528" s="19" t="s">
        <v>264</v>
      </c>
      <c r="O528" s="19" t="s">
        <v>270</v>
      </c>
    </row>
  </sheetData>
  <dataConsolidate function="product">
    <dataRefs count="1">
      <dataRef ref="O154:O162" sheet="240_2Panel(L)" r:id="rId1"/>
    </dataRefs>
  </dataConsolidate>
  <mergeCells count="46">
    <mergeCell ref="D161:D162"/>
    <mergeCell ref="D163:D168"/>
    <mergeCell ref="D169:D170"/>
    <mergeCell ref="D171:D172"/>
    <mergeCell ref="H163:H168"/>
    <mergeCell ref="H161:H162"/>
    <mergeCell ref="H169:H170"/>
    <mergeCell ref="H171:H172"/>
    <mergeCell ref="A173:J173"/>
    <mergeCell ref="I168:J168"/>
    <mergeCell ref="I162:J165"/>
    <mergeCell ref="I166:J167"/>
    <mergeCell ref="D127:G127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I161:J161"/>
    <mergeCell ref="D129:G129"/>
    <mergeCell ref="H123:I124"/>
    <mergeCell ref="J123:J124"/>
    <mergeCell ref="A125:B125"/>
    <mergeCell ref="H126:I127"/>
    <mergeCell ref="J126:J127"/>
    <mergeCell ref="D123:G123"/>
    <mergeCell ref="D125:G125"/>
    <mergeCell ref="A6:J6"/>
    <mergeCell ref="H120:I121"/>
    <mergeCell ref="J120:J121"/>
    <mergeCell ref="A117:J117"/>
    <mergeCell ref="D121:G121"/>
    <mergeCell ref="D119:G119"/>
    <mergeCell ref="F520:G520"/>
    <mergeCell ref="A518:J518"/>
    <mergeCell ref="A427:J427"/>
    <mergeCell ref="A320:J320"/>
    <mergeCell ref="A213:J213"/>
    <mergeCell ref="F331:G331"/>
    <mergeCell ref="F338:G338"/>
    <mergeCell ref="F330:G330"/>
    <mergeCell ref="C309:E309"/>
  </mergeCells>
  <dataValidations count="4">
    <dataValidation type="list" allowBlank="1" showInputMessage="1" showErrorMessage="1" sqref="D127:G127">
      <formula1>$N$120:$N$128</formula1>
    </dataValidation>
    <dataValidation type="list" allowBlank="1" showInputMessage="1" showErrorMessage="1" sqref="C206">
      <formula1>$O$175:$O$194</formula1>
    </dataValidation>
    <dataValidation type="list" allowBlank="1" showInputMessage="1" showErrorMessage="1" sqref="D129:G129">
      <formula1>$O$120</formula1>
    </dataValidation>
    <dataValidation type="list" allowBlank="1" showInputMessage="1" showErrorMessage="1" sqref="D123:G123">
      <formula1>$P$119:$P$129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4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16383" man="1"/>
    <brk id="421" max="9" man="1"/>
  </rowBreaks>
  <drawing r:id="rId3"/>
  <legacy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-0.249977111117893"/>
  </sheetPr>
  <dimension ref="A1:X528"/>
  <sheetViews>
    <sheetView showGridLines="0" view="pageBreakPreview" topLeftCell="A119" zoomScale="75" zoomScaleNormal="75" zoomScaleSheetLayoutView="75" workbookViewId="0">
      <selection activeCell="I135" sqref="I135"/>
    </sheetView>
  </sheetViews>
  <sheetFormatPr defaultRowHeight="14.4" outlineLevelRow="1" outlineLevelCol="1"/>
  <cols>
    <col min="1" max="1" width="7" customWidth="1"/>
    <col min="2" max="2" width="40.6640625" customWidth="1"/>
    <col min="3" max="3" width="61.3320312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7.88671875" bestFit="1" customWidth="1"/>
    <col min="9" max="9" width="11.109375" bestFit="1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3.4414062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79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79"/>
      <c r="E3" s="279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155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>
      <c r="G45" s="10"/>
    </row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/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341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79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79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5.6">
      <c r="A118" s="12"/>
      <c r="C118" s="8"/>
      <c r="D118" s="15"/>
      <c r="E118" s="13"/>
      <c r="J118" s="360"/>
      <c r="K118" s="11"/>
      <c r="L118" s="56"/>
      <c r="M118" s="56"/>
      <c r="N118" s="56"/>
    </row>
    <row r="119" spans="1:16" s="1" customFormat="1" ht="18" customHeight="1">
      <c r="A119" s="12"/>
      <c r="C119" s="110" t="s">
        <v>635</v>
      </c>
      <c r="D119" s="524"/>
      <c r="E119" s="525"/>
      <c r="F119" s="525"/>
      <c r="G119" s="526"/>
      <c r="I119" s="16"/>
      <c r="J119" s="12"/>
      <c r="N119" s="243" t="s">
        <v>191</v>
      </c>
      <c r="O119" s="12" t="s">
        <v>227</v>
      </c>
      <c r="P119" s="247" t="s">
        <v>16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4</v>
      </c>
      <c r="N120" s="244">
        <v>5</v>
      </c>
      <c r="O120" s="12" t="s">
        <v>243</v>
      </c>
      <c r="P120" s="335" t="s">
        <v>389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6</v>
      </c>
      <c r="O121" s="12" t="s">
        <v>244</v>
      </c>
      <c r="P121" s="336" t="s">
        <v>390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8</v>
      </c>
      <c r="P122" s="336" t="s">
        <v>391</v>
      </c>
    </row>
    <row r="123" spans="1:16" s="1" customFormat="1" ht="15" customHeight="1">
      <c r="A123" s="12"/>
      <c r="C123" s="110" t="s">
        <v>629</v>
      </c>
      <c r="D123" s="524" t="s">
        <v>389</v>
      </c>
      <c r="E123" s="525"/>
      <c r="F123" s="525"/>
      <c r="G123" s="526"/>
      <c r="H123" s="519" t="s">
        <v>638</v>
      </c>
      <c r="I123" s="520"/>
      <c r="J123" s="517">
        <v>2700</v>
      </c>
      <c r="N123" s="245">
        <v>10</v>
      </c>
      <c r="P123" s="336" t="s">
        <v>392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12</v>
      </c>
      <c r="P124" s="335" t="s">
        <v>393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 t="s">
        <v>468</v>
      </c>
      <c r="J125" s="12" t="s">
        <v>469</v>
      </c>
      <c r="K125" s="358"/>
      <c r="L125" s="77"/>
      <c r="N125" s="245">
        <v>14</v>
      </c>
      <c r="P125" s="335" t="s">
        <v>394</v>
      </c>
    </row>
    <row r="126" spans="1:16" s="1" customFormat="1" ht="15" customHeight="1">
      <c r="A126" s="360"/>
      <c r="B126" s="360"/>
      <c r="C126" s="423" t="s">
        <v>631</v>
      </c>
      <c r="D126" s="15"/>
      <c r="I126" s="366">
        <v>600</v>
      </c>
      <c r="J126" s="372">
        <f>$I$143-($I$126*2)</f>
        <v>1408</v>
      </c>
      <c r="K126" s="358"/>
      <c r="L126" s="77"/>
      <c r="N126" s="245">
        <v>18</v>
      </c>
      <c r="P126" s="335" t="s">
        <v>395</v>
      </c>
    </row>
    <row r="127" spans="1:16" s="1" customFormat="1" ht="15" customHeight="1">
      <c r="A127" s="360"/>
      <c r="B127" s="360"/>
      <c r="C127" s="110" t="s">
        <v>633</v>
      </c>
      <c r="D127" s="534">
        <v>6</v>
      </c>
      <c r="E127" s="535"/>
      <c r="F127" s="535"/>
      <c r="G127" s="536"/>
      <c r="N127" s="245">
        <v>20</v>
      </c>
      <c r="P127" s="335" t="s">
        <v>396</v>
      </c>
    </row>
    <row r="128" spans="1:16" s="1" customFormat="1" ht="18.75" customHeight="1">
      <c r="C128" s="423" t="s">
        <v>632</v>
      </c>
      <c r="H128" s="519" t="s">
        <v>639</v>
      </c>
      <c r="I128" s="520"/>
      <c r="J128" s="517">
        <v>4600</v>
      </c>
      <c r="N128" s="245">
        <v>22</v>
      </c>
      <c r="P128" s="335" t="s">
        <v>397</v>
      </c>
    </row>
    <row r="129" spans="1:23" s="1" customFormat="1" ht="15" customHeight="1">
      <c r="A129" s="88" t="str">
        <f>A18</f>
        <v>240-6 Panel (3L3R)</v>
      </c>
      <c r="C129" s="110" t="s">
        <v>242</v>
      </c>
      <c r="D129" s="537" t="s">
        <v>243</v>
      </c>
      <c r="E129" s="538"/>
      <c r="F129" s="538"/>
      <c r="G129" s="539"/>
      <c r="H129" s="520"/>
      <c r="I129" s="520"/>
      <c r="J129" s="518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$J$128-60</f>
        <v>4540</v>
      </c>
      <c r="J133" s="125">
        <f t="shared" ref="J133:J153" si="0">$J$120*G133</f>
        <v>4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36</v>
      </c>
      <c r="U133" s="283" t="s">
        <v>298</v>
      </c>
      <c r="V133" s="307">
        <f>($J$128-185-(113.25*5))/6</f>
        <v>641.45833333333337</v>
      </c>
      <c r="W133" s="286">
        <f>$J$120*T133</f>
        <v>144</v>
      </c>
    </row>
    <row r="134" spans="1:23" s="1" customFormat="1" ht="18" customHeight="1">
      <c r="A134" s="143">
        <f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$J$128-86</f>
        <v>4514</v>
      </c>
      <c r="J134" s="131">
        <f>$J$120*G134</f>
        <v>4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36</v>
      </c>
      <c r="U134" s="129" t="s">
        <v>298</v>
      </c>
      <c r="V134" s="307">
        <f>($J$128-185-(113.25*5))/6</f>
        <v>641.45833333333337</v>
      </c>
      <c r="W134" s="286">
        <f t="shared" ref="W134:W141" si="1">$J$120*T134</f>
        <v>144</v>
      </c>
    </row>
    <row r="135" spans="1:23" s="1" customFormat="1" ht="18" customHeight="1">
      <c r="A135" s="143">
        <f t="shared" ref="A135:A152" si="2">IF(B135="","",+A134+1)</f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$J$128-60</f>
        <v>4540</v>
      </c>
      <c r="J135" s="131">
        <f t="shared" ref="J135:J139" si="3">$J$120*G135</f>
        <v>4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36</v>
      </c>
      <c r="U135" s="135" t="s">
        <v>298</v>
      </c>
      <c r="V135" s="307">
        <f>($J$128-185-(113.25*5))/6</f>
        <v>641.45833333333337</v>
      </c>
      <c r="W135" s="286">
        <f t="shared" si="1"/>
        <v>144</v>
      </c>
    </row>
    <row r="136" spans="1:23" s="1" customFormat="1" ht="18" customHeight="1">
      <c r="A136" s="143">
        <f t="shared" si="2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$J$128-60</f>
        <v>4540</v>
      </c>
      <c r="J136" s="131">
        <f t="shared" si="3"/>
        <v>4</v>
      </c>
      <c r="N136" s="101" t="s">
        <v>468</v>
      </c>
      <c r="O136" s="281" t="s">
        <v>219</v>
      </c>
      <c r="P136" s="281" t="s">
        <v>472</v>
      </c>
      <c r="Q136" s="282" t="s">
        <v>51</v>
      </c>
      <c r="R136" s="283">
        <v>0.23100000000000001</v>
      </c>
      <c r="S136" s="284" t="s">
        <v>321</v>
      </c>
      <c r="T136" s="283">
        <v>24</v>
      </c>
      <c r="U136" s="18" t="s">
        <v>470</v>
      </c>
      <c r="V136" s="307">
        <f>$I$143-$I$126-$J$126-112.5</f>
        <v>487.5</v>
      </c>
      <c r="W136" s="286">
        <f t="shared" si="1"/>
        <v>96</v>
      </c>
    </row>
    <row r="137" spans="1:23" s="1" customFormat="1" ht="18" customHeight="1">
      <c r="A137" s="143">
        <f t="shared" si="2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2700</v>
      </c>
      <c r="J137" s="131">
        <f t="shared" si="3"/>
        <v>4</v>
      </c>
      <c r="N137" s="101"/>
      <c r="O137" s="127" t="s">
        <v>220</v>
      </c>
      <c r="P137" s="127" t="s">
        <v>473</v>
      </c>
      <c r="Q137" s="127" t="s">
        <v>398</v>
      </c>
      <c r="R137" s="129">
        <v>0.215</v>
      </c>
      <c r="S137" s="127" t="s">
        <v>400</v>
      </c>
      <c r="T137" s="129">
        <v>24</v>
      </c>
      <c r="U137" s="18" t="s">
        <v>470</v>
      </c>
      <c r="V137" s="307">
        <f>$I$143-$I$126-$J$126-112.5</f>
        <v>487.5</v>
      </c>
      <c r="W137" s="286">
        <f t="shared" si="1"/>
        <v>96</v>
      </c>
    </row>
    <row r="138" spans="1:23" s="1" customFormat="1" ht="18" customHeight="1">
      <c r="A138" s="143">
        <f t="shared" si="2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2700</v>
      </c>
      <c r="J138" s="131">
        <f t="shared" si="3"/>
        <v>4</v>
      </c>
      <c r="N138" s="101"/>
      <c r="O138" s="133" t="s">
        <v>221</v>
      </c>
      <c r="P138" s="133" t="s">
        <v>474</v>
      </c>
      <c r="Q138" s="141" t="s">
        <v>224</v>
      </c>
      <c r="R138" s="135">
        <v>0.16900000000000001</v>
      </c>
      <c r="S138" s="133" t="s">
        <v>322</v>
      </c>
      <c r="T138" s="135">
        <v>24</v>
      </c>
      <c r="U138" s="18" t="s">
        <v>470</v>
      </c>
      <c r="V138" s="307">
        <f>$I$143-$I$126-$J$126-112.5</f>
        <v>487.5</v>
      </c>
      <c r="W138" s="286">
        <f t="shared" si="1"/>
        <v>96</v>
      </c>
    </row>
    <row r="139" spans="1:23" s="1" customFormat="1" ht="18" customHeight="1">
      <c r="A139" s="143">
        <f t="shared" si="2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2604</v>
      </c>
      <c r="J139" s="131">
        <f t="shared" si="3"/>
        <v>4</v>
      </c>
      <c r="N139" s="101" t="s">
        <v>469</v>
      </c>
      <c r="O139" s="281" t="s">
        <v>219</v>
      </c>
      <c r="P139" s="281" t="s">
        <v>475</v>
      </c>
      <c r="Q139" s="282" t="s">
        <v>51</v>
      </c>
      <c r="R139" s="283">
        <v>0.23100000000000001</v>
      </c>
      <c r="S139" s="284" t="s">
        <v>321</v>
      </c>
      <c r="T139" s="283">
        <v>12</v>
      </c>
      <c r="U139" s="283" t="s">
        <v>471</v>
      </c>
      <c r="V139" s="307">
        <f>$I$143-($I$126*2)-75</f>
        <v>1333</v>
      </c>
      <c r="W139" s="286">
        <f t="shared" si="1"/>
        <v>48</v>
      </c>
    </row>
    <row r="140" spans="1:23" s="1" customFormat="1" ht="18" customHeight="1">
      <c r="A140" s="143">
        <f t="shared" si="2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2604</v>
      </c>
      <c r="J140" s="131">
        <f t="shared" ref="J140" si="4">$J$120*G140</f>
        <v>4</v>
      </c>
      <c r="N140" s="98"/>
      <c r="O140" s="127" t="s">
        <v>220</v>
      </c>
      <c r="P140" s="127" t="s">
        <v>476</v>
      </c>
      <c r="Q140" s="127" t="s">
        <v>398</v>
      </c>
      <c r="R140" s="129">
        <v>0.215</v>
      </c>
      <c r="S140" s="127" t="s">
        <v>400</v>
      </c>
      <c r="T140" s="129">
        <v>12</v>
      </c>
      <c r="U140" s="283" t="s">
        <v>471</v>
      </c>
      <c r="V140" s="307">
        <f>$I$143-($I$126*2)-75</f>
        <v>1333</v>
      </c>
      <c r="W140" s="286">
        <f t="shared" si="1"/>
        <v>48</v>
      </c>
    </row>
    <row r="141" spans="1:23" s="1" customFormat="1" ht="18" customHeight="1">
      <c r="A141" s="143">
        <f t="shared" si="2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6</v>
      </c>
      <c r="H141" s="143" t="s">
        <v>298</v>
      </c>
      <c r="I141" s="178">
        <f>($J$128-185-(113.25*5))/6</f>
        <v>641.45833333333337</v>
      </c>
      <c r="J141" s="131">
        <f t="shared" ref="J141:J146" si="5">$J$120*G141</f>
        <v>24</v>
      </c>
      <c r="N141" s="98"/>
      <c r="O141" s="133" t="s">
        <v>221</v>
      </c>
      <c r="P141" s="133" t="s">
        <v>477</v>
      </c>
      <c r="Q141" s="141" t="s">
        <v>224</v>
      </c>
      <c r="R141" s="135">
        <v>0.16900000000000001</v>
      </c>
      <c r="S141" s="133" t="s">
        <v>322</v>
      </c>
      <c r="T141" s="135">
        <v>12</v>
      </c>
      <c r="U141" s="18" t="s">
        <v>471</v>
      </c>
      <c r="V141" s="367">
        <f>$I$143-($I$126*2)-75</f>
        <v>1333</v>
      </c>
      <c r="W141" s="373">
        <f t="shared" si="1"/>
        <v>48</v>
      </c>
    </row>
    <row r="142" spans="1:23" s="1" customFormat="1" ht="18" customHeight="1">
      <c r="A142" s="143">
        <f t="shared" si="2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6</v>
      </c>
      <c r="H142" s="143" t="s">
        <v>298</v>
      </c>
      <c r="I142" s="178">
        <f>($J$128-185-(113.25*5))/6</f>
        <v>641.45833333333337</v>
      </c>
      <c r="J142" s="131">
        <f t="shared" si="5"/>
        <v>24</v>
      </c>
      <c r="N142" s="98"/>
    </row>
    <row r="143" spans="1:23" s="1" customFormat="1" ht="18" customHeight="1">
      <c r="A143" s="143">
        <f t="shared" si="2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9</v>
      </c>
      <c r="H143" s="143" t="s">
        <v>63</v>
      </c>
      <c r="I143" s="130">
        <f>$J$123-92</f>
        <v>2608</v>
      </c>
      <c r="J143" s="131">
        <f t="shared" si="5"/>
        <v>36</v>
      </c>
      <c r="N143" s="98"/>
    </row>
    <row r="144" spans="1:23" s="1" customFormat="1" ht="18" customHeight="1">
      <c r="A144" s="143">
        <f t="shared" si="2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1</v>
      </c>
      <c r="H144" s="143" t="s">
        <v>63</v>
      </c>
      <c r="I144" s="130">
        <f t="shared" ref="I144:I146" si="6">$J$123-92</f>
        <v>2608</v>
      </c>
      <c r="J144" s="131">
        <f t="shared" si="5"/>
        <v>4</v>
      </c>
      <c r="N144" s="98"/>
    </row>
    <row r="145" spans="1:14" s="1" customFormat="1" ht="18" customHeight="1">
      <c r="A145" s="143">
        <f t="shared" si="2"/>
        <v>13</v>
      </c>
      <c r="B145" s="140" t="s">
        <v>116</v>
      </c>
      <c r="C145" s="140" t="s">
        <v>58</v>
      </c>
      <c r="D145" s="139" t="s">
        <v>50</v>
      </c>
      <c r="E145" s="143">
        <v>1.1060000000000001</v>
      </c>
      <c r="F145" s="139" t="s">
        <v>496</v>
      </c>
      <c r="G145" s="143">
        <v>1</v>
      </c>
      <c r="H145" s="143" t="s">
        <v>63</v>
      </c>
      <c r="I145" s="130">
        <f t="shared" si="6"/>
        <v>2608</v>
      </c>
      <c r="J145" s="131">
        <f t="shared" si="5"/>
        <v>4</v>
      </c>
      <c r="N145" s="98"/>
    </row>
    <row r="146" spans="1:14" s="1" customFormat="1" ht="18" customHeight="1">
      <c r="A146" s="143">
        <f t="shared" si="2"/>
        <v>14</v>
      </c>
      <c r="B146" s="140" t="s">
        <v>116</v>
      </c>
      <c r="C146" s="140" t="s">
        <v>99</v>
      </c>
      <c r="D146" s="139" t="s">
        <v>50</v>
      </c>
      <c r="E146" s="143">
        <v>1.1060000000000001</v>
      </c>
      <c r="F146" s="139" t="s">
        <v>506</v>
      </c>
      <c r="G146" s="143">
        <v>1</v>
      </c>
      <c r="H146" s="143" t="s">
        <v>63</v>
      </c>
      <c r="I146" s="130">
        <f t="shared" si="6"/>
        <v>2608</v>
      </c>
      <c r="J146" s="131">
        <f t="shared" si="5"/>
        <v>4</v>
      </c>
      <c r="N146" s="98"/>
    </row>
    <row r="147" spans="1:14" s="1" customFormat="1" ht="18" customHeight="1">
      <c r="A147" s="143">
        <f t="shared" si="2"/>
        <v>15</v>
      </c>
      <c r="B147" s="127" t="str">
        <f t="shared" ref="B147:J147" si="7">IF($D$127=5,O133,IF($D$127=6,O133,IF($D$127=8,O134,IF($D$127=10,O134,IF($D$127=12,O134,IF($D$127=14,O135,IF($D$127=18,O135,IF($D$127=20,O135,IF($D$127=22,O135,)))))))))</f>
        <v>5-6mm คิ้วตบกระจกแนวนอน</v>
      </c>
      <c r="C147" s="127" t="str">
        <f t="shared" si="7"/>
        <v>5-6mm GLAZING BEAD HORIZONTAL</v>
      </c>
      <c r="D147" s="127" t="str">
        <f t="shared" si="7"/>
        <v>B24008</v>
      </c>
      <c r="E147" s="127">
        <f t="shared" si="7"/>
        <v>0.23100000000000001</v>
      </c>
      <c r="F147" s="127" t="str">
        <f t="shared" si="7"/>
        <v>B24008-001</v>
      </c>
      <c r="G147" s="129">
        <f t="shared" si="7"/>
        <v>36</v>
      </c>
      <c r="H147" s="129" t="str">
        <f t="shared" si="7"/>
        <v>(W-185-(113.25 × 5))/6</v>
      </c>
      <c r="I147" s="178">
        <f t="shared" si="7"/>
        <v>641.45833333333337</v>
      </c>
      <c r="J147" s="144">
        <f t="shared" si="7"/>
        <v>144</v>
      </c>
      <c r="N147" s="98"/>
    </row>
    <row r="148" spans="1:14" s="1" customFormat="1" ht="18" customHeight="1">
      <c r="A148" s="143">
        <f t="shared" si="2"/>
        <v>16</v>
      </c>
      <c r="B148" s="127" t="str">
        <f t="shared" ref="B148:J148" si="8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27" t="str">
        <f t="shared" si="8"/>
        <v>5-6mm GLAZING BEAD VERTICAL P1</v>
      </c>
      <c r="D148" s="127" t="str">
        <f t="shared" si="8"/>
        <v>B24008</v>
      </c>
      <c r="E148" s="127">
        <f t="shared" si="8"/>
        <v>0.23100000000000001</v>
      </c>
      <c r="F148" s="127" t="str">
        <f t="shared" si="8"/>
        <v>B24008-002</v>
      </c>
      <c r="G148" s="129">
        <f t="shared" si="8"/>
        <v>24</v>
      </c>
      <c r="H148" s="129" t="str">
        <f t="shared" si="8"/>
        <v>SASH -P1-P2-112.5</v>
      </c>
      <c r="I148" s="144">
        <f t="shared" si="8"/>
        <v>487.5</v>
      </c>
      <c r="J148" s="144">
        <f t="shared" si="8"/>
        <v>96</v>
      </c>
      <c r="N148" s="98"/>
    </row>
    <row r="149" spans="1:14" s="1" customFormat="1" ht="18" customHeight="1">
      <c r="A149" s="143">
        <f t="shared" si="2"/>
        <v>17</v>
      </c>
      <c r="B149" s="127" t="str">
        <f t="shared" ref="B149:J149" si="9">IF($D$127=5,O139,IF($D$127=6,O139,IF($D$127=8,O140,IF($D$127=10,O140,IF($D$127=12,O140,IF($D$127=14,O141,IF($D$127=18,O141,IF($D$127=20,O141,IF($D$127=22,O141,)))))))))</f>
        <v>5-6mm คิ้วตบกระจกแนวตั้ง</v>
      </c>
      <c r="C149" s="127" t="str">
        <f t="shared" si="9"/>
        <v>5-6mm GLAZING BEAD VERTICAL P2</v>
      </c>
      <c r="D149" s="127" t="str">
        <f t="shared" si="9"/>
        <v>B24008</v>
      </c>
      <c r="E149" s="127">
        <f t="shared" si="9"/>
        <v>0.23100000000000001</v>
      </c>
      <c r="F149" s="127" t="str">
        <f t="shared" si="9"/>
        <v>B24008-002</v>
      </c>
      <c r="G149" s="129">
        <f t="shared" si="9"/>
        <v>12</v>
      </c>
      <c r="H149" s="129" t="str">
        <f t="shared" si="9"/>
        <v>SASH -(2P1)-75</v>
      </c>
      <c r="I149" s="144">
        <f t="shared" si="9"/>
        <v>1333</v>
      </c>
      <c r="J149" s="144">
        <f t="shared" si="9"/>
        <v>48</v>
      </c>
      <c r="N149" s="98"/>
    </row>
    <row r="150" spans="1:14" s="1" customFormat="1" ht="18" customHeight="1">
      <c r="A150" s="143">
        <f t="shared" si="2"/>
        <v>18</v>
      </c>
      <c r="B150" s="140" t="s">
        <v>466</v>
      </c>
      <c r="C150" s="140" t="s">
        <v>464</v>
      </c>
      <c r="D150" s="139" t="s">
        <v>465</v>
      </c>
      <c r="E150" s="143">
        <v>0.93200000000000005</v>
      </c>
      <c r="F150" s="139" t="s">
        <v>467</v>
      </c>
      <c r="G150" s="143">
        <v>12</v>
      </c>
      <c r="H150" s="143" t="s">
        <v>298</v>
      </c>
      <c r="I150" s="178">
        <f>($J$128-185-(113.25*5))/6</f>
        <v>641.45833333333337</v>
      </c>
      <c r="J150" s="131">
        <f>$J$120*G150</f>
        <v>48</v>
      </c>
      <c r="N150" s="98"/>
    </row>
    <row r="151" spans="1:14" s="1" customFormat="1" ht="18" customHeight="1">
      <c r="A151" s="143">
        <f t="shared" si="2"/>
        <v>19</v>
      </c>
      <c r="B151" s="140" t="s">
        <v>125</v>
      </c>
      <c r="C151" s="140" t="s">
        <v>124</v>
      </c>
      <c r="D151" s="139" t="s">
        <v>123</v>
      </c>
      <c r="E151" s="143"/>
      <c r="F151" s="139" t="s">
        <v>362</v>
      </c>
      <c r="G151" s="143">
        <v>1</v>
      </c>
      <c r="H151" s="143" t="s">
        <v>63</v>
      </c>
      <c r="I151" s="130">
        <f>$J$123-92</f>
        <v>2608</v>
      </c>
      <c r="J151" s="131">
        <f>$J$120*G151</f>
        <v>4</v>
      </c>
      <c r="N151" s="98"/>
    </row>
    <row r="152" spans="1:14" s="1" customFormat="1" ht="18" customHeight="1">
      <c r="A152" s="143">
        <f t="shared" si="2"/>
        <v>20</v>
      </c>
      <c r="B152" s="140" t="s">
        <v>125</v>
      </c>
      <c r="C152" s="140" t="s">
        <v>124</v>
      </c>
      <c r="D152" s="139" t="s">
        <v>123</v>
      </c>
      <c r="E152" s="143"/>
      <c r="F152" s="139" t="s">
        <v>363</v>
      </c>
      <c r="G152" s="143">
        <v>1</v>
      </c>
      <c r="H152" s="143" t="s">
        <v>63</v>
      </c>
      <c r="I152" s="130">
        <f>$J$123-92</f>
        <v>2608</v>
      </c>
      <c r="J152" s="131">
        <f>$J$120*G152</f>
        <v>4</v>
      </c>
      <c r="N152" s="98"/>
    </row>
    <row r="153" spans="1:14" s="1" customFormat="1" ht="18" customHeight="1" thickBot="1">
      <c r="A153" s="143" t="str">
        <f>IF(B153="","",+A140+1)</f>
        <v/>
      </c>
      <c r="B153" s="167"/>
      <c r="C153" s="167"/>
      <c r="D153" s="168"/>
      <c r="E153" s="166"/>
      <c r="F153" s="168"/>
      <c r="G153" s="166"/>
      <c r="H153" s="166"/>
      <c r="I153" s="171"/>
      <c r="J153" s="172">
        <f t="shared" si="0"/>
        <v>0</v>
      </c>
    </row>
    <row r="154" spans="1:14" s="1" customFormat="1" ht="27" outlineLevel="1" thickBot="1">
      <c r="A154" s="169" t="s">
        <v>2</v>
      </c>
      <c r="B154" s="169" t="s">
        <v>29</v>
      </c>
      <c r="C154" s="169" t="s">
        <v>3</v>
      </c>
      <c r="D154" s="169" t="s">
        <v>4</v>
      </c>
      <c r="E154" s="169" t="s">
        <v>5</v>
      </c>
      <c r="F154" s="177" t="s">
        <v>85</v>
      </c>
      <c r="G154" s="169" t="s">
        <v>22</v>
      </c>
      <c r="H154" s="170" t="s">
        <v>23</v>
      </c>
      <c r="I154" s="540"/>
      <c r="J154" s="541"/>
    </row>
    <row r="155" spans="1:14" s="1" customFormat="1" ht="15" customHeight="1" outlineLevel="1">
      <c r="A155" s="21">
        <f>IF(B155="","",1)</f>
        <v>1</v>
      </c>
      <c r="B155" s="173" t="str">
        <f t="shared" ref="B155:C161" si="10">B133</f>
        <v>เฟรมบน</v>
      </c>
      <c r="C155" s="173" t="str">
        <f t="shared" si="10"/>
        <v>HEAD</v>
      </c>
      <c r="D155" s="174" t="str">
        <f>VLOOKUP(C155,$C$133:$H$153,2,0)</f>
        <v>B24001</v>
      </c>
      <c r="E155" s="175">
        <f t="shared" ref="E155:E161" si="11">VLOOKUP(C155,$C$133:$H$153,3,0)</f>
        <v>1.603</v>
      </c>
      <c r="F155" s="353">
        <f>VLOOKUP(C155,$C$133:$J$153,7,0)</f>
        <v>4540</v>
      </c>
      <c r="G155" s="175">
        <f t="shared" ref="G155:G161" si="12">VLOOKUP(C155,$C$133:$J$153,8,0)</f>
        <v>4</v>
      </c>
      <c r="H155" s="191">
        <f>ROUNDUP((F155*G155)/6400,0)</f>
        <v>3</v>
      </c>
      <c r="I155" s="501"/>
      <c r="J155" s="501"/>
    </row>
    <row r="156" spans="1:14" s="1" customFormat="1" ht="15" customHeight="1" outlineLevel="1">
      <c r="A156" s="18">
        <f t="shared" ref="A156" si="13">IF(B156="","",+A155+1)</f>
        <v>2</v>
      </c>
      <c r="B156" s="173" t="str">
        <f t="shared" si="10"/>
        <v>บังใบบน</v>
      </c>
      <c r="C156" s="173" t="str">
        <f t="shared" si="10"/>
        <v>DOOR STOP HEAD</v>
      </c>
      <c r="D156" s="174" t="str">
        <f>VLOOKUP(C156,$C$133:$H$153,2,0)</f>
        <v>B24002</v>
      </c>
      <c r="E156" s="175">
        <f t="shared" si="11"/>
        <v>0.27800000000000002</v>
      </c>
      <c r="F156" s="353">
        <f t="shared" ref="F156:F161" si="14">VLOOKUP(C156,$C$133:$I$153,7,0)</f>
        <v>4514</v>
      </c>
      <c r="G156" s="175">
        <f t="shared" si="12"/>
        <v>4</v>
      </c>
      <c r="H156" s="192">
        <f>ROUNDUP((F156*G156)/6400,0)</f>
        <v>3</v>
      </c>
      <c r="I156" s="501"/>
      <c r="J156" s="501"/>
    </row>
    <row r="157" spans="1:14" s="1" customFormat="1" ht="15" customHeight="1" outlineLevel="1">
      <c r="A157" s="18">
        <f t="shared" ref="A157:A161" si="15">IF(B157="","",+A156+1)</f>
        <v>3</v>
      </c>
      <c r="B157" s="173" t="str">
        <f t="shared" si="10"/>
        <v xml:space="preserve">เฟรมล่าง </v>
      </c>
      <c r="C157" s="173" t="str">
        <f t="shared" si="10"/>
        <v>SILL</v>
      </c>
      <c r="D157" s="174" t="str">
        <f>VLOOKUP(C157,$C$133:$H$153,2,0)</f>
        <v>B24003</v>
      </c>
      <c r="E157" s="175">
        <f t="shared" si="11"/>
        <v>1.603</v>
      </c>
      <c r="F157" s="353">
        <f t="shared" si="14"/>
        <v>4540</v>
      </c>
      <c r="G157" s="175">
        <f t="shared" si="12"/>
        <v>4</v>
      </c>
      <c r="H157" s="192">
        <f>ROUNDUP((F157*G157)/6400,0)</f>
        <v>3</v>
      </c>
      <c r="I157" s="501"/>
      <c r="J157" s="501"/>
    </row>
    <row r="158" spans="1:14" s="1" customFormat="1" ht="15" customHeight="1" outlineLevel="1">
      <c r="A158" s="18">
        <f t="shared" si="15"/>
        <v>4</v>
      </c>
      <c r="B158" s="173" t="str">
        <f t="shared" si="10"/>
        <v>ตัวตับธรณี</v>
      </c>
      <c r="C158" s="173" t="str">
        <f t="shared" si="10"/>
        <v>DOOR STOP SILL</v>
      </c>
      <c r="D158" s="174" t="str">
        <f>VLOOKUP(C158,$C$133:$H$153,2,0)</f>
        <v>B24004</v>
      </c>
      <c r="E158" s="175">
        <f t="shared" si="11"/>
        <v>0.51600000000000001</v>
      </c>
      <c r="F158" s="353">
        <f t="shared" si="14"/>
        <v>4540</v>
      </c>
      <c r="G158" s="175">
        <f t="shared" si="12"/>
        <v>4</v>
      </c>
      <c r="H158" s="192">
        <f>ROUNDUP((F158*G158)/6400,0)</f>
        <v>3</v>
      </c>
      <c r="I158" s="501"/>
      <c r="J158" s="501"/>
    </row>
    <row r="159" spans="1:14" s="1" customFormat="1" ht="15" customHeight="1" outlineLevel="1">
      <c r="A159" s="18">
        <f t="shared" si="15"/>
        <v>5</v>
      </c>
      <c r="B159" s="173" t="str">
        <f t="shared" si="10"/>
        <v>เฟรมข้าง (ซ้าย)</v>
      </c>
      <c r="C159" s="173" t="str">
        <f t="shared" si="10"/>
        <v>JAMB (L)</v>
      </c>
      <c r="D159" s="508" t="str">
        <f>VLOOKUP(C159,$C$133:$H$153,2,0)</f>
        <v>B24005</v>
      </c>
      <c r="E159" s="175">
        <f t="shared" si="11"/>
        <v>0.89300000000000002</v>
      </c>
      <c r="F159" s="353">
        <f t="shared" si="14"/>
        <v>2700</v>
      </c>
      <c r="G159" s="175">
        <f t="shared" si="12"/>
        <v>4</v>
      </c>
      <c r="H159" s="512">
        <f>ROUNDUP(((F159*G159)+(F160*G160))/6400,0)</f>
        <v>4</v>
      </c>
      <c r="I159" s="506"/>
      <c r="J159" s="506"/>
    </row>
    <row r="160" spans="1:14" s="1" customFormat="1" ht="15" customHeight="1" outlineLevel="1">
      <c r="A160" s="18">
        <f t="shared" si="15"/>
        <v>6</v>
      </c>
      <c r="B160" s="173" t="str">
        <f t="shared" si="10"/>
        <v>เฟรมข้าง (ขวา)</v>
      </c>
      <c r="C160" s="173" t="str">
        <f t="shared" si="10"/>
        <v>JAMB (R)</v>
      </c>
      <c r="D160" s="509"/>
      <c r="E160" s="175">
        <f t="shared" si="11"/>
        <v>0.89300000000000002</v>
      </c>
      <c r="F160" s="353">
        <f t="shared" si="14"/>
        <v>2700</v>
      </c>
      <c r="G160" s="175">
        <f t="shared" si="12"/>
        <v>4</v>
      </c>
      <c r="H160" s="515"/>
      <c r="I160" s="506"/>
      <c r="J160" s="506"/>
    </row>
    <row r="161" spans="1:23" s="1" customFormat="1" ht="15" customHeight="1" outlineLevel="1">
      <c r="A161" s="18">
        <f t="shared" si="15"/>
        <v>7</v>
      </c>
      <c r="B161" s="173" t="str">
        <f t="shared" si="10"/>
        <v>บังใบข้าง (ซ้าย)</v>
      </c>
      <c r="C161" s="173" t="str">
        <f t="shared" si="10"/>
        <v>DOOR STOP JAMB (L)</v>
      </c>
      <c r="D161" s="508" t="str">
        <f>VLOOKUP(C161,$C$133:$H$153,2,0)</f>
        <v>B24006</v>
      </c>
      <c r="E161" s="175">
        <f t="shared" si="11"/>
        <v>0.23499999999999999</v>
      </c>
      <c r="F161" s="353">
        <f t="shared" si="14"/>
        <v>2604</v>
      </c>
      <c r="G161" s="175">
        <f t="shared" si="12"/>
        <v>4</v>
      </c>
      <c r="H161" s="512">
        <f>ROUNDUP(((F161*G161)+(F162*G162))/6400,0)</f>
        <v>4</v>
      </c>
      <c r="I161" s="501"/>
      <c r="J161" s="501"/>
    </row>
    <row r="162" spans="1:23" s="1" customFormat="1" ht="15" customHeight="1" outlineLevel="1">
      <c r="A162" s="18">
        <f t="shared" ref="A162:A174" si="16">IF(B162="","",+A161+1)</f>
        <v>8</v>
      </c>
      <c r="B162" s="173" t="str">
        <f t="shared" ref="B162:C162" si="17">B140</f>
        <v>บังใบข้าง (ขวา)</v>
      </c>
      <c r="C162" s="173" t="str">
        <f t="shared" si="17"/>
        <v>DOOR STOP JAMB (R)</v>
      </c>
      <c r="D162" s="509"/>
      <c r="E162" s="175">
        <f t="shared" ref="E162:E174" si="18">VLOOKUP(C162,$C$133:$H$153,3,0)</f>
        <v>0.23499999999999999</v>
      </c>
      <c r="F162" s="353">
        <f t="shared" ref="F162:F174" si="19">VLOOKUP(C162,$C$133:$I$153,7,0)</f>
        <v>2604</v>
      </c>
      <c r="G162" s="175">
        <f t="shared" ref="G162:G174" si="20">VLOOKUP(C162,$C$133:$J$153,8,0)</f>
        <v>4</v>
      </c>
      <c r="H162" s="515"/>
      <c r="I162" s="506"/>
      <c r="J162" s="506"/>
    </row>
    <row r="163" spans="1:23" s="1" customFormat="1" ht="13.8" outlineLevel="1">
      <c r="A163" s="18">
        <f t="shared" si="16"/>
        <v>9</v>
      </c>
      <c r="B163" s="173" t="str">
        <f t="shared" ref="B163:C163" si="21">B141</f>
        <v>ขวางบน</v>
      </c>
      <c r="C163" s="173" t="str">
        <f t="shared" si="21"/>
        <v>SASH (Hor) (T)</v>
      </c>
      <c r="D163" s="508" t="str">
        <f t="shared" ref="D163:D173" si="22">VLOOKUP(C163,$C$133:$H$153,2,0)</f>
        <v>B24007</v>
      </c>
      <c r="E163" s="175">
        <f t="shared" si="18"/>
        <v>1.1060000000000001</v>
      </c>
      <c r="F163" s="353">
        <f t="shared" si="19"/>
        <v>641.45833333333337</v>
      </c>
      <c r="G163" s="175">
        <f t="shared" si="20"/>
        <v>24</v>
      </c>
      <c r="H163" s="512">
        <f>ROUNDUP(((F163*G163)+(F164*G164)+(F165*G165)+(F166*G166)+(F167*G167)+(F168*G168))/6400,0)</f>
        <v>25</v>
      </c>
      <c r="I163" s="506"/>
      <c r="J163" s="506"/>
    </row>
    <row r="164" spans="1:23" s="1" customFormat="1" ht="13.8" outlineLevel="1">
      <c r="A164" s="18">
        <f t="shared" si="16"/>
        <v>10</v>
      </c>
      <c r="B164" s="173" t="str">
        <f t="shared" ref="B164:C164" si="23">B142</f>
        <v>ขวางล่าง</v>
      </c>
      <c r="C164" s="173" t="str">
        <f t="shared" si="23"/>
        <v>SASH (Hor) (B)</v>
      </c>
      <c r="D164" s="510"/>
      <c r="E164" s="175">
        <f t="shared" si="18"/>
        <v>1.1060000000000001</v>
      </c>
      <c r="F164" s="353">
        <f t="shared" si="19"/>
        <v>641.45833333333337</v>
      </c>
      <c r="G164" s="175">
        <f t="shared" si="20"/>
        <v>24</v>
      </c>
      <c r="H164" s="514"/>
      <c r="I164" s="506"/>
      <c r="J164" s="506"/>
    </row>
    <row r="165" spans="1:23" s="1" customFormat="1" ht="13.8" outlineLevel="1">
      <c r="A165" s="18">
        <f t="shared" si="16"/>
        <v>11</v>
      </c>
      <c r="B165" s="173" t="str">
        <f t="shared" ref="B165:C165" si="24">B143</f>
        <v>เสา</v>
      </c>
      <c r="C165" s="173" t="str">
        <f t="shared" si="24"/>
        <v xml:space="preserve">SASH (Ver) </v>
      </c>
      <c r="D165" s="510"/>
      <c r="E165" s="175">
        <f t="shared" si="18"/>
        <v>1.1060000000000001</v>
      </c>
      <c r="F165" s="353">
        <f t="shared" si="19"/>
        <v>2608</v>
      </c>
      <c r="G165" s="175">
        <f t="shared" si="20"/>
        <v>36</v>
      </c>
      <c r="H165" s="514"/>
      <c r="I165" s="506"/>
      <c r="J165" s="506"/>
    </row>
    <row r="166" spans="1:23" s="1" customFormat="1" ht="13.8" outlineLevel="1">
      <c r="A166" s="18">
        <f t="shared" si="16"/>
        <v>12</v>
      </c>
      <c r="B166" s="173" t="str">
        <f t="shared" ref="B166:C166" si="25">B144</f>
        <v>เสากุญแจ</v>
      </c>
      <c r="C166" s="173" t="str">
        <f t="shared" si="25"/>
        <v xml:space="preserve">SASH (Ver) LOCK </v>
      </c>
      <c r="D166" s="510"/>
      <c r="E166" s="175">
        <f t="shared" si="18"/>
        <v>1.1060000000000001</v>
      </c>
      <c r="F166" s="353">
        <f t="shared" si="19"/>
        <v>2608</v>
      </c>
      <c r="G166" s="175">
        <f t="shared" si="20"/>
        <v>4</v>
      </c>
      <c r="H166" s="514"/>
      <c r="I166" s="506"/>
      <c r="J166" s="506"/>
    </row>
    <row r="167" spans="1:23" s="1" customFormat="1" ht="13.8" outlineLevel="1">
      <c r="A167" s="18">
        <f t="shared" si="16"/>
        <v>13</v>
      </c>
      <c r="B167" s="173" t="str">
        <f t="shared" ref="B167:C167" si="26">B145</f>
        <v>เสากุญแจมือจับ</v>
      </c>
      <c r="C167" s="173" t="str">
        <f t="shared" si="26"/>
        <v xml:space="preserve">SASH (Ver) LOCK </v>
      </c>
      <c r="D167" s="510"/>
      <c r="E167" s="175">
        <f t="shared" si="18"/>
        <v>1.1060000000000001</v>
      </c>
      <c r="F167" s="353">
        <f t="shared" si="19"/>
        <v>2608</v>
      </c>
      <c r="G167" s="175">
        <f t="shared" si="20"/>
        <v>4</v>
      </c>
      <c r="H167" s="514"/>
      <c r="I167" s="506"/>
      <c r="J167" s="506"/>
    </row>
    <row r="168" spans="1:23" s="1" customFormat="1" ht="13.8" outlineLevel="1">
      <c r="A168" s="18">
        <f t="shared" si="16"/>
        <v>14</v>
      </c>
      <c r="B168" s="173" t="str">
        <f t="shared" ref="B168:C168" si="27">B146</f>
        <v>เสากุญแจมือจับ</v>
      </c>
      <c r="C168" s="173" t="str">
        <f t="shared" si="27"/>
        <v>SASH (Ver) LOCK HANDLE</v>
      </c>
      <c r="D168" s="509"/>
      <c r="E168" s="175">
        <f t="shared" si="18"/>
        <v>1.1060000000000001</v>
      </c>
      <c r="F168" s="353">
        <f t="shared" si="19"/>
        <v>2608</v>
      </c>
      <c r="G168" s="175">
        <f t="shared" si="20"/>
        <v>4</v>
      </c>
      <c r="H168" s="515"/>
      <c r="I168" s="501"/>
      <c r="J168" s="501"/>
    </row>
    <row r="169" spans="1:23" s="1" customFormat="1" ht="13.8" outlineLevel="1">
      <c r="A169" s="18">
        <f t="shared" si="16"/>
        <v>15</v>
      </c>
      <c r="B169" s="173" t="str">
        <f t="shared" ref="B169:C169" si="28">B147</f>
        <v>5-6mm คิ้วตบกระจกแนวนอน</v>
      </c>
      <c r="C169" s="173" t="str">
        <f t="shared" si="28"/>
        <v>5-6mm GLAZING BEAD HORIZONTAL</v>
      </c>
      <c r="D169" s="508" t="str">
        <f t="shared" si="22"/>
        <v>B24008</v>
      </c>
      <c r="E169" s="175">
        <f t="shared" si="18"/>
        <v>0.23100000000000001</v>
      </c>
      <c r="F169" s="353">
        <f t="shared" si="19"/>
        <v>641.45833333333337</v>
      </c>
      <c r="G169" s="175">
        <f t="shared" si="20"/>
        <v>144</v>
      </c>
      <c r="H169" s="512">
        <f>ROUNDUP(((F169*G169)+(F170*G170)+(F171*G171))/6400,0)</f>
        <v>32</v>
      </c>
      <c r="I169" s="359"/>
      <c r="J169" s="359"/>
    </row>
    <row r="170" spans="1:23" s="1" customFormat="1" ht="13.8" outlineLevel="1">
      <c r="A170" s="18">
        <f t="shared" si="16"/>
        <v>16</v>
      </c>
      <c r="B170" s="173" t="str">
        <f t="shared" ref="B170:C170" si="29">B148</f>
        <v>5-6mm คิ้วตบกระจกแนวตั้ง</v>
      </c>
      <c r="C170" s="173" t="str">
        <f t="shared" si="29"/>
        <v>5-6mm GLAZING BEAD VERTICAL P1</v>
      </c>
      <c r="D170" s="510"/>
      <c r="E170" s="175">
        <f t="shared" si="18"/>
        <v>0.23100000000000001</v>
      </c>
      <c r="F170" s="353">
        <f t="shared" si="19"/>
        <v>487.5</v>
      </c>
      <c r="G170" s="175">
        <f t="shared" si="20"/>
        <v>96</v>
      </c>
      <c r="H170" s="514"/>
      <c r="I170" s="359"/>
      <c r="J170" s="359"/>
    </row>
    <row r="171" spans="1:23" s="1" customFormat="1" ht="13.8" outlineLevel="1">
      <c r="A171" s="18">
        <f t="shared" si="16"/>
        <v>17</v>
      </c>
      <c r="B171" s="173" t="str">
        <f t="shared" ref="B171:C171" si="30">B149</f>
        <v>5-6mm คิ้วตบกระจกแนวตั้ง</v>
      </c>
      <c r="C171" s="173" t="str">
        <f t="shared" si="30"/>
        <v>5-6mm GLAZING BEAD VERTICAL P2</v>
      </c>
      <c r="D171" s="509"/>
      <c r="E171" s="175">
        <f t="shared" si="18"/>
        <v>0.23100000000000001</v>
      </c>
      <c r="F171" s="353">
        <f t="shared" si="19"/>
        <v>1333</v>
      </c>
      <c r="G171" s="175">
        <f t="shared" si="20"/>
        <v>48</v>
      </c>
      <c r="H171" s="515"/>
      <c r="I171" s="359"/>
      <c r="J171" s="359"/>
    </row>
    <row r="172" spans="1:23" s="1" customFormat="1" ht="13.8" outlineLevel="1">
      <c r="A172" s="18">
        <f t="shared" si="16"/>
        <v>18</v>
      </c>
      <c r="B172" s="173" t="str">
        <f t="shared" ref="B172:C172" si="31">B150</f>
        <v>ตัวแบ่งบาน</v>
      </c>
      <c r="C172" s="173" t="str">
        <f t="shared" si="31"/>
        <v>Door Middle</v>
      </c>
      <c r="D172" s="174" t="str">
        <f t="shared" si="22"/>
        <v>B25006</v>
      </c>
      <c r="E172" s="175">
        <f t="shared" si="18"/>
        <v>0.93200000000000005</v>
      </c>
      <c r="F172" s="353">
        <f t="shared" si="19"/>
        <v>641.45833333333337</v>
      </c>
      <c r="G172" s="175">
        <f t="shared" si="20"/>
        <v>48</v>
      </c>
      <c r="H172" s="192">
        <f>ROUNDUP((F172*G172)/6400,0)</f>
        <v>5</v>
      </c>
      <c r="I172" s="364"/>
      <c r="J172" s="364"/>
    </row>
    <row r="173" spans="1:23" s="1" customFormat="1" ht="13.8" outlineLevel="1">
      <c r="A173" s="18">
        <f t="shared" si="16"/>
        <v>19</v>
      </c>
      <c r="B173" s="173" t="str">
        <f t="shared" ref="B173:C173" si="32">B151</f>
        <v>บังใบ</v>
      </c>
      <c r="C173" s="173" t="str">
        <f t="shared" si="32"/>
        <v>SASH STOP</v>
      </c>
      <c r="D173" s="508" t="str">
        <f t="shared" si="22"/>
        <v>B24009</v>
      </c>
      <c r="E173" s="175">
        <f t="shared" si="18"/>
        <v>0</v>
      </c>
      <c r="F173" s="353">
        <f t="shared" si="19"/>
        <v>2608</v>
      </c>
      <c r="G173" s="175">
        <f t="shared" si="20"/>
        <v>4</v>
      </c>
      <c r="H173" s="512">
        <f>ROUNDUP(((F173*G173)+(F174*G174))/6400,0)</f>
        <v>4</v>
      </c>
      <c r="I173" s="364"/>
      <c r="J173" s="364"/>
    </row>
    <row r="174" spans="1:23" s="1" customFormat="1" outlineLevel="1" thickBot="1">
      <c r="A174" s="18">
        <f t="shared" si="16"/>
        <v>20</v>
      </c>
      <c r="B174" s="173" t="str">
        <f t="shared" ref="B174:C174" si="33">B152</f>
        <v>บังใบ</v>
      </c>
      <c r="C174" s="173" t="str">
        <f t="shared" si="33"/>
        <v>SASH STOP</v>
      </c>
      <c r="D174" s="511"/>
      <c r="E174" s="175">
        <f t="shared" si="18"/>
        <v>0</v>
      </c>
      <c r="F174" s="353">
        <f t="shared" si="19"/>
        <v>2608</v>
      </c>
      <c r="G174" s="175">
        <f t="shared" si="20"/>
        <v>4</v>
      </c>
      <c r="H174" s="515"/>
      <c r="I174" s="359"/>
      <c r="J174" s="359"/>
    </row>
    <row r="175" spans="1:23" s="1" customFormat="1" ht="24.9" customHeight="1" thickBot="1">
      <c r="A175" s="529" t="s">
        <v>9</v>
      </c>
      <c r="B175" s="530"/>
      <c r="C175" s="530"/>
      <c r="D175" s="530"/>
      <c r="E175" s="530"/>
      <c r="F175" s="530"/>
      <c r="G175" s="530"/>
      <c r="H175" s="530"/>
      <c r="I175" s="530"/>
      <c r="J175" s="531"/>
    </row>
    <row r="176" spans="1:23" s="1" customFormat="1" ht="35.1" customHeight="1" thickBot="1">
      <c r="A176" s="102" t="s">
        <v>2</v>
      </c>
      <c r="B176" s="103" t="s">
        <v>29</v>
      </c>
      <c r="C176" s="103" t="s">
        <v>3</v>
      </c>
      <c r="D176" s="103" t="s">
        <v>199</v>
      </c>
      <c r="E176" s="103" t="s">
        <v>5</v>
      </c>
      <c r="F176" s="104" t="s">
        <v>28</v>
      </c>
      <c r="G176" s="103" t="s">
        <v>19</v>
      </c>
      <c r="H176" s="104" t="s">
        <v>200</v>
      </c>
      <c r="I176" s="104" t="s">
        <v>20</v>
      </c>
      <c r="J176" s="115" t="s">
        <v>201</v>
      </c>
      <c r="N176" s="101" t="s">
        <v>191</v>
      </c>
      <c r="O176" s="246" t="s">
        <v>29</v>
      </c>
      <c r="P176" s="246" t="s">
        <v>3</v>
      </c>
      <c r="Q176" s="246" t="s">
        <v>199</v>
      </c>
      <c r="R176" s="246" t="s">
        <v>5</v>
      </c>
      <c r="S176" s="246" t="s">
        <v>28</v>
      </c>
      <c r="T176" s="246" t="s">
        <v>19</v>
      </c>
      <c r="U176" s="246" t="s">
        <v>200</v>
      </c>
      <c r="V176" s="246" t="s">
        <v>20</v>
      </c>
      <c r="W176" s="246" t="s">
        <v>201</v>
      </c>
    </row>
    <row r="177" spans="1:23" s="1" customFormat="1" ht="18" customHeight="1">
      <c r="A177" s="200">
        <f>IF(B177="","",1)</f>
        <v>1</v>
      </c>
      <c r="B177" s="140" t="s">
        <v>111</v>
      </c>
      <c r="C177" s="140" t="s">
        <v>67</v>
      </c>
      <c r="D177" s="139" t="s">
        <v>74</v>
      </c>
      <c r="E177" s="143"/>
      <c r="F177" s="143" t="s">
        <v>74</v>
      </c>
      <c r="G177" s="143" t="s">
        <v>202</v>
      </c>
      <c r="H177" s="143">
        <v>12</v>
      </c>
      <c r="I177" s="130"/>
      <c r="J177" s="131">
        <f t="shared" ref="J177:J181" si="34">$J$120*H177</f>
        <v>48</v>
      </c>
      <c r="N177" s="101" t="s">
        <v>226</v>
      </c>
      <c r="O177" s="280" t="s">
        <v>252</v>
      </c>
      <c r="P177" s="290" t="s">
        <v>248</v>
      </c>
      <c r="Q177" s="280" t="s">
        <v>69</v>
      </c>
      <c r="R177" s="213"/>
      <c r="S177" s="213" t="s">
        <v>69</v>
      </c>
      <c r="T177" s="213" t="s">
        <v>198</v>
      </c>
      <c r="U177" s="291">
        <f>((($I$141*$G$141)+($I$142*$G$142)+($I$143*$G$143)+($I$144*$G$144)+($I$145*$G$145)+($I$146*$G$146)+($I$150*$G$150*2))/1000)*$J$120</f>
        <v>217.554</v>
      </c>
      <c r="V177" s="291">
        <v>100</v>
      </c>
      <c r="W177" s="292">
        <f>ROUNDUP((U177)/100,0)</f>
        <v>3</v>
      </c>
    </row>
    <row r="178" spans="1:23" s="1" customFormat="1" ht="18" customHeight="1">
      <c r="A178" s="201">
        <f>IF(B178="","",+A177+1)</f>
        <v>2</v>
      </c>
      <c r="B178" s="140" t="s">
        <v>106</v>
      </c>
      <c r="C178" s="140" t="s">
        <v>503</v>
      </c>
      <c r="D178" s="139" t="s">
        <v>75</v>
      </c>
      <c r="E178" s="143"/>
      <c r="F178" s="143" t="s">
        <v>75</v>
      </c>
      <c r="G178" s="143" t="s">
        <v>202</v>
      </c>
      <c r="H178" s="143">
        <v>2</v>
      </c>
      <c r="I178" s="130"/>
      <c r="J178" s="131">
        <f t="shared" si="34"/>
        <v>8</v>
      </c>
      <c r="N178" s="101" t="s">
        <v>230</v>
      </c>
      <c r="O178" s="280" t="s">
        <v>253</v>
      </c>
      <c r="P178" s="290" t="s">
        <v>249</v>
      </c>
      <c r="Q178" s="280" t="s">
        <v>188</v>
      </c>
      <c r="R178" s="213"/>
      <c r="S178" s="213" t="s">
        <v>188</v>
      </c>
      <c r="T178" s="213" t="s">
        <v>198</v>
      </c>
      <c r="U178" s="291">
        <f>((($I$141*$G$141)+($I$142*$G$142)+($I$143*$G$143)+($I$144*$G$144)+($I$145*$G$145)+($I$146*$G$146)+($I$150*$G$150*2))/1000)*$J$120</f>
        <v>217.554</v>
      </c>
      <c r="V178" s="291">
        <v>100</v>
      </c>
      <c r="W178" s="292">
        <f t="shared" ref="W178:W180" si="35">ROUNDUP((U178)/100,0)</f>
        <v>3</v>
      </c>
    </row>
    <row r="179" spans="1:23" s="1" customFormat="1" ht="18" customHeight="1">
      <c r="A179" s="201">
        <f t="shared" ref="A179:A204" si="36">IF(B179="","",+A178+1)</f>
        <v>3</v>
      </c>
      <c r="B179" s="140" t="s">
        <v>107</v>
      </c>
      <c r="C179" s="140" t="s">
        <v>504</v>
      </c>
      <c r="D179" s="139" t="s">
        <v>76</v>
      </c>
      <c r="E179" s="143"/>
      <c r="F179" s="143" t="s">
        <v>76</v>
      </c>
      <c r="G179" s="143" t="s">
        <v>202</v>
      </c>
      <c r="H179" s="143">
        <v>2</v>
      </c>
      <c r="I179" s="130"/>
      <c r="J179" s="131">
        <f t="shared" si="34"/>
        <v>8</v>
      </c>
      <c r="N179" s="101" t="s">
        <v>229</v>
      </c>
      <c r="O179" s="290" t="s">
        <v>254</v>
      </c>
      <c r="P179" s="290" t="s">
        <v>250</v>
      </c>
      <c r="Q179" s="280" t="s">
        <v>70</v>
      </c>
      <c r="R179" s="213"/>
      <c r="S179" s="213" t="s">
        <v>70</v>
      </c>
      <c r="T179" s="213" t="s">
        <v>198</v>
      </c>
      <c r="U179" s="291">
        <f>((($I$141*$G$141)+($I$142*$G$142)+($I$143*$G$143)+($I$144*$G$144)+($I$145*$G$145)+($I$146*$G$146)+($I$150*$G$150*2))/1000)*$J$120</f>
        <v>217.554</v>
      </c>
      <c r="V179" s="291">
        <v>100</v>
      </c>
      <c r="W179" s="292">
        <f t="shared" si="35"/>
        <v>3</v>
      </c>
    </row>
    <row r="180" spans="1:23" s="1" customFormat="1" ht="18" customHeight="1">
      <c r="A180" s="201">
        <f t="shared" si="36"/>
        <v>4</v>
      </c>
      <c r="B180" s="140" t="s">
        <v>108</v>
      </c>
      <c r="C180" s="140" t="s">
        <v>10</v>
      </c>
      <c r="D180" s="139">
        <v>9</v>
      </c>
      <c r="E180" s="143"/>
      <c r="F180" s="143">
        <v>9</v>
      </c>
      <c r="G180" s="143" t="s">
        <v>202</v>
      </c>
      <c r="H180" s="143">
        <v>8</v>
      </c>
      <c r="I180" s="130"/>
      <c r="J180" s="131">
        <f t="shared" si="34"/>
        <v>32</v>
      </c>
      <c r="N180" s="101" t="s">
        <v>231</v>
      </c>
      <c r="O180" s="290" t="s">
        <v>255</v>
      </c>
      <c r="P180" s="290" t="s">
        <v>251</v>
      </c>
      <c r="Q180" s="280" t="s">
        <v>189</v>
      </c>
      <c r="R180" s="213"/>
      <c r="S180" s="213" t="s">
        <v>189</v>
      </c>
      <c r="T180" s="213" t="s">
        <v>198</v>
      </c>
      <c r="U180" s="291">
        <f>((($I$141*$G$141)+($I$142*$G$142)+($I$143*$G$143)+($I$144*$G$144)+($I$145*$G$145)+($I$146*$G$146)+($I$150*$G$150*2))/1000)*$J$120</f>
        <v>217.554</v>
      </c>
      <c r="V180" s="291">
        <v>100</v>
      </c>
      <c r="W180" s="292">
        <f t="shared" si="35"/>
        <v>3</v>
      </c>
    </row>
    <row r="181" spans="1:23" s="1" customFormat="1" ht="18" customHeight="1">
      <c r="A181" s="201">
        <f t="shared" si="36"/>
        <v>5</v>
      </c>
      <c r="B181" s="140" t="s">
        <v>109</v>
      </c>
      <c r="C181" s="140" t="s">
        <v>68</v>
      </c>
      <c r="D181" s="139">
        <v>9</v>
      </c>
      <c r="E181" s="143"/>
      <c r="F181" s="143">
        <v>9</v>
      </c>
      <c r="G181" s="143" t="s">
        <v>202</v>
      </c>
      <c r="H181" s="143">
        <v>110</v>
      </c>
      <c r="I181" s="130"/>
      <c r="J181" s="131">
        <f t="shared" si="34"/>
        <v>440</v>
      </c>
      <c r="N181" s="101" t="s">
        <v>232</v>
      </c>
      <c r="O181" s="290" t="s">
        <v>256</v>
      </c>
      <c r="P181" s="290" t="s">
        <v>247</v>
      </c>
      <c r="Q181" s="280" t="s">
        <v>233</v>
      </c>
      <c r="R181" s="213"/>
      <c r="S181" s="213" t="s">
        <v>233</v>
      </c>
      <c r="T181" s="213" t="s">
        <v>198</v>
      </c>
      <c r="U181" s="291">
        <f>((($I$141*$G$141)+($I$142*$G$142)+($I$143*$G$143)+($I$144*$G$144)+($I$145*$G$145)+($I$146*$G$146)+($I$150*$G$150*2))/1000)*$J$120</f>
        <v>217.554</v>
      </c>
      <c r="V181" s="291">
        <v>100</v>
      </c>
      <c r="W181" s="292">
        <f>ROUNDUP((U181)/100,0)</f>
        <v>3</v>
      </c>
    </row>
    <row r="182" spans="1:23" s="1" customFormat="1" ht="18" customHeight="1">
      <c r="A182" s="201">
        <f t="shared" si="36"/>
        <v>6</v>
      </c>
      <c r="B182" s="140" t="s">
        <v>143</v>
      </c>
      <c r="C182" s="140" t="s">
        <v>121</v>
      </c>
      <c r="D182" s="139" t="s">
        <v>103</v>
      </c>
      <c r="E182" s="143"/>
      <c r="F182" s="143" t="s">
        <v>103</v>
      </c>
      <c r="G182" s="143" t="s">
        <v>185</v>
      </c>
      <c r="H182" s="143">
        <v>2</v>
      </c>
      <c r="I182" s="130"/>
      <c r="J182" s="131">
        <f>$J$120*H182</f>
        <v>8</v>
      </c>
    </row>
    <row r="183" spans="1:23" s="1" customFormat="1" ht="18" customHeight="1">
      <c r="A183" s="201">
        <f t="shared" si="36"/>
        <v>7</v>
      </c>
      <c r="B183" s="140" t="s">
        <v>118</v>
      </c>
      <c r="C183" s="140" t="s">
        <v>77</v>
      </c>
      <c r="D183" s="139" t="s">
        <v>80</v>
      </c>
      <c r="E183" s="143"/>
      <c r="F183" s="143" t="s">
        <v>80</v>
      </c>
      <c r="G183" s="143" t="s">
        <v>185</v>
      </c>
      <c r="H183" s="143">
        <v>1</v>
      </c>
      <c r="I183" s="130"/>
      <c r="J183" s="131">
        <f t="shared" ref="J183:J192" si="37">$J$120*H183</f>
        <v>4</v>
      </c>
    </row>
    <row r="184" spans="1:23" s="1" customFormat="1" ht="18" customHeight="1">
      <c r="A184" s="201">
        <f t="shared" si="36"/>
        <v>8</v>
      </c>
      <c r="B184" s="140" t="s">
        <v>120</v>
      </c>
      <c r="C184" s="140" t="s">
        <v>94</v>
      </c>
      <c r="D184" s="139" t="s">
        <v>96</v>
      </c>
      <c r="E184" s="143"/>
      <c r="F184" s="143" t="s">
        <v>96</v>
      </c>
      <c r="G184" s="143" t="s">
        <v>185</v>
      </c>
      <c r="H184" s="143">
        <v>1</v>
      </c>
      <c r="I184" s="130"/>
      <c r="J184" s="131">
        <f t="shared" si="37"/>
        <v>4</v>
      </c>
    </row>
    <row r="185" spans="1:23" s="1" customFormat="1" ht="18" customHeight="1">
      <c r="A185" s="201">
        <f t="shared" si="36"/>
        <v>9</v>
      </c>
      <c r="B185" s="140" t="s">
        <v>131</v>
      </c>
      <c r="C185" s="140" t="s">
        <v>100</v>
      </c>
      <c r="D185" s="139" t="s">
        <v>102</v>
      </c>
      <c r="E185" s="143"/>
      <c r="F185" s="143" t="s">
        <v>102</v>
      </c>
      <c r="G185" s="143" t="s">
        <v>185</v>
      </c>
      <c r="H185" s="143">
        <v>2</v>
      </c>
      <c r="I185" s="130"/>
      <c r="J185" s="131">
        <f t="shared" si="37"/>
        <v>8</v>
      </c>
    </row>
    <row r="186" spans="1:23" s="1" customFormat="1" ht="18" customHeight="1">
      <c r="A186" s="201">
        <f t="shared" si="36"/>
        <v>10</v>
      </c>
      <c r="B186" s="140" t="s">
        <v>158</v>
      </c>
      <c r="C186" s="140" t="s">
        <v>157</v>
      </c>
      <c r="D186" s="139" t="s">
        <v>156</v>
      </c>
      <c r="E186" s="143"/>
      <c r="F186" s="143" t="s">
        <v>156</v>
      </c>
      <c r="G186" s="143" t="s">
        <v>185</v>
      </c>
      <c r="H186" s="143">
        <v>2</v>
      </c>
      <c r="I186" s="144"/>
      <c r="J186" s="131">
        <f t="shared" si="37"/>
        <v>8</v>
      </c>
      <c r="N186" s="56"/>
      <c r="O186" s="56"/>
      <c r="P186" s="56"/>
      <c r="Q186" s="289"/>
      <c r="R186" s="289"/>
      <c r="S186" s="289"/>
      <c r="T186" s="17"/>
      <c r="U186" s="17"/>
      <c r="V186" s="17"/>
      <c r="W186" s="56"/>
    </row>
    <row r="187" spans="1:23" s="1" customFormat="1" ht="18" customHeight="1">
      <c r="A187" s="201">
        <f t="shared" si="36"/>
        <v>11</v>
      </c>
      <c r="B187" s="140" t="s">
        <v>113</v>
      </c>
      <c r="C187" s="140" t="s">
        <v>502</v>
      </c>
      <c r="D187" s="139" t="s">
        <v>83</v>
      </c>
      <c r="E187" s="143"/>
      <c r="F187" s="143" t="s">
        <v>83</v>
      </c>
      <c r="G187" s="143" t="s">
        <v>185</v>
      </c>
      <c r="H187" s="143">
        <v>6</v>
      </c>
      <c r="I187" s="144"/>
      <c r="J187" s="131">
        <f t="shared" si="37"/>
        <v>24</v>
      </c>
      <c r="N187" s="101" t="s">
        <v>227</v>
      </c>
      <c r="O187" s="246" t="s">
        <v>29</v>
      </c>
      <c r="P187" s="246" t="s">
        <v>3</v>
      </c>
      <c r="Q187" s="246" t="s">
        <v>199</v>
      </c>
      <c r="R187" s="246" t="s">
        <v>5</v>
      </c>
      <c r="S187" s="246" t="s">
        <v>28</v>
      </c>
      <c r="T187" s="246" t="s">
        <v>19</v>
      </c>
      <c r="U187" s="246" t="s">
        <v>200</v>
      </c>
      <c r="V187" s="246" t="s">
        <v>20</v>
      </c>
      <c r="W187" s="246" t="s">
        <v>201</v>
      </c>
    </row>
    <row r="188" spans="1:23" s="1" customFormat="1" ht="18" customHeight="1">
      <c r="A188" s="201">
        <f t="shared" si="36"/>
        <v>12</v>
      </c>
      <c r="B188" s="140" t="s">
        <v>122</v>
      </c>
      <c r="C188" s="140" t="s">
        <v>101</v>
      </c>
      <c r="D188" s="139" t="s">
        <v>494</v>
      </c>
      <c r="E188" s="143"/>
      <c r="F188" s="143" t="s">
        <v>494</v>
      </c>
      <c r="G188" s="143" t="s">
        <v>185</v>
      </c>
      <c r="H188" s="143">
        <v>1</v>
      </c>
      <c r="I188" s="144"/>
      <c r="J188" s="131">
        <f t="shared" si="37"/>
        <v>4</v>
      </c>
      <c r="N188" s="101" t="s">
        <v>240</v>
      </c>
      <c r="O188" s="290" t="s">
        <v>234</v>
      </c>
      <c r="P188" s="290" t="s">
        <v>236</v>
      </c>
      <c r="Q188" s="280" t="s">
        <v>190</v>
      </c>
      <c r="R188" s="213"/>
      <c r="S188" s="213" t="s">
        <v>190</v>
      </c>
      <c r="T188" s="213" t="s">
        <v>198</v>
      </c>
      <c r="U188" s="291">
        <f>((($I$134*$G$134)+($I$136*$G$136)+($I$139*$G$139))/1000)*$J$120</f>
        <v>46.631999999999998</v>
      </c>
      <c r="V188" s="291">
        <v>300</v>
      </c>
      <c r="W188" s="292">
        <f>ROUNDUP((U188)/V188,0)</f>
        <v>1</v>
      </c>
    </row>
    <row r="189" spans="1:23" s="1" customFormat="1" ht="18" customHeight="1">
      <c r="A189" s="201">
        <f t="shared" si="36"/>
        <v>13</v>
      </c>
      <c r="B189" s="140" t="s">
        <v>112</v>
      </c>
      <c r="C189" s="140" t="s">
        <v>114</v>
      </c>
      <c r="D189" s="128" t="s">
        <v>520</v>
      </c>
      <c r="E189" s="129"/>
      <c r="F189" s="129" t="s">
        <v>520</v>
      </c>
      <c r="G189" s="143" t="s">
        <v>202</v>
      </c>
      <c r="H189" s="143">
        <v>4</v>
      </c>
      <c r="I189" s="144"/>
      <c r="J189" s="131">
        <f t="shared" si="37"/>
        <v>16</v>
      </c>
      <c r="N189" s="101" t="s">
        <v>241</v>
      </c>
      <c r="O189" s="290" t="s">
        <v>235</v>
      </c>
      <c r="P189" s="290" t="s">
        <v>238</v>
      </c>
      <c r="Q189" s="280" t="s">
        <v>71</v>
      </c>
      <c r="R189" s="213"/>
      <c r="S189" s="213" t="s">
        <v>71</v>
      </c>
      <c r="T189" s="213" t="s">
        <v>198</v>
      </c>
      <c r="U189" s="291">
        <f>((($I$134*$G$134)+($I$136*$G$136)+($I$139*$G$139))/1000)*$J$120</f>
        <v>46.631999999999998</v>
      </c>
      <c r="V189" s="291">
        <v>100</v>
      </c>
      <c r="W189" s="292">
        <f t="shared" ref="W189:W191" si="38">ROUNDUP((U189)/V189,0)</f>
        <v>1</v>
      </c>
    </row>
    <row r="190" spans="1:23" s="1" customFormat="1" ht="18" customHeight="1">
      <c r="A190" s="201">
        <f t="shared" si="36"/>
        <v>14</v>
      </c>
      <c r="B190" s="140" t="s">
        <v>115</v>
      </c>
      <c r="C190" s="140" t="s">
        <v>45</v>
      </c>
      <c r="D190" s="139" t="s">
        <v>84</v>
      </c>
      <c r="E190" s="143"/>
      <c r="F190" s="143" t="s">
        <v>84</v>
      </c>
      <c r="G190" s="143" t="s">
        <v>202</v>
      </c>
      <c r="H190" s="143">
        <v>1</v>
      </c>
      <c r="I190" s="130"/>
      <c r="J190" s="131">
        <f t="shared" si="37"/>
        <v>4</v>
      </c>
      <c r="N190" s="101" t="s">
        <v>240</v>
      </c>
      <c r="O190" s="290" t="s">
        <v>245</v>
      </c>
      <c r="P190" s="290" t="s">
        <v>237</v>
      </c>
      <c r="Q190" s="280" t="s">
        <v>72</v>
      </c>
      <c r="R190" s="213"/>
      <c r="S190" s="213" t="s">
        <v>72</v>
      </c>
      <c r="T190" s="213" t="s">
        <v>198</v>
      </c>
      <c r="U190" s="291">
        <f>((($I$141*$G$141*2)+($I$143*$G$143*2)+($I$144*$G$144*2))/1000)*$J$120</f>
        <v>239.43</v>
      </c>
      <c r="V190" s="291">
        <v>350</v>
      </c>
      <c r="W190" s="292">
        <f t="shared" si="38"/>
        <v>1</v>
      </c>
    </row>
    <row r="191" spans="1:23" s="1" customFormat="1" ht="18" customHeight="1">
      <c r="A191" s="201">
        <f t="shared" si="36"/>
        <v>15</v>
      </c>
      <c r="B191" s="140" t="s">
        <v>110</v>
      </c>
      <c r="C191" s="140" t="s">
        <v>66</v>
      </c>
      <c r="D191" s="139" t="s">
        <v>128</v>
      </c>
      <c r="E191" s="143"/>
      <c r="F191" s="143" t="s">
        <v>128</v>
      </c>
      <c r="G191" s="143" t="s">
        <v>202</v>
      </c>
      <c r="H191" s="143">
        <v>1</v>
      </c>
      <c r="I191" s="130"/>
      <c r="J191" s="131">
        <f t="shared" si="37"/>
        <v>4</v>
      </c>
      <c r="N191" s="101" t="s">
        <v>241</v>
      </c>
      <c r="O191" s="290" t="s">
        <v>246</v>
      </c>
      <c r="P191" s="290" t="s">
        <v>239</v>
      </c>
      <c r="Q191" s="280" t="s">
        <v>193</v>
      </c>
      <c r="R191" s="213"/>
      <c r="S191" s="213" t="s">
        <v>193</v>
      </c>
      <c r="T191" s="213" t="s">
        <v>198</v>
      </c>
      <c r="U191" s="291">
        <f>((($I$141*$G$141*2)+($I$143*$G$143*2)+($I$144*$G$144*2))/1000)*$J$120</f>
        <v>239.43</v>
      </c>
      <c r="V191" s="291">
        <v>100</v>
      </c>
      <c r="W191" s="292">
        <f t="shared" si="38"/>
        <v>3</v>
      </c>
    </row>
    <row r="192" spans="1:23" s="1" customFormat="1" ht="18" customHeight="1">
      <c r="A192" s="201">
        <f t="shared" si="36"/>
        <v>16</v>
      </c>
      <c r="B192" s="140" t="s">
        <v>110</v>
      </c>
      <c r="C192" s="140" t="s">
        <v>66</v>
      </c>
      <c r="D192" s="139" t="s">
        <v>73</v>
      </c>
      <c r="E192" s="143"/>
      <c r="F192" s="143" t="s">
        <v>73</v>
      </c>
      <c r="G192" s="143" t="s">
        <v>202</v>
      </c>
      <c r="H192" s="143">
        <v>2</v>
      </c>
      <c r="I192" s="130"/>
      <c r="J192" s="131">
        <f t="shared" si="37"/>
        <v>8</v>
      </c>
    </row>
    <row r="193" spans="1:24" s="1" customFormat="1" ht="18" customHeight="1">
      <c r="A193" s="201">
        <f t="shared" si="36"/>
        <v>17</v>
      </c>
      <c r="B193" s="140" t="s">
        <v>647</v>
      </c>
      <c r="C193" s="140" t="s">
        <v>127</v>
      </c>
      <c r="D193" s="139" t="s">
        <v>126</v>
      </c>
      <c r="E193" s="143"/>
      <c r="F193" s="143" t="s">
        <v>126</v>
      </c>
      <c r="G193" s="143" t="s">
        <v>185</v>
      </c>
      <c r="H193" s="143">
        <v>1</v>
      </c>
      <c r="I193" s="130"/>
      <c r="J193" s="131">
        <f>$J$120*H193</f>
        <v>4</v>
      </c>
    </row>
    <row r="194" spans="1:24" s="1" customFormat="1" ht="18" customHeight="1">
      <c r="A194" s="201">
        <f t="shared" si="36"/>
        <v>18</v>
      </c>
      <c r="B194" s="140" t="s">
        <v>648</v>
      </c>
      <c r="C194" s="140" t="s">
        <v>127</v>
      </c>
      <c r="D194" s="139" t="s">
        <v>521</v>
      </c>
      <c r="E194" s="143"/>
      <c r="F194" s="143" t="s">
        <v>521</v>
      </c>
      <c r="G194" s="143" t="s">
        <v>185</v>
      </c>
      <c r="H194" s="143">
        <v>1</v>
      </c>
      <c r="I194" s="130"/>
      <c r="J194" s="131">
        <f>$J$120*H194</f>
        <v>4</v>
      </c>
    </row>
    <row r="195" spans="1:24" s="1" customFormat="1" ht="18" customHeight="1">
      <c r="A195" s="201">
        <f t="shared" si="36"/>
        <v>19</v>
      </c>
      <c r="B195" s="140" t="s">
        <v>512</v>
      </c>
      <c r="C195" s="140" t="s">
        <v>135</v>
      </c>
      <c r="D195" s="139" t="s">
        <v>137</v>
      </c>
      <c r="E195" s="143"/>
      <c r="F195" s="143" t="s">
        <v>137</v>
      </c>
      <c r="G195" s="143" t="s">
        <v>198</v>
      </c>
      <c r="H195" s="261">
        <f>((($I$151*$G$151)+($I$152*$G$152))/1000)*$J$120</f>
        <v>20.864000000000001</v>
      </c>
      <c r="I195" s="258">
        <v>100</v>
      </c>
      <c r="J195" s="267">
        <f>ROUNDUP((H195)/100,0)</f>
        <v>1</v>
      </c>
    </row>
    <row r="196" spans="1:24" s="1" customFormat="1" ht="18" customHeight="1">
      <c r="A196" s="201">
        <f t="shared" si="36"/>
        <v>20</v>
      </c>
      <c r="B196" s="140" t="s">
        <v>513</v>
      </c>
      <c r="C196" s="140" t="s">
        <v>136</v>
      </c>
      <c r="D196" s="139" t="s">
        <v>138</v>
      </c>
      <c r="E196" s="143"/>
      <c r="F196" s="143" t="s">
        <v>138</v>
      </c>
      <c r="G196" s="143" t="s">
        <v>198</v>
      </c>
      <c r="H196" s="261">
        <f>((($I$145*$G$145)+($I$146*$G$146))/1000)*$J$120</f>
        <v>20.864000000000001</v>
      </c>
      <c r="I196" s="258">
        <v>100</v>
      </c>
      <c r="J196" s="267">
        <f>ROUNDUP((H196)/100,0)</f>
        <v>1</v>
      </c>
    </row>
    <row r="197" spans="1:24" ht="18" customHeight="1">
      <c r="A197" s="201">
        <f t="shared" si="36"/>
        <v>21</v>
      </c>
      <c r="B197" s="139" t="str">
        <f>IF($D$129="Standard",$O$188,IF($D$129="Soumdproof",$O$189,))</f>
        <v>ยางเฟรมกันน้ำ (ธรรมดา)</v>
      </c>
      <c r="C197" s="139" t="str">
        <f>IF($D$129="Standard",$P$188,IF($D$129="Soumdproof",$P$189,))</f>
        <v>FRAME SEAL (Standard)</v>
      </c>
      <c r="D197" s="139" t="str">
        <f>IF($D$129="Standard",$Q$188,IF($D$129="Soumdproof",$Q$189,))</f>
        <v>02-026</v>
      </c>
      <c r="E197" s="143">
        <f>IF($D$129="Standard",R192,IF($D$129="Soumdproof",R193,))</f>
        <v>0</v>
      </c>
      <c r="F197" s="143" t="str">
        <f>IF($D$129="Standard",$S$188,IF($D$129="Soumdproof",$S$189,))</f>
        <v>02-026</v>
      </c>
      <c r="G197" s="143" t="str">
        <f>IF($D$129="Standard",$T$188,IF($D$129="Soumdproof",$T$189,))</f>
        <v>M</v>
      </c>
      <c r="H197" s="261">
        <f>IF($D$129="Standard",$U$188,IF($D$129="Soumdproof",$U$189,))</f>
        <v>46.631999999999998</v>
      </c>
      <c r="I197" s="258">
        <f>IF($D$129="Standard",$V$188,IF($D$129="Soumdproof",$V$189,))</f>
        <v>300</v>
      </c>
      <c r="J197" s="267">
        <f>ROUNDUP((H197)/100,0)</f>
        <v>1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s="1" customFormat="1" ht="18" customHeight="1">
      <c r="A198" s="201">
        <f t="shared" si="36"/>
        <v>22</v>
      </c>
      <c r="B198" s="139" t="str">
        <f>IF($D$129="Standard",$O$190,IF($D$129="Soumdproof",$O$191,))</f>
        <v>ยางแซชกันน้ำ (ธรรมดา)</v>
      </c>
      <c r="C198" s="139" t="str">
        <f>IF($D$129="Standard",$P$190,IF($D$129="Soumdproof",$P$191,))</f>
        <v>SASH SEAL FOAM (Standard)</v>
      </c>
      <c r="D198" s="139" t="str">
        <f>IF($D$129="Standard",$Q$190,IF($D$129="Soumdproof",$Q$191,))</f>
        <v>02-031</v>
      </c>
      <c r="E198" s="143">
        <f>IF($D$129="Standard",R194,IF($D$129="Soumdproof",R195,))</f>
        <v>0</v>
      </c>
      <c r="F198" s="143" t="str">
        <f>IF($D$129="Standard",$S$190,IF($D$129="Soumdproof",$S$191,))</f>
        <v>02-031</v>
      </c>
      <c r="G198" s="143" t="str">
        <f>IF($D$129="Standard",$T$190,IF($D$129="Soumdproof",$T$191,))</f>
        <v>M</v>
      </c>
      <c r="H198" s="261">
        <f>IF($D$129="Standard",$U$190,IF($D$129="Soumdproof",$U$191,))</f>
        <v>239.43</v>
      </c>
      <c r="I198" s="258">
        <f>IF($D$129="Standard",$V$190,IF($D$129="Soumdproof",$V$191,))</f>
        <v>350</v>
      </c>
      <c r="J198" s="267">
        <f>ROUNDUP((H198)/100,0)</f>
        <v>3</v>
      </c>
    </row>
    <row r="199" spans="1:24" s="1" customFormat="1" ht="18" customHeight="1">
      <c r="A199" s="201">
        <f t="shared" si="36"/>
        <v>23</v>
      </c>
      <c r="B199" s="241" t="str">
        <f>IF($D$127=5,$O$179,IF($D$127=6,$O$180,IF($D$127=8,$O$181,IF($D$127=10,$O$179,IF($D$127=12,$O$179,IF($D$127=14,$O$181,IF($D$127=18,$O$179,IF($D$127=20,$O$180,IF($D$127=22,"")))))))))</f>
        <v>6,20 mm ยางอัดกระจก</v>
      </c>
      <c r="C199" s="241" t="str">
        <f>IF($D$127=5,$P$179,IF($D$127=6,$P$180,IF($D$127=8,$P$181,IF($D$127=10,$P$179,IF($D$127=12,$P$179,IF($D$127=14,$P$181,IF($D$127=18,$P$179,IF($D$127=20,$P$180,IF($D$127=22,"")))))))))</f>
        <v>6,20 mm ROLL IN WEDGE</v>
      </c>
      <c r="D199" s="241" t="str">
        <f>IF($D$127=5,$Q$179,IF($D$127=6,$Q$180,IF($D$127=8,$Q$181,IF($D$127=10,$Q$179,IF($D$127=12,$Q$179,IF($D$127=14,$Q$181,IF($D$127=18,$Q$179,IF($D$127=20,$Q$180,IF($D$127=22,"")))))))))</f>
        <v>02-034</v>
      </c>
      <c r="E199" s="241">
        <f>IF($D$127=5,R183,IF($D$127=6,R184,IF($D$127=8,R185,IF($D$127=10,R183,IF($D$127=12,R183,IF($D$127=14,R185,IF($D$127=18,R183,IF($D$127=20,R184,IF($D$127=22,"",)))))))))</f>
        <v>0</v>
      </c>
      <c r="F199" s="242" t="str">
        <f>IF($D$127=5,$S$179,IF($D$127=6,$S$180,IF($D$127=8,$S$181,IF($D$127=10,$S$179,IF($D$127=12,$S$179,IF($D$127=14,$S$181,IF($D$127=18,$S$179,IF($D$127=20,$S$180,IF($D$127=22,"")))))))))</f>
        <v>02-034</v>
      </c>
      <c r="G199" s="242" t="str">
        <f>IF($D$127=5,$T$179,IF($D$127=6,$T$180,IF($D$127=8,$T$181,IF($D$127=10,$T$179,IF($D$127=12,$T$179,IF($D$127=14,$T$181,IF($D$127=18,$T$179,IF($D$127=20,$T$180,IF($D$127=22,"")))))))))</f>
        <v>M</v>
      </c>
      <c r="H199" s="261">
        <f>IF($D$127=5,$U$179,IF($D$127=6,$U$180,IF($D$127=8,$U$181,IF($D$127=10,$U$179*2,IF($D$127=12,$U$179,IF($D$127=14,$U$181*2,IF($D$127=18,$U$179,IF($D$127=20,$U$180,IF($D$127=22,"")))))))))</f>
        <v>217.554</v>
      </c>
      <c r="I199" s="258">
        <f>IF($D$127=5,$V$179,IF($D$127=6,$V$180,IF($D$127=8,$V$181,IF($D$127=10,$V$179,IF($D$127=12,$V$179,IF($D$127=14,$V$181,IF($D$127=18,$V$179,IF($D$127=20,$V$180,IF($D$127=22,"")))))))))</f>
        <v>100</v>
      </c>
      <c r="J199" s="267">
        <f t="shared" ref="J199:J200" si="39">ROUNDUP((H199)/100,0)</f>
        <v>3</v>
      </c>
    </row>
    <row r="200" spans="1:24" s="1" customFormat="1" ht="18" customHeight="1">
      <c r="A200" s="201">
        <f t="shared" si="36"/>
        <v>24</v>
      </c>
      <c r="B200" s="241" t="str">
        <f>IF($D$127=5,$O$177,IF($D$127=6,$O$177,IF($D$127=8,$O$179,IF($D$127=10,"",IF($D$127=12,$O$178,IF($D$127=14,"",IF($D$127=18,$O$177,IF($D$127=20,$O$178,IF($D$127=22,"",)))))))))</f>
        <v>5,6,18 mm ยางรองกระจก</v>
      </c>
      <c r="C200" s="241" t="str">
        <f>IF($D$127=5,$P$177,IF($D$127=6,$P$177,IF($D$127=8,$P$179,IF($D$127=10,"",IF($D$127=12,$P$178,IF($D$127=14,"",IF($D$127=18,$P$177,IF($D$127=20,$P$178,IF($D$127=22,"",)))))))))</f>
        <v>5,6,18 mm CAPTIVE WEDGE</v>
      </c>
      <c r="D200" s="241" t="str">
        <f>IF($D$127=5,$Q$177,IF($D$127=6,$Q$177,IF($D$127=8,$Q$179,IF($D$127=10,"",IF($D$127=12,$Q$178,IF($D$127=14,"",IF($D$127=18,$Q$177,IF($D$127=20,$Q$178,IF($D$127=22,"",)))))))))</f>
        <v>02-022</v>
      </c>
      <c r="E200" s="241">
        <f>IF($D$127=5,R181,IF($D$127=6,R181,IF($D$127=8,R183,IF($D$127=10,"",IF($D$127=12,R182,IF($D$127=14,"",IF($D$127=18,R181,IF($D$127=20,R182,IF($D$127=22,"",)))))))))</f>
        <v>0</v>
      </c>
      <c r="F200" s="242" t="str">
        <f>IF($D$127=5,$S$177,IF($D$127=6,$S$177,IF($D$127=8,$S$179,IF($D$127=10,"",IF($D$127=12,$S$178,IF($D$127=14,"",IF($D$127=18,$S$177,IF($D$127=20,$S$178,IF($D$127=22,"",)))))))))</f>
        <v>02-022</v>
      </c>
      <c r="G200" s="242" t="str">
        <f>IF($D$127=5,$T$177,IF($D$127=6,$T$177,IF($D$127=8,$T$179,IF($D$127=10,"",IF($D$127=12,$T$178,IF($D$127=14,"",IF($D$127=18,$T$177,IF($D$127=20,$T$178,IF($D$127=22,"",)))))))))</f>
        <v>M</v>
      </c>
      <c r="H200" s="261">
        <f>IF($D$127=5,$U$177,IF($D$127=6,$U$177,IF($D$127=8,$U$179,IF($D$127=10,"",IF($D$127=12,$U$178,IF($D$127=14,"",IF($D$127=18,$U$177,IF($D$127=20,$U$178,IF($D$127=22,"")))))))))</f>
        <v>217.554</v>
      </c>
      <c r="I200" s="258">
        <f>IF($D$127=5,$V$177,IF($D$127=6,$V$177,IF($D$127=8,$V$179,IF($D$127=10,"",IF($D$127=12,$V$178,IF($D$127=14,"",IF($D$127=18,$V$177,IF($D$127=20,$V$178,IF($D$127=22,"",)))))))))</f>
        <v>100</v>
      </c>
      <c r="J200" s="267">
        <f t="shared" si="39"/>
        <v>3</v>
      </c>
    </row>
    <row r="201" spans="1:24" s="1" customFormat="1" ht="18" customHeight="1">
      <c r="A201" s="201" t="str">
        <f t="shared" si="36"/>
        <v/>
      </c>
      <c r="B201" s="140"/>
      <c r="C201" s="140"/>
      <c r="D201" s="139"/>
      <c r="E201" s="143"/>
      <c r="F201" s="143"/>
      <c r="G201" s="143"/>
      <c r="H201" s="143"/>
      <c r="I201" s="130"/>
      <c r="J201" s="131"/>
    </row>
    <row r="202" spans="1:24" s="1" customFormat="1" ht="18" customHeight="1">
      <c r="A202" s="201" t="str">
        <f t="shared" si="36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>$J$120*H202</f>
        <v>0</v>
      </c>
    </row>
    <row r="203" spans="1:24" s="1" customFormat="1" ht="18" customHeight="1">
      <c r="A203" s="201" t="str">
        <f t="shared" si="36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>$J$120*H203</f>
        <v>0</v>
      </c>
    </row>
    <row r="204" spans="1:24" s="1" customFormat="1" ht="18" customHeight="1">
      <c r="A204" s="201" t="str">
        <f t="shared" si="36"/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>$J$120*H204</f>
        <v>0</v>
      </c>
    </row>
    <row r="205" spans="1:24" s="1" customFormat="1" ht="18" customHeight="1">
      <c r="A205" s="317" t="str">
        <f>IF(B205="","",+#REF!+1)</f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>$J$120*H205</f>
        <v>0</v>
      </c>
    </row>
    <row r="206" spans="1:24" s="1" customFormat="1" ht="18" customHeight="1">
      <c r="A206" s="25"/>
      <c r="B206" s="161"/>
      <c r="C206" s="33"/>
      <c r="D206" s="30"/>
      <c r="E206" s="17"/>
      <c r="F206" s="30"/>
      <c r="G206" s="30"/>
      <c r="H206" s="161"/>
      <c r="I206" s="24"/>
      <c r="J206" s="24"/>
    </row>
    <row r="207" spans="1:24" ht="18" customHeight="1">
      <c r="A207" s="17"/>
      <c r="J207" s="99" t="str">
        <f>LEFT($J$111,13)&amp;"-02"</f>
        <v>FG-240-6P3L3R-02</v>
      </c>
    </row>
    <row r="208" spans="1:24" ht="12.75" customHeight="1">
      <c r="B208" s="56"/>
      <c r="C208" s="56"/>
      <c r="D208" s="30"/>
      <c r="E208" s="17"/>
      <c r="F208" s="17"/>
      <c r="G208" s="17"/>
      <c r="H208" s="17"/>
      <c r="K208" s="7"/>
      <c r="L208" s="7"/>
      <c r="M208" s="2"/>
      <c r="N208" s="2"/>
    </row>
    <row r="209" spans="1:14" ht="30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279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279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/>
      <c r="C215"/>
      <c r="D215" s="81"/>
      <c r="E215"/>
      <c r="F215"/>
      <c r="G215"/>
      <c r="H215"/>
      <c r="I215" s="160"/>
      <c r="J215" s="116"/>
    </row>
    <row r="216" spans="1:14" s="1" customFormat="1" ht="15" customHeight="1">
      <c r="A216" s="17"/>
      <c r="B216" s="93"/>
      <c r="C216" s="56"/>
      <c r="D216" s="30"/>
      <c r="E216" s="29"/>
      <c r="F216" s="160"/>
      <c r="G216" s="160"/>
      <c r="H216" s="16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s="1" customFormat="1" ht="15.6">
      <c r="A218" s="109"/>
      <c r="B218" s="33"/>
      <c r="C218" s="361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378</v>
      </c>
      <c r="D220" s="30"/>
      <c r="E220" s="29"/>
      <c r="F220" s="30"/>
      <c r="H220" s="89" t="s">
        <v>464</v>
      </c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94" t="s">
        <v>483</v>
      </c>
      <c r="J221" s="12"/>
    </row>
    <row r="222" spans="1:14" s="1" customFormat="1" ht="15" customHeight="1">
      <c r="A222" s="109"/>
      <c r="B222" s="33"/>
      <c r="C222" s="361" t="s">
        <v>273</v>
      </c>
      <c r="D222" s="161"/>
      <c r="E222" s="109"/>
      <c r="F222" s="161"/>
      <c r="H222" s="361" t="s">
        <v>484</v>
      </c>
      <c r="J222" s="12"/>
    </row>
    <row r="223" spans="1:14" s="1" customFormat="1" ht="15" customHeight="1">
      <c r="A223" s="109"/>
      <c r="B223" s="33"/>
      <c r="C223" s="374">
        <f>$I$133</f>
        <v>4540</v>
      </c>
      <c r="D223" s="161"/>
      <c r="E223" s="35"/>
      <c r="F223" s="161"/>
      <c r="G223" s="68"/>
      <c r="H223" s="374">
        <f>$I$150</f>
        <v>641.45833333333337</v>
      </c>
      <c r="J223" s="12"/>
    </row>
    <row r="224" spans="1:14" s="1" customFormat="1" ht="15" customHeight="1">
      <c r="A224" s="109"/>
      <c r="B224" s="33"/>
      <c r="C224" s="363">
        <f>$J$133</f>
        <v>4</v>
      </c>
      <c r="D224" s="161"/>
      <c r="E224" s="35"/>
      <c r="F224" s="161"/>
      <c r="G224" s="358"/>
      <c r="H224" s="363">
        <f>$J$150</f>
        <v>48</v>
      </c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358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361"/>
      <c r="D229" s="161"/>
      <c r="E229" s="109"/>
      <c r="F229" s="161"/>
      <c r="H229" s="109"/>
      <c r="I229" s="328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328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328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328"/>
      <c r="J232" s="117"/>
    </row>
    <row r="233" spans="1:10" s="1" customFormat="1" ht="15.9" customHeight="1">
      <c r="A233" s="44"/>
      <c r="B233" s="44"/>
      <c r="C233" s="89" t="s">
        <v>369</v>
      </c>
      <c r="D233" s="84"/>
      <c r="E233" s="44"/>
      <c r="F233" s="44"/>
      <c r="G233" s="109"/>
      <c r="H233" s="109"/>
      <c r="I233" s="328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4514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4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328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328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109"/>
      <c r="J242" s="24"/>
    </row>
    <row r="243" spans="1:10" s="1" customFormat="1" ht="15.9" customHeight="1">
      <c r="A243" s="109"/>
      <c r="B243" s="33"/>
      <c r="C243" s="89" t="s">
        <v>370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.9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" customHeight="1">
      <c r="A245" s="109"/>
      <c r="B245" s="33"/>
      <c r="C245" s="361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4540</v>
      </c>
      <c r="D246" s="161"/>
      <c r="E246" s="109"/>
      <c r="F246" s="161"/>
      <c r="G246" s="109"/>
      <c r="H246" s="109"/>
      <c r="I246" s="44"/>
      <c r="J246" s="119"/>
    </row>
    <row r="247" spans="1:10" s="1" customFormat="1" ht="15.9" customHeight="1">
      <c r="A247" s="109"/>
      <c r="B247" s="33"/>
      <c r="C247" s="363">
        <f>$J$135</f>
        <v>4</v>
      </c>
      <c r="D247" s="161"/>
      <c r="E247" s="109"/>
      <c r="F247" s="161"/>
      <c r="G247" s="109"/>
      <c r="H247" s="109"/>
      <c r="I247" s="32"/>
      <c r="J247" s="40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0"/>
      <c r="H251" s="109"/>
      <c r="I251" s="24"/>
      <c r="J251" s="24"/>
    </row>
    <row r="252" spans="1:10" s="1" customFormat="1" ht="15.9" customHeight="1">
      <c r="A252" s="109"/>
      <c r="B252" s="33"/>
      <c r="D252" s="161"/>
      <c r="E252" s="109"/>
      <c r="F252" s="109"/>
      <c r="G252" s="109"/>
      <c r="H252" s="109"/>
      <c r="I252" s="24"/>
      <c r="J252" s="24"/>
    </row>
    <row r="253" spans="1:10" s="1" customFormat="1" ht="15.9" customHeight="1">
      <c r="A253" s="44"/>
      <c r="B253" s="44"/>
      <c r="D253" s="84"/>
      <c r="E253" s="44"/>
      <c r="F253" s="44"/>
      <c r="G253" s="109"/>
      <c r="H253" s="109"/>
      <c r="I253" s="24"/>
      <c r="J253" s="24"/>
    </row>
    <row r="254" spans="1:10" s="1" customFormat="1" ht="15.9" customHeight="1">
      <c r="A254" s="40"/>
      <c r="B254" s="40"/>
      <c r="C254" s="89" t="s">
        <v>382</v>
      </c>
      <c r="D254" s="85"/>
      <c r="E254" s="40"/>
      <c r="F254" s="32"/>
      <c r="G254" s="109"/>
      <c r="I254" s="24"/>
      <c r="J254" s="24"/>
    </row>
    <row r="255" spans="1:10" s="1" customFormat="1" ht="15.9" customHeight="1">
      <c r="A255" s="27"/>
      <c r="B255" s="33"/>
      <c r="C255" s="328" t="s">
        <v>275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61" t="s">
        <v>273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74">
        <f>$I$136</f>
        <v>4540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63">
        <f>$J$136</f>
        <v>4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46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161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89" t="s">
        <v>373</v>
      </c>
      <c r="D264" s="161"/>
      <c r="E264" s="109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8" t="s">
        <v>379</v>
      </c>
      <c r="D265" s="328"/>
      <c r="E265" s="328"/>
      <c r="F265" s="109"/>
      <c r="G265" s="109"/>
      <c r="H265" s="109"/>
      <c r="I265" s="24"/>
      <c r="J265" s="24"/>
    </row>
    <row r="266" spans="1:10" s="1" customFormat="1" ht="15.9" customHeight="1">
      <c r="A266" s="27"/>
      <c r="B266" s="33"/>
      <c r="C266" s="361" t="s">
        <v>279</v>
      </c>
      <c r="D266" s="361"/>
      <c r="E266" s="361"/>
      <c r="F266" s="109"/>
      <c r="G266" s="109"/>
      <c r="H266" s="109"/>
      <c r="J266" s="12"/>
    </row>
    <row r="267" spans="1:10" s="1" customFormat="1" ht="15.9" customHeight="1">
      <c r="A267" s="27"/>
      <c r="B267" s="33"/>
      <c r="C267" s="374">
        <f>$I$137</f>
        <v>2700</v>
      </c>
      <c r="D267" s="161"/>
      <c r="E267" s="109"/>
      <c r="F267" s="109"/>
      <c r="G267" s="33"/>
      <c r="H267" s="33"/>
      <c r="J267" s="12"/>
    </row>
    <row r="268" spans="1:10" s="1" customFormat="1" ht="15.9" customHeight="1">
      <c r="A268" s="27"/>
      <c r="B268" s="33"/>
      <c r="C268" s="363">
        <f>$J$137+$J$138</f>
        <v>8</v>
      </c>
      <c r="D268" s="161"/>
      <c r="E268" s="10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D271" s="328"/>
      <c r="E271" s="328"/>
      <c r="F271" s="109"/>
      <c r="G271" s="109"/>
      <c r="H271" s="109"/>
      <c r="J271" s="12"/>
    </row>
    <row r="272" spans="1:10" s="1" customFormat="1" ht="15.9" customHeight="1">
      <c r="A272" s="27"/>
      <c r="D272" s="328"/>
      <c r="E272" s="328"/>
      <c r="F272" s="109"/>
      <c r="G272" s="109"/>
      <c r="H272" s="109"/>
      <c r="J272" s="12"/>
    </row>
    <row r="273" spans="1:10" s="1" customFormat="1" ht="15.9" customHeight="1">
      <c r="A273" s="27"/>
      <c r="B273" s="33"/>
      <c r="D273" s="328"/>
      <c r="E273" s="328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33"/>
      <c r="D274" s="161"/>
      <c r="E274" s="109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89" t="s">
        <v>374</v>
      </c>
      <c r="D275" s="162"/>
      <c r="E275" s="24"/>
      <c r="F275" s="109"/>
      <c r="G275" s="109"/>
      <c r="I275" s="24"/>
      <c r="J275" s="24"/>
    </row>
    <row r="276" spans="1:10" s="1" customFormat="1" ht="15.9" customHeight="1">
      <c r="A276" s="27"/>
      <c r="B276" s="33"/>
      <c r="C276" s="328" t="s">
        <v>649</v>
      </c>
      <c r="D276" s="328"/>
      <c r="E276" s="328"/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433" t="s">
        <v>650</v>
      </c>
      <c r="D277" s="361"/>
      <c r="E277" s="361"/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374">
        <f>$I$139</f>
        <v>2604</v>
      </c>
      <c r="F278" s="109"/>
      <c r="G278" s="109"/>
      <c r="I278" s="109"/>
      <c r="J278" s="24"/>
    </row>
    <row r="279" spans="1:10" s="1" customFormat="1" ht="15.9" customHeight="1">
      <c r="A279" s="27"/>
      <c r="B279" s="33"/>
      <c r="C279" s="363">
        <f>$J$139+$J$140</f>
        <v>8</v>
      </c>
      <c r="F279" s="109"/>
      <c r="G279" s="109"/>
      <c r="I279" s="109"/>
      <c r="J279" s="24"/>
    </row>
    <row r="280" spans="1:10" s="1" customFormat="1" ht="15.9" customHeight="1">
      <c r="A280" s="27"/>
      <c r="B280" s="33"/>
      <c r="F280" s="109"/>
      <c r="G280" s="109"/>
      <c r="H280" s="109"/>
      <c r="J280" s="12"/>
    </row>
    <row r="281" spans="1:10" s="1" customFormat="1" ht="15.9" customHeight="1">
      <c r="A281" s="27"/>
      <c r="B281" s="33"/>
      <c r="F281" s="109"/>
      <c r="G281" s="109"/>
      <c r="H281" s="109"/>
      <c r="J281" s="12"/>
    </row>
    <row r="282" spans="1:10" s="1" customFormat="1" ht="15.9" customHeight="1">
      <c r="A282" s="27"/>
      <c r="B282" s="33"/>
      <c r="F282" s="109"/>
      <c r="G282" s="109"/>
      <c r="H282" s="109"/>
      <c r="I282" s="162"/>
      <c r="J282" s="24"/>
    </row>
    <row r="283" spans="1:10" s="1" customFormat="1" ht="15.9" customHeight="1">
      <c r="A283" s="27"/>
      <c r="B283" s="33"/>
      <c r="C283" s="89" t="s">
        <v>375</v>
      </c>
      <c r="F283" s="109"/>
      <c r="G283" s="109"/>
      <c r="H283" s="109"/>
      <c r="I283" s="109"/>
      <c r="J283" s="24"/>
    </row>
    <row r="284" spans="1:10" s="1" customFormat="1" ht="15.9" customHeight="1">
      <c r="A284" s="27"/>
      <c r="B284" s="33"/>
      <c r="C284" s="94" t="s">
        <v>412</v>
      </c>
      <c r="D284" s="161"/>
      <c r="E284" s="109"/>
      <c r="F284" s="109"/>
      <c r="G284" s="109"/>
      <c r="H284" s="109"/>
      <c r="I284" s="24"/>
      <c r="J284" s="24"/>
    </row>
    <row r="285" spans="1:10" s="1" customFormat="1" ht="15.9" customHeight="1">
      <c r="A285" s="27"/>
      <c r="B285" s="33"/>
      <c r="C285" s="361" t="s">
        <v>413</v>
      </c>
      <c r="D285" s="161"/>
      <c r="E285" s="109"/>
      <c r="F285" s="109"/>
      <c r="G285" s="109"/>
      <c r="H285" s="109"/>
      <c r="I285" s="24"/>
      <c r="J285" s="24"/>
    </row>
    <row r="286" spans="1:10" s="1" customFormat="1" ht="15.9" customHeight="1">
      <c r="A286" s="27"/>
      <c r="B286" s="33"/>
      <c r="C286" s="328" t="s">
        <v>281</v>
      </c>
      <c r="D286" s="328"/>
      <c r="E286" s="328"/>
      <c r="F286" s="109"/>
      <c r="G286" s="109"/>
      <c r="I286" s="24"/>
      <c r="J286" s="24"/>
    </row>
    <row r="287" spans="1:10" s="23" customFormat="1" ht="15.9" customHeight="1">
      <c r="A287" s="27"/>
      <c r="B287" s="33"/>
      <c r="C287" s="361" t="s">
        <v>282</v>
      </c>
      <c r="D287" s="361"/>
      <c r="E287" s="361"/>
      <c r="F287" s="109"/>
      <c r="G287" s="109"/>
      <c r="H287" s="1"/>
      <c r="I287" s="109"/>
      <c r="J287" s="109"/>
    </row>
    <row r="288" spans="1:10" s="1" customFormat="1" ht="15.9" customHeight="1">
      <c r="A288" s="27"/>
      <c r="B288" s="33"/>
      <c r="C288" s="374">
        <f>$I$141</f>
        <v>641.45833333333337</v>
      </c>
      <c r="F288" s="109"/>
      <c r="G288" s="109"/>
      <c r="I288" s="44"/>
      <c r="J288" s="119"/>
    </row>
    <row r="289" spans="1:10" s="1" customFormat="1" ht="15.9" customHeight="1">
      <c r="A289" s="27"/>
      <c r="B289" s="33"/>
      <c r="C289" s="363">
        <f>$J$141+$J$142</f>
        <v>48</v>
      </c>
      <c r="D289" s="161"/>
      <c r="E289" s="109"/>
      <c r="F289" s="109"/>
      <c r="G289" s="109"/>
      <c r="H289" s="161"/>
      <c r="I289" s="32"/>
      <c r="J289" s="40"/>
    </row>
    <row r="290" spans="1:10" s="1" customFormat="1" ht="15.9" customHeight="1">
      <c r="A290" s="27"/>
      <c r="B290" s="33"/>
      <c r="C290" s="374">
        <f>$I$143</f>
        <v>2608</v>
      </c>
      <c r="D290" s="161"/>
      <c r="E290" s="109"/>
      <c r="F290" s="109"/>
      <c r="G290" s="109"/>
      <c r="H290" s="109"/>
      <c r="I290" s="24"/>
      <c r="J290" s="24"/>
    </row>
    <row r="291" spans="1:10" s="1" customFormat="1" ht="15.9" customHeight="1">
      <c r="A291" s="27"/>
      <c r="B291" s="33"/>
      <c r="C291" s="363">
        <f>$J$143+$J$144+$J$145+$J$146</f>
        <v>48</v>
      </c>
      <c r="D291" s="161"/>
      <c r="E291" s="109"/>
      <c r="F291" s="109"/>
      <c r="G291" s="109"/>
      <c r="H291" s="109"/>
      <c r="I291" s="24"/>
      <c r="J291" s="24"/>
    </row>
    <row r="292" spans="1:10" s="1" customFormat="1" ht="15.9" customHeight="1">
      <c r="A292" s="27"/>
      <c r="B292" s="33"/>
      <c r="D292" s="161"/>
      <c r="E292" s="109"/>
      <c r="F292" s="109"/>
      <c r="G292" s="109"/>
      <c r="H292" s="109"/>
      <c r="I292" s="24"/>
      <c r="J292" s="24"/>
    </row>
    <row r="293" spans="1:10" s="1" customFormat="1" ht="15.9" customHeight="1">
      <c r="A293" s="27"/>
      <c r="B293" s="33"/>
      <c r="C293" s="33"/>
      <c r="D293" s="161"/>
      <c r="E293" s="109"/>
      <c r="F293" s="109"/>
      <c r="G293" s="109"/>
      <c r="H293" s="109"/>
      <c r="I293" s="109"/>
      <c r="J293" s="24"/>
    </row>
    <row r="294" spans="1:10" s="1" customFormat="1" ht="15.9" customHeight="1">
      <c r="A294" s="27"/>
      <c r="B294" s="33"/>
      <c r="C294" s="23"/>
      <c r="D294" s="161"/>
      <c r="E294" s="109"/>
      <c r="F294" s="109"/>
      <c r="G294" s="109"/>
      <c r="H294" s="109"/>
      <c r="I294" s="109"/>
      <c r="J294" s="24"/>
    </row>
    <row r="295" spans="1:10" s="1" customFormat="1" ht="15.9" customHeight="1">
      <c r="A295" s="27"/>
      <c r="B295" s="33"/>
      <c r="C295" s="89" t="s">
        <v>376</v>
      </c>
      <c r="D295" s="161"/>
      <c r="E295" s="109"/>
      <c r="F295" s="109"/>
      <c r="G295" s="109"/>
      <c r="H295" s="109"/>
      <c r="I295" s="109"/>
      <c r="J295" s="24"/>
    </row>
    <row r="296" spans="1:10" s="1" customFormat="1" ht="15.9" customHeight="1">
      <c r="A296" s="27"/>
      <c r="B296" s="33"/>
      <c r="C296" s="94" t="s">
        <v>414</v>
      </c>
      <c r="D296" s="161"/>
      <c r="E296" s="109"/>
      <c r="F296" s="109"/>
      <c r="G296" s="44"/>
      <c r="H296" s="44"/>
      <c r="I296" s="109"/>
      <c r="J296" s="24"/>
    </row>
    <row r="297" spans="1:10" s="1" customFormat="1" ht="15.9" customHeight="1">
      <c r="A297" s="27"/>
      <c r="B297" s="33"/>
      <c r="C297" s="361" t="s">
        <v>415</v>
      </c>
      <c r="D297" s="328"/>
      <c r="E297" s="328"/>
      <c r="F297" s="109"/>
      <c r="G297" s="40"/>
      <c r="H297" s="32"/>
      <c r="I297" s="109"/>
      <c r="J297" s="24"/>
    </row>
    <row r="298" spans="1:10" s="1" customFormat="1" ht="15.9" customHeight="1">
      <c r="A298" s="41"/>
      <c r="B298" s="33"/>
      <c r="C298" s="328" t="s">
        <v>286</v>
      </c>
      <c r="D298" s="361"/>
      <c r="E298" s="361"/>
      <c r="F298" s="109"/>
      <c r="G298" s="109"/>
      <c r="H298" s="109"/>
      <c r="I298" s="109"/>
      <c r="J298" s="24"/>
    </row>
    <row r="299" spans="1:10" s="1" customFormat="1" ht="15.9" customHeight="1">
      <c r="A299" s="44"/>
      <c r="B299" s="44"/>
      <c r="C299" s="361" t="s">
        <v>285</v>
      </c>
      <c r="D299" s="86"/>
      <c r="E299" s="79"/>
      <c r="F299" s="44"/>
      <c r="G299" s="109"/>
      <c r="H299" s="109"/>
      <c r="I299" s="109"/>
      <c r="J299" s="24"/>
    </row>
    <row r="300" spans="1:10" s="1" customFormat="1" ht="15.9" customHeight="1">
      <c r="A300" s="40"/>
      <c r="B300" s="40"/>
      <c r="C300" s="374">
        <f>$I$147</f>
        <v>641.45833333333337</v>
      </c>
      <c r="D300" s="87"/>
      <c r="E300" s="80"/>
      <c r="F300" s="32"/>
      <c r="G300" s="109"/>
      <c r="H300" s="109"/>
      <c r="I300" s="109"/>
      <c r="J300" s="24"/>
    </row>
    <row r="301" spans="1:10" s="1" customFormat="1" ht="15.9" customHeight="1">
      <c r="A301" s="109"/>
      <c r="B301" s="33"/>
      <c r="C301" s="363">
        <f>$J$147</f>
        <v>144</v>
      </c>
      <c r="D301" s="15"/>
      <c r="F301" s="109"/>
      <c r="G301" s="109"/>
      <c r="H301" s="109"/>
      <c r="I301" s="109"/>
      <c r="J301" s="24"/>
    </row>
    <row r="302" spans="1:10" s="1" customFormat="1" ht="15.9" customHeight="1">
      <c r="A302" s="109"/>
      <c r="B302" s="33"/>
      <c r="C302" s="374">
        <f>$I$148</f>
        <v>487.5</v>
      </c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C303" s="363">
        <f>$J$148</f>
        <v>96</v>
      </c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C304" s="374">
        <f>$I$149</f>
        <v>1333</v>
      </c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C305" s="363">
        <f>$J$149</f>
        <v>48</v>
      </c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C306" s="363"/>
      <c r="D306" s="15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89" t="s">
        <v>377</v>
      </c>
      <c r="D308" s="161"/>
      <c r="E308" s="109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28" t="s">
        <v>281</v>
      </c>
      <c r="D309" s="328"/>
      <c r="E309" s="328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65" t="s">
        <v>282</v>
      </c>
      <c r="D310" s="365"/>
      <c r="E310" s="365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C311" s="374">
        <f>$I$151</f>
        <v>2608</v>
      </c>
      <c r="D311" s="328"/>
      <c r="E311" s="328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C312" s="363">
        <f>$J$151+$J$152</f>
        <v>8</v>
      </c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33"/>
      <c r="D314" s="162"/>
      <c r="E314" s="24"/>
      <c r="F314" s="109"/>
      <c r="G314" s="109"/>
      <c r="H314" s="109"/>
      <c r="I314" s="27"/>
      <c r="J314" s="99" t="str">
        <f>LEFT($J$111,13)&amp;"-03"</f>
        <v>FG-240-6P3L3R-03</v>
      </c>
    </row>
    <row r="315" spans="1:14" ht="12.75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30" customHeight="1">
      <c r="A316" s="17"/>
      <c r="B316" s="26"/>
      <c r="C316" s="26"/>
      <c r="D316" s="83"/>
      <c r="E316" s="25"/>
      <c r="F316" s="25"/>
      <c r="G316" s="25"/>
      <c r="H316" s="25"/>
      <c r="I316" s="179"/>
      <c r="J316" s="90" t="str">
        <f>$J$2</f>
        <v>HOMELIFE</v>
      </c>
    </row>
    <row r="317" spans="1:14" ht="24.9" customHeight="1">
      <c r="B317" s="279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279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s="1" customFormat="1" ht="15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  <c r="K320" s="4"/>
      <c r="L320" s="4"/>
      <c r="M320" s="4"/>
      <c r="N320" s="4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358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358"/>
      <c r="I331" s="161"/>
      <c r="J331" s="109"/>
    </row>
    <row r="332" spans="1:10" s="1" customFormat="1" ht="15" customHeight="1">
      <c r="A332" s="64" t="str">
        <f>A18</f>
        <v>240-6 Panel (3L3R)</v>
      </c>
      <c r="B332" s="92"/>
      <c r="C332" s="161"/>
      <c r="D332" s="161"/>
      <c r="E332" s="109"/>
      <c r="F332" s="358"/>
      <c r="G332" s="358"/>
      <c r="H332" s="358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92"/>
      <c r="C333" s="161"/>
      <c r="D333" s="161"/>
      <c r="E333" s="109"/>
      <c r="F333" s="358"/>
      <c r="G333" s="358"/>
      <c r="H333" s="358"/>
      <c r="I333" s="109"/>
      <c r="J333" s="109"/>
    </row>
    <row r="334" spans="1:10" s="1" customFormat="1" ht="15" customHeight="1">
      <c r="A334" s="76"/>
      <c r="B334" s="92"/>
      <c r="C334" s="161"/>
      <c r="D334" s="161"/>
      <c r="E334" s="109"/>
      <c r="F334" s="358"/>
      <c r="G334" s="358"/>
      <c r="H334" s="358"/>
      <c r="I334" s="109"/>
      <c r="J334" s="109"/>
    </row>
    <row r="335" spans="1:10" s="1" customFormat="1" ht="15" customHeight="1">
      <c r="A335" s="76"/>
      <c r="B335" s="92"/>
      <c r="C335" s="161"/>
      <c r="D335" s="161"/>
      <c r="E335" s="109"/>
      <c r="F335" s="358"/>
      <c r="G335" s="358"/>
      <c r="H335" s="358"/>
      <c r="I335" s="109"/>
      <c r="J335" s="109"/>
    </row>
    <row r="336" spans="1:10" s="1" customFormat="1" ht="15" customHeight="1">
      <c r="A336" s="76"/>
      <c r="B336" s="92"/>
      <c r="C336" s="161"/>
      <c r="D336" s="161"/>
      <c r="E336" s="109"/>
      <c r="F336" s="358"/>
      <c r="G336" s="358"/>
      <c r="H336" s="358"/>
      <c r="I336" s="109"/>
      <c r="J336" s="109"/>
    </row>
    <row r="337" spans="1:10" s="1" customFormat="1" ht="15" customHeight="1">
      <c r="A337" s="76"/>
      <c r="B337" s="92"/>
      <c r="C337" s="161"/>
      <c r="D337" s="161"/>
      <c r="E337" s="109"/>
      <c r="F337" s="358"/>
      <c r="G337" s="358"/>
      <c r="H337" s="358"/>
      <c r="I337" s="109"/>
      <c r="J337" s="109"/>
    </row>
    <row r="338" spans="1:10" s="1" customFormat="1" ht="15.9" customHeight="1">
      <c r="A338" s="109"/>
      <c r="B338" s="45"/>
      <c r="C338" s="42"/>
      <c r="D338" s="161"/>
      <c r="E338" s="109"/>
      <c r="F338" s="507"/>
      <c r="G338" s="507"/>
      <c r="H338" s="358"/>
      <c r="I338" s="109"/>
      <c r="J338" s="109"/>
    </row>
    <row r="339" spans="1:10" s="1" customFormat="1" ht="15.9" customHeight="1">
      <c r="A339" s="39"/>
      <c r="B339" s="109"/>
      <c r="C339" s="161"/>
      <c r="D339" s="161"/>
      <c r="E339" s="109"/>
      <c r="F339" s="37"/>
      <c r="G339" s="38"/>
      <c r="H339" s="109"/>
      <c r="I339" s="109"/>
      <c r="J339" s="109"/>
    </row>
    <row r="340" spans="1:10" s="1" customFormat="1" ht="15.9" customHeight="1">
      <c r="A340" s="44"/>
      <c r="C340" s="43"/>
      <c r="D340" s="161"/>
      <c r="E340" s="109"/>
      <c r="F340" s="109"/>
      <c r="G340" s="109"/>
      <c r="H340" s="109"/>
      <c r="I340" s="44"/>
      <c r="J340" s="119"/>
    </row>
    <row r="341" spans="1:10" s="1" customFormat="1" ht="15.9" customHeight="1">
      <c r="A341" s="40"/>
      <c r="C341" s="44"/>
      <c r="D341" s="84"/>
      <c r="E341" s="44"/>
      <c r="F341" s="44"/>
      <c r="G341" s="44"/>
      <c r="H341" s="44"/>
      <c r="I341" s="32"/>
      <c r="J341" s="40"/>
    </row>
    <row r="342" spans="1:10" s="1" customFormat="1" ht="15.9" customHeight="1">
      <c r="A342" s="109"/>
      <c r="C342" s="161"/>
      <c r="D342" s="85"/>
      <c r="E342" s="40"/>
      <c r="F342" s="32"/>
      <c r="G342" s="40"/>
      <c r="H342" s="32"/>
      <c r="I342" s="24"/>
      <c r="J342" s="24"/>
    </row>
    <row r="343" spans="1:10" s="1" customFormat="1" ht="15.9" customHeight="1">
      <c r="A343" s="109"/>
      <c r="C343" s="163"/>
      <c r="D343" s="161"/>
      <c r="E343" s="109"/>
      <c r="F343" s="161"/>
      <c r="G343" s="109"/>
      <c r="H343" s="109"/>
      <c r="I343" s="24"/>
      <c r="J343" s="24"/>
    </row>
    <row r="344" spans="1:10" s="1" customFormat="1" ht="15.9" customHeight="1">
      <c r="A344" s="109"/>
      <c r="B344" s="33"/>
      <c r="C344" s="161"/>
      <c r="D344" s="161"/>
      <c r="E344" s="109"/>
      <c r="F344" s="161"/>
      <c r="G344" s="109"/>
      <c r="H344" s="109"/>
      <c r="I344" s="162"/>
      <c r="J344" s="162"/>
    </row>
    <row r="345" spans="1:10" s="1" customFormat="1" ht="15.9" customHeight="1">
      <c r="A345" s="109"/>
      <c r="B345" s="33"/>
      <c r="C345" s="44"/>
      <c r="D345" s="161"/>
      <c r="E345" s="109"/>
      <c r="F345" s="161"/>
      <c r="G345" s="109"/>
      <c r="H345" s="162"/>
      <c r="I345" s="161"/>
      <c r="J345" s="161"/>
    </row>
    <row r="346" spans="1:10" s="1" customFormat="1" ht="15.9" customHeight="1">
      <c r="A346" s="109"/>
      <c r="B346" s="33"/>
      <c r="C346" s="42"/>
      <c r="D346" s="161"/>
      <c r="E346" s="109"/>
      <c r="F346" s="161"/>
      <c r="G346" s="109"/>
      <c r="H346" s="161"/>
      <c r="I346" s="161"/>
      <c r="J346" s="161"/>
    </row>
    <row r="347" spans="1:10" s="1" customFormat="1" ht="15.9" customHeight="1">
      <c r="A347" s="109"/>
      <c r="B347" s="33"/>
      <c r="C347" s="163"/>
      <c r="D347" s="161"/>
      <c r="E347" s="109"/>
      <c r="F347" s="161"/>
      <c r="G347" s="109"/>
      <c r="H347" s="161"/>
      <c r="I347" s="109"/>
      <c r="J347" s="24"/>
    </row>
    <row r="348" spans="1:10" s="1" customFormat="1" ht="15.9" customHeight="1">
      <c r="A348" s="109"/>
      <c r="B348" s="33"/>
      <c r="C348" s="161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33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33"/>
      <c r="D350" s="161"/>
      <c r="E350" s="109"/>
      <c r="F350" s="161"/>
      <c r="G350" s="109"/>
      <c r="H350" s="109"/>
      <c r="I350" s="24"/>
      <c r="J350" s="24"/>
    </row>
    <row r="351" spans="1:10" s="1" customFormat="1" ht="15.9" customHeight="1">
      <c r="A351" s="109"/>
      <c r="B351" s="33"/>
      <c r="C351" s="33"/>
      <c r="D351" s="161"/>
      <c r="E351" s="109"/>
      <c r="F351" s="161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44"/>
      <c r="D352" s="161"/>
      <c r="E352" s="109"/>
      <c r="F352" s="161"/>
      <c r="G352" s="109"/>
      <c r="H352" s="109"/>
      <c r="I352" s="24"/>
      <c r="J352" s="24"/>
    </row>
    <row r="353" spans="1:10" s="1" customFormat="1" ht="15.9" customHeight="1">
      <c r="A353" s="109"/>
      <c r="B353" s="33"/>
      <c r="C353" s="161"/>
      <c r="D353" s="161"/>
      <c r="E353" s="109"/>
      <c r="F353" s="161"/>
      <c r="G353" s="109"/>
      <c r="H353" s="109"/>
      <c r="I353" s="24"/>
      <c r="J353" s="24"/>
    </row>
    <row r="354" spans="1:10" s="1" customFormat="1" ht="15.9" customHeight="1">
      <c r="A354" s="109"/>
      <c r="B354" s="33"/>
      <c r="C354" s="163"/>
      <c r="D354" s="161"/>
      <c r="E354" s="109"/>
      <c r="F354" s="161"/>
      <c r="G354" s="109"/>
      <c r="H354" s="109"/>
      <c r="I354" s="109"/>
      <c r="J354" s="24"/>
    </row>
    <row r="355" spans="1:10" s="1" customFormat="1" ht="15.9" customHeight="1">
      <c r="A355" s="109"/>
      <c r="B355" s="33"/>
      <c r="C355" s="161"/>
      <c r="D355" s="161"/>
      <c r="E355" s="109"/>
      <c r="F355" s="161"/>
      <c r="G355" s="109"/>
      <c r="H355" s="109"/>
      <c r="I355" s="24"/>
      <c r="J355" s="24"/>
    </row>
    <row r="356" spans="1:10" s="1" customFormat="1" ht="15.9" customHeight="1">
      <c r="A356" s="109"/>
      <c r="B356" s="33"/>
      <c r="C356" s="33"/>
      <c r="D356" s="161"/>
      <c r="E356" s="109"/>
      <c r="F356" s="109"/>
      <c r="G356" s="109"/>
      <c r="H356" s="109"/>
      <c r="I356" s="24"/>
      <c r="J356" s="24"/>
    </row>
    <row r="357" spans="1:10" s="1" customFormat="1" ht="15" customHeight="1">
      <c r="A357" s="109"/>
      <c r="B357" s="33"/>
      <c r="C357" s="33"/>
      <c r="D357" s="161"/>
      <c r="E357" s="109"/>
      <c r="F357" s="109"/>
      <c r="G357" s="109"/>
      <c r="H357" s="107"/>
      <c r="I357" s="24"/>
      <c r="J357" s="24"/>
    </row>
    <row r="358" spans="1:10" s="23" customFormat="1" ht="15.9" customHeight="1">
      <c r="A358" s="109"/>
      <c r="B358" s="33"/>
      <c r="C358" s="33"/>
      <c r="D358" s="161"/>
      <c r="E358" s="109"/>
      <c r="F358" s="109"/>
      <c r="G358" s="109"/>
      <c r="H358" s="109"/>
      <c r="I358" s="109"/>
      <c r="J358" s="109"/>
    </row>
    <row r="359" spans="1:10" s="1" customFormat="1" ht="15.9" customHeight="1">
      <c r="A359" s="44"/>
      <c r="B359" s="33"/>
      <c r="C359" s="33"/>
      <c r="D359" s="161"/>
      <c r="E359" s="109"/>
      <c r="F359" s="109"/>
      <c r="G359" s="109"/>
      <c r="H359" s="109"/>
      <c r="I359" s="44"/>
      <c r="J359" s="119"/>
    </row>
    <row r="360" spans="1:10" s="1" customFormat="1" ht="15.9" customHeight="1">
      <c r="A360" s="40"/>
      <c r="B360" s="44"/>
      <c r="C360" s="44"/>
      <c r="D360" s="84"/>
      <c r="E360" s="44"/>
      <c r="F360" s="44"/>
      <c r="G360" s="44"/>
      <c r="H360" s="44"/>
      <c r="I360" s="32"/>
      <c r="J360" s="40"/>
    </row>
    <row r="361" spans="1:10" s="1" customFormat="1" ht="15.9" customHeight="1">
      <c r="A361" s="27"/>
      <c r="B361" s="40"/>
      <c r="C361" s="44"/>
      <c r="D361" s="85"/>
      <c r="E361" s="40"/>
      <c r="F361" s="32"/>
      <c r="G361" s="40"/>
      <c r="H361" s="32"/>
      <c r="I361" s="24"/>
      <c r="J361" s="24"/>
    </row>
    <row r="362" spans="1:10" s="1" customFormat="1" ht="15.9" customHeight="1">
      <c r="A362" s="27"/>
      <c r="B362" s="33"/>
      <c r="C362" s="42"/>
      <c r="D362" s="161"/>
      <c r="E362" s="109"/>
      <c r="F362" s="109"/>
      <c r="G362" s="109"/>
      <c r="H362" s="42"/>
      <c r="I362" s="163"/>
      <c r="J362" s="163"/>
    </row>
    <row r="363" spans="1:10" s="1" customFormat="1" ht="15.9" customHeight="1">
      <c r="A363" s="27"/>
      <c r="B363" s="33"/>
      <c r="C363" s="163"/>
      <c r="D363" s="161"/>
      <c r="E363" s="109"/>
      <c r="F363" s="109"/>
      <c r="G363" s="109"/>
      <c r="H363" s="163"/>
      <c r="I363" s="161"/>
      <c r="J363" s="161"/>
    </row>
    <row r="364" spans="1:10" s="1" customFormat="1" ht="15.9" customHeight="1">
      <c r="A364" s="27"/>
      <c r="B364" s="33"/>
      <c r="C364" s="161"/>
      <c r="D364" s="161"/>
      <c r="E364" s="109"/>
      <c r="F364" s="109"/>
      <c r="G364" s="109"/>
      <c r="H364" s="161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46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161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B369" s="33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B372" s="33"/>
      <c r="C372" s="33"/>
      <c r="D372" s="161"/>
      <c r="E372" s="109"/>
      <c r="F372" s="109"/>
      <c r="G372" s="109"/>
      <c r="H372" s="109"/>
      <c r="I372" s="24"/>
      <c r="J372" s="24"/>
    </row>
    <row r="373" spans="1:10" s="1" customFormat="1" ht="15.9" customHeight="1">
      <c r="A373" s="27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D376" s="161"/>
      <c r="E376" s="109"/>
      <c r="F376" s="109"/>
      <c r="G376" s="33"/>
      <c r="H376" s="33"/>
      <c r="I376" s="24"/>
      <c r="J376" s="24"/>
    </row>
    <row r="377" spans="1:10" s="1" customFormat="1" ht="15.9" customHeight="1">
      <c r="A377" s="27"/>
      <c r="B377" s="33"/>
      <c r="C377" s="33"/>
      <c r="D377" s="161"/>
      <c r="E377" s="109"/>
      <c r="F377" s="109"/>
      <c r="G377" s="109"/>
      <c r="H377" s="109"/>
      <c r="I377" s="24"/>
      <c r="J377" s="24"/>
    </row>
    <row r="378" spans="1:10" s="1" customFormat="1" ht="15.9" customHeight="1">
      <c r="A378" s="27"/>
      <c r="B378" s="33"/>
      <c r="C378" s="33"/>
      <c r="D378" s="161"/>
      <c r="E378" s="109"/>
      <c r="F378" s="109"/>
      <c r="G378" s="109"/>
      <c r="H378" s="109"/>
      <c r="I378" s="24"/>
      <c r="J378" s="24"/>
    </row>
    <row r="379" spans="1:10" s="1" customFormat="1" ht="15.9" customHeight="1">
      <c r="A379" s="27"/>
      <c r="B379" s="33"/>
      <c r="C379" s="33"/>
      <c r="D379" s="161"/>
      <c r="E379" s="109"/>
      <c r="F379" s="109"/>
      <c r="G379" s="109"/>
      <c r="H379" s="109"/>
      <c r="I379" s="24"/>
      <c r="J379" s="24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42"/>
      <c r="I380" s="163"/>
      <c r="J380" s="163"/>
    </row>
    <row r="381" spans="1:10" s="1" customFormat="1" ht="15.9" customHeight="1">
      <c r="A381" s="27"/>
      <c r="B381" s="33"/>
      <c r="C381" s="47"/>
      <c r="D381" s="161"/>
      <c r="E381" s="109"/>
      <c r="F381" s="109"/>
      <c r="G381" s="109"/>
      <c r="H381" s="163"/>
      <c r="I381" s="161"/>
      <c r="J381" s="161"/>
    </row>
    <row r="382" spans="1:10" s="1" customFormat="1" ht="15.9" customHeight="1">
      <c r="A382" s="27"/>
      <c r="B382" s="33"/>
      <c r="C382" s="46"/>
      <c r="D382" s="161"/>
      <c r="E382" s="109"/>
      <c r="F382" s="109"/>
      <c r="G382" s="109"/>
      <c r="H382" s="161"/>
      <c r="I382" s="24"/>
      <c r="J382" s="24"/>
    </row>
    <row r="383" spans="1:10" s="1" customFormat="1" ht="15.9" customHeight="1">
      <c r="A383" s="27"/>
      <c r="B383" s="33"/>
      <c r="C383" s="161"/>
      <c r="D383" s="161"/>
      <c r="E383" s="109"/>
      <c r="F383" s="109"/>
      <c r="G383" s="109"/>
      <c r="H383" s="42"/>
      <c r="I383" s="163"/>
      <c r="J383" s="163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63"/>
      <c r="I384" s="161"/>
      <c r="J384" s="161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61"/>
      <c r="I385" s="24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24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24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09"/>
      <c r="J388" s="2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09"/>
      <c r="I389" s="109"/>
      <c r="J389" s="24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09"/>
      <c r="I390" s="109"/>
      <c r="J390" s="24"/>
    </row>
    <row r="391" spans="1:10" s="1" customFormat="1" ht="15.9" customHeight="1">
      <c r="A391" s="27"/>
      <c r="B391" s="33"/>
      <c r="C391" s="33"/>
      <c r="D391" s="161"/>
      <c r="E391" s="109"/>
      <c r="F391" s="109"/>
      <c r="G391" s="109"/>
      <c r="H391" s="109"/>
      <c r="I391" s="109"/>
      <c r="J391" s="24"/>
    </row>
    <row r="392" spans="1:10" s="1" customFormat="1" ht="15.9" customHeight="1">
      <c r="A392" s="27"/>
      <c r="B392" s="33"/>
      <c r="C392" s="33"/>
      <c r="D392" s="161"/>
      <c r="E392" s="109"/>
      <c r="F392" s="109"/>
      <c r="G392" s="109"/>
      <c r="H392" s="109"/>
      <c r="I392" s="164"/>
      <c r="J392" s="164"/>
    </row>
    <row r="393" spans="1:10" s="1" customFormat="1" ht="15.9" customHeight="1">
      <c r="A393" s="27"/>
      <c r="B393" s="33"/>
      <c r="C393" s="33"/>
      <c r="D393" s="161"/>
      <c r="E393" s="109"/>
      <c r="F393" s="109"/>
      <c r="G393" s="109"/>
      <c r="H393" s="164"/>
      <c r="I393" s="165"/>
      <c r="J393" s="165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65"/>
      <c r="I394" s="161"/>
      <c r="J394" s="161"/>
    </row>
    <row r="395" spans="1:10" s="1" customFormat="1" ht="15.9" customHeight="1">
      <c r="A395" s="27"/>
      <c r="B395" s="33"/>
      <c r="C395" s="47"/>
      <c r="D395" s="161"/>
      <c r="E395" s="109"/>
      <c r="F395" s="109"/>
      <c r="G395" s="109"/>
      <c r="H395" s="161"/>
      <c r="I395" s="24"/>
      <c r="J395" s="24"/>
    </row>
    <row r="396" spans="1:10" s="1" customFormat="1" ht="15.9" customHeight="1">
      <c r="A396" s="27"/>
      <c r="B396" s="33"/>
      <c r="C396" s="46"/>
      <c r="D396" s="161"/>
      <c r="E396" s="109"/>
      <c r="F396" s="109"/>
      <c r="G396" s="109"/>
      <c r="H396" s="109"/>
      <c r="I396" s="109"/>
      <c r="J396" s="24"/>
    </row>
    <row r="397" spans="1:10" s="1" customFormat="1" ht="15.9" customHeight="1">
      <c r="A397" s="27"/>
      <c r="B397" s="33"/>
      <c r="C397" s="161"/>
      <c r="D397" s="161"/>
      <c r="E397" s="109"/>
      <c r="F397" s="109"/>
      <c r="G397" s="109"/>
      <c r="H397" s="109"/>
      <c r="I397" s="24"/>
      <c r="J397" s="24"/>
    </row>
    <row r="398" spans="1:10" s="1" customFormat="1" ht="15.9" customHeight="1">
      <c r="A398" s="27"/>
      <c r="B398" s="33"/>
      <c r="C398" s="33"/>
      <c r="D398" s="161"/>
      <c r="E398" s="109"/>
      <c r="F398" s="109"/>
      <c r="G398" s="109"/>
      <c r="H398" s="109"/>
      <c r="I398" s="24"/>
      <c r="J398" s="24"/>
    </row>
    <row r="399" spans="1:10" s="1" customFormat="1" ht="15.9" customHeight="1">
      <c r="A399" s="27"/>
      <c r="B399" s="33"/>
      <c r="C399" s="33"/>
      <c r="D399" s="161"/>
      <c r="E399" s="109"/>
      <c r="F399" s="109"/>
      <c r="G399" s="109"/>
      <c r="H399" s="109"/>
      <c r="I399" s="24"/>
      <c r="J399" s="24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1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1" customFormat="1" ht="15.9" customHeight="1">
      <c r="A405" s="41"/>
      <c r="B405" s="33"/>
      <c r="C405" s="33"/>
      <c r="D405" s="161"/>
      <c r="E405" s="109"/>
      <c r="F405" s="109"/>
      <c r="G405" s="109"/>
      <c r="H405" s="109"/>
      <c r="I405" s="109"/>
      <c r="J405" s="109"/>
    </row>
    <row r="406" spans="1:10" s="1" customFormat="1" ht="15.9" customHeight="1">
      <c r="A406" s="41"/>
      <c r="B406" s="33"/>
      <c r="C406" s="33"/>
      <c r="D406" s="161"/>
      <c r="E406" s="109"/>
      <c r="F406" s="109"/>
      <c r="G406" s="109"/>
      <c r="H406" s="109"/>
      <c r="I406" s="109"/>
      <c r="J406" s="109"/>
    </row>
    <row r="407" spans="1:10" s="1" customFormat="1" ht="15.9" customHeight="1">
      <c r="A407" s="41"/>
      <c r="B407" s="33"/>
      <c r="C407" s="33"/>
      <c r="D407" s="161"/>
      <c r="E407" s="109"/>
      <c r="F407" s="109"/>
      <c r="G407" s="109"/>
      <c r="H407" s="109"/>
      <c r="I407" s="109"/>
      <c r="J407" s="109"/>
    </row>
    <row r="408" spans="1:10" s="23" customFormat="1" ht="15.9" customHeight="1">
      <c r="A408" s="41"/>
      <c r="B408" s="33"/>
      <c r="C408" s="33"/>
      <c r="D408" s="161"/>
      <c r="E408" s="109"/>
      <c r="F408" s="109"/>
      <c r="G408" s="109"/>
      <c r="H408" s="109"/>
      <c r="I408" s="109"/>
      <c r="J408" s="109"/>
    </row>
    <row r="409" spans="1:10" s="1" customFormat="1" ht="15.9" customHeight="1">
      <c r="A409" s="44"/>
      <c r="B409" s="33"/>
      <c r="C409" s="33"/>
      <c r="D409" s="161"/>
      <c r="E409" s="109"/>
      <c r="F409" s="109"/>
      <c r="G409" s="109"/>
      <c r="H409" s="109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109"/>
      <c r="B419" s="44"/>
      <c r="C419" s="44"/>
      <c r="D419" s="84"/>
      <c r="E419" s="44"/>
      <c r="F419" s="44"/>
      <c r="G419" s="44"/>
      <c r="H419" s="44"/>
      <c r="I419" s="24"/>
      <c r="J419" s="24"/>
      <c r="K419" s="71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LEFT($J$111,13)&amp;"-04"</f>
        <v>FG-240-6P3L3R-04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A423" s="109"/>
      <c r="B423" s="33"/>
      <c r="C423" s="33"/>
      <c r="D423" s="161"/>
      <c r="E423" s="109"/>
      <c r="F423" s="109"/>
      <c r="G423" s="109"/>
      <c r="H423" s="109"/>
      <c r="I423" s="109"/>
      <c r="J423" s="90" t="str">
        <f>$J$2</f>
        <v>HOMELIFE</v>
      </c>
      <c r="K423" s="7"/>
      <c r="L423" s="7"/>
      <c r="M423" s="2"/>
      <c r="N423" s="2"/>
    </row>
    <row r="424" spans="1:14" ht="24.9" customHeight="1">
      <c r="A424" s="109"/>
      <c r="B424" s="33"/>
      <c r="C424" s="33"/>
      <c r="D424" s="161"/>
      <c r="E424" s="109"/>
      <c r="F424" s="109"/>
      <c r="G424" s="109"/>
      <c r="H424" s="109"/>
      <c r="I424" s="109"/>
      <c r="J424" s="91" t="str">
        <f>$J$3</f>
        <v>Fabricators Guide</v>
      </c>
      <c r="K424" s="7"/>
      <c r="L424" s="7"/>
      <c r="M424" s="2"/>
      <c r="N424" s="2"/>
    </row>
    <row r="425" spans="1:14" ht="24.9" customHeight="1">
      <c r="B425" s="279"/>
      <c r="C425" s="28"/>
      <c r="D425" s="28"/>
      <c r="E425" s="28"/>
      <c r="F425" s="28"/>
      <c r="G425" s="28"/>
      <c r="H425" s="28"/>
      <c r="I425" s="28"/>
      <c r="J425" s="91" t="str">
        <f>$J$4</f>
        <v xml:space="preserve">240 Series Bi Fold Door </v>
      </c>
      <c r="K425" s="48"/>
      <c r="L425" s="48"/>
      <c r="M425" s="4"/>
      <c r="N425" s="4"/>
    </row>
    <row r="426" spans="1:14" s="1" customFormat="1" ht="15" customHeight="1" thickBot="1">
      <c r="A426" s="78"/>
      <c r="B426" s="8"/>
      <c r="C426" s="28"/>
      <c r="D426" s="28"/>
      <c r="E426" s="28"/>
      <c r="F426" s="28"/>
      <c r="G426" s="28"/>
      <c r="H426" s="2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  <c r="K427" s="4"/>
      <c r="L427" s="4"/>
      <c r="M427" s="4"/>
      <c r="N427" s="4"/>
    </row>
    <row r="428" spans="1:14" s="1" customFormat="1" ht="15" customHeight="1">
      <c r="A428" s="193"/>
      <c r="B428" s="194"/>
      <c r="C428" s="194"/>
      <c r="D428" s="194"/>
      <c r="E428" s="194"/>
      <c r="F428" s="194"/>
      <c r="G428" s="194"/>
      <c r="H428" s="194"/>
      <c r="I428" s="193"/>
      <c r="K428" s="56"/>
      <c r="L428" s="56"/>
      <c r="M428" s="56"/>
      <c r="N428" s="56"/>
    </row>
    <row r="429" spans="1:14" s="1" customFormat="1" ht="15" customHeight="1">
      <c r="A429" s="45"/>
      <c r="B429" s="193"/>
      <c r="C429" s="193"/>
      <c r="D429" s="193"/>
      <c r="E429" s="193"/>
      <c r="F429" s="193"/>
      <c r="G429" s="193"/>
      <c r="H429" s="193"/>
      <c r="I429" s="44"/>
      <c r="J429" s="119"/>
    </row>
    <row r="430" spans="1:14" s="1" customFormat="1" ht="15" customHeight="1">
      <c r="A430" s="109"/>
      <c r="B430" s="39"/>
      <c r="C430" s="33"/>
      <c r="D430" s="161"/>
      <c r="E430" s="35"/>
      <c r="F430" s="39"/>
      <c r="G430" s="193"/>
      <c r="H430" s="44"/>
      <c r="I430" s="44"/>
      <c r="J430" s="119"/>
    </row>
    <row r="431" spans="1:14" s="1" customFormat="1" ht="15" customHeight="1">
      <c r="A431" s="109"/>
      <c r="B431" s="33"/>
      <c r="C431" s="33"/>
      <c r="D431" s="161"/>
      <c r="E431" s="35"/>
      <c r="F431" s="161"/>
      <c r="G431" s="193"/>
      <c r="H431" s="44"/>
      <c r="I431" s="44"/>
      <c r="J431" s="119"/>
    </row>
    <row r="432" spans="1:14" s="1" customFormat="1" ht="15" customHeight="1">
      <c r="A432" s="109"/>
      <c r="B432" s="56"/>
      <c r="C432" s="56"/>
      <c r="D432" s="30"/>
      <c r="E432" s="29"/>
      <c r="F432" s="30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109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3"/>
      <c r="H434" s="44"/>
      <c r="I434" s="44"/>
      <c r="J434" s="119"/>
    </row>
    <row r="435" spans="1:10" s="1" customFormat="1" ht="15" customHeight="1">
      <c r="A435" s="109"/>
      <c r="B435" s="33"/>
      <c r="C435" s="161"/>
      <c r="D435" s="161"/>
      <c r="E435" s="35"/>
      <c r="F435" s="161"/>
      <c r="H435" s="44"/>
      <c r="I435" s="44"/>
      <c r="J435" s="119"/>
    </row>
    <row r="436" spans="1:10" s="1" customFormat="1" ht="15" customHeight="1">
      <c r="A436" s="39"/>
      <c r="B436" s="33"/>
      <c r="C436" s="42"/>
      <c r="D436" s="161"/>
      <c r="E436" s="109"/>
      <c r="F436" s="69"/>
      <c r="H436" s="44"/>
      <c r="I436" s="44"/>
      <c r="J436" s="119"/>
    </row>
    <row r="437" spans="1:10" s="1" customFormat="1" ht="15" customHeight="1">
      <c r="A437" s="92"/>
      <c r="B437" s="39"/>
      <c r="C437" s="163"/>
      <c r="D437" s="161"/>
      <c r="E437" s="109"/>
      <c r="F437" s="68"/>
      <c r="H437" s="44"/>
      <c r="I437" s="44"/>
      <c r="J437" s="119"/>
    </row>
    <row r="438" spans="1:10" s="1" customFormat="1" ht="15" customHeight="1">
      <c r="B438" s="92"/>
      <c r="C438" s="161"/>
      <c r="D438" s="161"/>
      <c r="E438" s="109"/>
      <c r="F438" s="358"/>
      <c r="H438" s="44"/>
      <c r="I438" s="44"/>
      <c r="J438" s="119"/>
    </row>
    <row r="439" spans="1:10" s="1" customFormat="1" ht="15" customHeight="1">
      <c r="A439" s="64" t="str">
        <f>A18</f>
        <v>240-6 Panel (3L3R)</v>
      </c>
      <c r="B439" s="92"/>
      <c r="C439" s="161"/>
      <c r="D439" s="161"/>
      <c r="E439" s="109"/>
      <c r="F439" s="358"/>
      <c r="H439" s="44"/>
      <c r="I439" s="44"/>
      <c r="J439" s="119"/>
    </row>
    <row r="440" spans="1:10" s="1" customFormat="1" ht="15.9" customHeight="1">
      <c r="A440" s="76" t="str">
        <f>A19</f>
        <v xml:space="preserve">Outside Bi Fold Door </v>
      </c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44"/>
      <c r="B442" s="38"/>
      <c r="C442" s="43"/>
      <c r="D442" s="161"/>
      <c r="E442" s="109"/>
      <c r="F442" s="109"/>
      <c r="H442" s="44"/>
      <c r="I442" s="44"/>
      <c r="J442" s="119"/>
    </row>
    <row r="443" spans="1:10" s="1" customFormat="1" ht="15.9" customHeight="1">
      <c r="A443" s="40"/>
      <c r="C443" s="44"/>
      <c r="D443" s="84"/>
      <c r="E443" s="44"/>
      <c r="F443" s="44"/>
      <c r="H443" s="44"/>
      <c r="I443" s="44"/>
      <c r="J443" s="119"/>
    </row>
    <row r="444" spans="1:10" s="1" customFormat="1" ht="35.1" customHeight="1">
      <c r="A444" s="109"/>
      <c r="C444" s="161"/>
      <c r="D444" s="85"/>
      <c r="E444" s="40"/>
      <c r="F444" s="32"/>
      <c r="H444" s="44"/>
      <c r="I444" s="24"/>
      <c r="J444" s="24"/>
    </row>
    <row r="445" spans="1:10" ht="15.6">
      <c r="B445" s="64"/>
      <c r="C445" s="163"/>
      <c r="D445" s="161"/>
      <c r="E445" s="109"/>
      <c r="F445" s="161"/>
      <c r="G445" s="109"/>
      <c r="H445" s="109"/>
    </row>
    <row r="450" spans="1:10" s="1" customFormat="1" ht="15.9" customHeight="1">
      <c r="A450" s="109"/>
      <c r="B450"/>
      <c r="C450"/>
      <c r="D450" s="81"/>
      <c r="E450"/>
      <c r="F450"/>
      <c r="G450"/>
      <c r="H450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44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1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163"/>
      <c r="D456" s="161"/>
      <c r="E456" s="109"/>
      <c r="F456" s="161"/>
      <c r="G456" s="109"/>
      <c r="H456" s="109"/>
      <c r="I456" s="109"/>
      <c r="J456" s="24"/>
    </row>
    <row r="457" spans="1:10" s="1" customFormat="1" ht="15.9" customHeight="1">
      <c r="A457" s="109"/>
      <c r="B457" s="33"/>
      <c r="C457" s="161"/>
      <c r="D457" s="161"/>
      <c r="E457" s="109"/>
      <c r="F457" s="161"/>
      <c r="G457" s="109"/>
      <c r="H457" s="109"/>
      <c r="I457" s="24"/>
      <c r="J457" s="24"/>
    </row>
    <row r="458" spans="1:10" s="1" customFormat="1" ht="15.9" customHeight="1">
      <c r="A458" s="109"/>
      <c r="B458" s="33"/>
      <c r="C458" s="33"/>
      <c r="D458" s="161"/>
      <c r="E458" s="109"/>
      <c r="F458" s="109"/>
      <c r="G458" s="109"/>
      <c r="H458" s="109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7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" customHeight="1">
      <c r="A476" s="109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23" customFormat="1" ht="15.9" customHeight="1">
      <c r="A477" s="109"/>
      <c r="B477" s="33"/>
      <c r="C477" s="33"/>
      <c r="D477" s="161"/>
      <c r="E477" s="109"/>
      <c r="F477" s="109"/>
      <c r="G477" s="109"/>
      <c r="H477" s="109"/>
      <c r="I477" s="109"/>
      <c r="J477" s="109"/>
    </row>
    <row r="478" spans="1:10" s="1" customFormat="1" ht="15.9" customHeight="1">
      <c r="A478" s="44"/>
      <c r="B478" s="33"/>
      <c r="C478" s="33"/>
      <c r="D478" s="161"/>
      <c r="E478" s="109"/>
      <c r="F478" s="109"/>
      <c r="G478" s="109"/>
      <c r="H478" s="109"/>
      <c r="I478" s="44"/>
      <c r="J478" s="119"/>
    </row>
    <row r="479" spans="1:10" s="1" customFormat="1" ht="15.9" customHeight="1">
      <c r="A479" s="40"/>
      <c r="B479" s="44"/>
      <c r="C479" s="44"/>
      <c r="D479" s="84"/>
      <c r="E479" s="44"/>
      <c r="F479" s="44"/>
      <c r="G479" s="44"/>
      <c r="H479" s="44"/>
      <c r="I479" s="32"/>
      <c r="J479" s="40"/>
    </row>
    <row r="480" spans="1:10" s="1" customFormat="1" ht="15.9" customHeight="1">
      <c r="A480" s="27"/>
      <c r="B480" s="40"/>
      <c r="C480" s="44"/>
      <c r="D480" s="85"/>
      <c r="E480" s="40"/>
      <c r="F480" s="32"/>
      <c r="G480" s="40"/>
      <c r="H480" s="32"/>
      <c r="I480" s="24"/>
      <c r="J480" s="24"/>
    </row>
    <row r="481" spans="1:10" s="1" customFormat="1" ht="15.9" customHeight="1">
      <c r="A481" s="27"/>
      <c r="B481" s="33"/>
      <c r="C481" s="42"/>
      <c r="D481" s="161"/>
      <c r="E481" s="109"/>
      <c r="F481" s="109"/>
      <c r="G481" s="109"/>
      <c r="H481" s="42"/>
      <c r="I481" s="67"/>
      <c r="J481" s="165"/>
    </row>
    <row r="482" spans="1:10" s="1" customFormat="1" ht="15.9" customHeight="1">
      <c r="A482" s="27"/>
      <c r="B482" s="33"/>
      <c r="C482" s="163"/>
      <c r="D482" s="161"/>
      <c r="E482" s="109"/>
      <c r="F482" s="109"/>
      <c r="G482" s="109"/>
      <c r="H482" s="67"/>
      <c r="I482" s="38"/>
      <c r="J482" s="109"/>
    </row>
    <row r="483" spans="1:10" s="1" customFormat="1" ht="15.9" customHeight="1">
      <c r="A483" s="27"/>
      <c r="B483" s="33"/>
      <c r="C483" s="161"/>
      <c r="D483" s="161"/>
      <c r="E483" s="109"/>
      <c r="F483" s="109"/>
      <c r="G483" s="109"/>
      <c r="H483" s="38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46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161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D495" s="161"/>
      <c r="E495" s="109"/>
      <c r="F495" s="109"/>
      <c r="G495" s="33"/>
      <c r="H495" s="33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42"/>
      <c r="I499" s="67"/>
      <c r="J499" s="165"/>
    </row>
    <row r="500" spans="1:10" s="1" customFormat="1" ht="15.9" customHeight="1">
      <c r="A500" s="27"/>
      <c r="B500" s="33"/>
      <c r="C500" s="47"/>
      <c r="D500" s="161"/>
      <c r="E500" s="109"/>
      <c r="F500" s="109"/>
      <c r="G500" s="109"/>
      <c r="H500" s="67"/>
      <c r="I500" s="38"/>
      <c r="J500" s="109"/>
    </row>
    <row r="501" spans="1:10" s="1" customFormat="1" ht="15.9" customHeight="1">
      <c r="A501" s="27"/>
      <c r="B501" s="33"/>
      <c r="C501" s="46"/>
      <c r="D501" s="161"/>
      <c r="E501" s="109"/>
      <c r="F501" s="109"/>
      <c r="G501" s="109"/>
      <c r="H501" s="38"/>
      <c r="I501" s="24"/>
      <c r="J501" s="24"/>
    </row>
    <row r="502" spans="1:10" s="1" customFormat="1" ht="15.9" customHeight="1">
      <c r="A502" s="27"/>
      <c r="B502" s="33"/>
      <c r="C502" s="161"/>
      <c r="D502" s="161"/>
      <c r="E502" s="109"/>
      <c r="F502" s="109"/>
      <c r="G502" s="109"/>
      <c r="H502" s="42"/>
      <c r="I502" s="67"/>
      <c r="J502" s="165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67"/>
      <c r="I503" s="38"/>
      <c r="J503" s="109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38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109"/>
      <c r="J512" s="24"/>
    </row>
    <row r="513" spans="1:15" s="1" customFormat="1" ht="15.9" customHeight="1">
      <c r="A513" s="27"/>
      <c r="B513" s="33"/>
      <c r="C513" s="33"/>
      <c r="D513" s="161"/>
      <c r="E513" s="109"/>
      <c r="F513" s="109"/>
      <c r="G513" s="109"/>
      <c r="H513" s="109"/>
      <c r="I513" s="43"/>
      <c r="J513" s="107"/>
    </row>
    <row r="514" spans="1:15" s="1" customFormat="1" ht="15.9" customHeight="1">
      <c r="A514" s="27"/>
      <c r="B514" s="33"/>
      <c r="C514" s="33"/>
      <c r="D514" s="161"/>
      <c r="E514" s="109"/>
      <c r="F514" s="109"/>
      <c r="G514" s="109"/>
      <c r="H514" s="66"/>
      <c r="I514" s="38"/>
      <c r="J514" s="109"/>
    </row>
    <row r="515" spans="1:15" s="1" customFormat="1" ht="15.9" customHeight="1">
      <c r="A515" s="44"/>
      <c r="B515" s="44"/>
      <c r="C515" s="44"/>
      <c r="D515" s="84"/>
      <c r="E515" s="44"/>
      <c r="F515" s="44"/>
      <c r="G515" s="44"/>
      <c r="H515" s="44"/>
      <c r="I515" s="44"/>
      <c r="J515" s="119"/>
    </row>
    <row r="516" spans="1:15" s="1" customFormat="1" ht="15.9" customHeight="1">
      <c r="B516" s="44"/>
      <c r="C516" s="44"/>
      <c r="D516" s="84"/>
      <c r="E516" s="44"/>
      <c r="F516" s="44"/>
      <c r="G516" s="44"/>
      <c r="H516" s="44"/>
    </row>
    <row r="517" spans="1:15" s="1" customFormat="1" ht="15.9" customHeight="1" thickBot="1"/>
    <row r="518" spans="1:15" s="1" customFormat="1" ht="24.9" customHeight="1" thickBot="1">
      <c r="A518" s="502" t="s">
        <v>401</v>
      </c>
      <c r="B518" s="503"/>
      <c r="C518" s="503"/>
      <c r="D518" s="503"/>
      <c r="E518" s="503"/>
      <c r="F518" s="503"/>
      <c r="G518" s="503"/>
      <c r="H518" s="503"/>
      <c r="I518" s="503"/>
      <c r="J518" s="504"/>
    </row>
    <row r="519" spans="1:15" s="1" customFormat="1" ht="35.1" customHeight="1" thickBot="1">
      <c r="A519" s="102" t="s">
        <v>2</v>
      </c>
      <c r="B519" s="103" t="s">
        <v>3</v>
      </c>
      <c r="C519" s="103" t="s">
        <v>3</v>
      </c>
      <c r="D519" s="104" t="s">
        <v>35</v>
      </c>
      <c r="E519" s="103" t="s">
        <v>5</v>
      </c>
      <c r="F519" s="362" t="s">
        <v>27</v>
      </c>
      <c r="G519" s="305"/>
      <c r="H519" s="104" t="s">
        <v>27</v>
      </c>
      <c r="I519" s="104" t="s">
        <v>26</v>
      </c>
      <c r="J519" s="115" t="s">
        <v>6</v>
      </c>
      <c r="N519" s="249" t="s">
        <v>3</v>
      </c>
      <c r="O519" s="249" t="s">
        <v>3</v>
      </c>
    </row>
    <row r="520" spans="1:15" s="1" customFormat="1" ht="15.9" customHeight="1">
      <c r="A520" s="123">
        <f>IF(C520="","",1)</f>
        <v>1</v>
      </c>
      <c r="B520" s="121" t="str">
        <f>IF($D$127=5,N520,IF($D$127=6,N521,IF($D$127=8,N522,IF($D$127=10,N523,IF($D$127=12,N524,IF($D$127=14,N525,IF($D$127=18,N526,IF($D$127=20,N527,IF($D$127=22,N528,)))))))))</f>
        <v>กระจก 6 mm (สูง) (กว้าง)</v>
      </c>
      <c r="C520" s="121" t="str">
        <f>IF($D$127=5,O520,IF($D$127=6,O521,IF($D$127=8,O522,IF($D$127=10,O523,IF($D$127=12,O524,IF($D$127=14,O525,IF($D$127=18,O526,IF($D$127=20,O527,IF($D$127=22,O528,)))))))))</f>
        <v>GLASS thk.6 mm (H) (W)</v>
      </c>
      <c r="D520" s="124">
        <f>$I$126-85.5</f>
        <v>514.5</v>
      </c>
      <c r="E520" s="123" t="s">
        <v>11</v>
      </c>
      <c r="F520" s="527" t="s">
        <v>481</v>
      </c>
      <c r="G520" s="528"/>
      <c r="H520" s="123" t="s">
        <v>407</v>
      </c>
      <c r="I520" s="124">
        <f>(($J$128-185-(113.25*5))/6)-13</f>
        <v>628.45833333333337</v>
      </c>
      <c r="J520" s="151">
        <f>$J$120*12</f>
        <v>48</v>
      </c>
      <c r="M520" s="1">
        <f>ROW()</f>
        <v>520</v>
      </c>
      <c r="N520" s="19" t="s">
        <v>194</v>
      </c>
      <c r="O520" s="19" t="s">
        <v>195</v>
      </c>
    </row>
    <row r="521" spans="1:15" s="1" customFormat="1" ht="15.9" customHeight="1">
      <c r="A521" s="129">
        <f>IF(C521="","",+A520+1)</f>
        <v>2</v>
      </c>
      <c r="B521" s="127" t="str">
        <f>IF($D$127=5,N520,IF($D$127=6,N521,IF($D$127=8,N522,IF($D$127=10,N523,IF($D$127=12,N524,IF($D$127=14,N525,IF($D$127=18,N526,IF($D$127=20,N527,IF($D$127=22,N528,)))))))))</f>
        <v>กระจก 6 mm (สูง) (กว้าง)</v>
      </c>
      <c r="C521" s="127" t="str">
        <f>IF($D$127=5,O520,IF($D$127=6,O521,IF($D$127=8,O522,IF($D$127=10,O523,IF($D$127=12,O524,IF($D$127=14,O525,IF($D$127=18,O526,IF($D$127=20,O527,IF($D$127=22,O528,)))))))))</f>
        <v>GLASS thk.6 mm (H) (W)</v>
      </c>
      <c r="D521" s="238">
        <f>$J$126-48</f>
        <v>1360</v>
      </c>
      <c r="E521" s="238"/>
      <c r="F521" s="568" t="s">
        <v>482</v>
      </c>
      <c r="G521" s="572"/>
      <c r="H521" s="238" t="s">
        <v>407</v>
      </c>
      <c r="I521" s="298">
        <f>(($J$128-185-(113.25*5))/6)-13</f>
        <v>628.45833333333337</v>
      </c>
      <c r="J521" s="299">
        <f>$J$120*6</f>
        <v>24</v>
      </c>
      <c r="M521" s="1">
        <f>ROW()</f>
        <v>521</v>
      </c>
      <c r="N521" s="19" t="s">
        <v>53</v>
      </c>
      <c r="O521" s="19" t="s">
        <v>54</v>
      </c>
    </row>
    <row r="522" spans="1:15" s="1" customFormat="1" ht="15.9" customHeight="1">
      <c r="A522" s="129" t="str">
        <f t="shared" ref="A522:A523" si="40">IF(C522="","",+A521+1)</f>
        <v/>
      </c>
      <c r="B522" s="295"/>
      <c r="C522" s="295"/>
      <c r="D522" s="296"/>
      <c r="E522" s="238"/>
      <c r="F522" s="251"/>
      <c r="G522" s="297"/>
      <c r="H522" s="238"/>
      <c r="I522" s="298"/>
      <c r="J522" s="299"/>
      <c r="M522" s="1">
        <f>ROW()</f>
        <v>522</v>
      </c>
      <c r="N522" s="19" t="s">
        <v>257</v>
      </c>
      <c r="O522" s="19" t="s">
        <v>258</v>
      </c>
    </row>
    <row r="523" spans="1:15" s="1" customFormat="1" ht="15.9" customHeight="1">
      <c r="A523" s="129" t="str">
        <f t="shared" si="40"/>
        <v/>
      </c>
      <c r="B523" s="127"/>
      <c r="C523" s="127"/>
      <c r="D523" s="128"/>
      <c r="E523" s="129"/>
      <c r="F523" s="155"/>
      <c r="G523" s="157"/>
      <c r="H523" s="129"/>
      <c r="I523" s="144"/>
      <c r="J523" s="130"/>
      <c r="M523" s="1">
        <f>ROW()</f>
        <v>523</v>
      </c>
      <c r="N523" s="19" t="s">
        <v>259</v>
      </c>
      <c r="O523" s="19" t="s">
        <v>265</v>
      </c>
    </row>
    <row r="524" spans="1:15" s="1" customFormat="1" ht="15.9" customHeight="1">
      <c r="A524" s="135" t="str">
        <f>IF(B524="","",+A523+1)</f>
        <v/>
      </c>
      <c r="B524" s="133"/>
      <c r="C524" s="133"/>
      <c r="D524" s="134"/>
      <c r="E524" s="135"/>
      <c r="F524" s="158"/>
      <c r="G524" s="159"/>
      <c r="H524" s="135"/>
      <c r="I524" s="145"/>
      <c r="J524" s="136"/>
      <c r="M524" s="1">
        <f>ROW()</f>
        <v>524</v>
      </c>
      <c r="N524" s="19" t="s">
        <v>260</v>
      </c>
      <c r="O524" s="19" t="s">
        <v>266</v>
      </c>
    </row>
    <row r="525" spans="1:15" s="1" customFormat="1" ht="15.9" customHeight="1">
      <c r="A525" s="17"/>
      <c r="B525" s="56"/>
      <c r="C525" s="56"/>
      <c r="D525" s="30"/>
      <c r="E525" s="17"/>
      <c r="F525" s="17"/>
      <c r="G525" s="17"/>
      <c r="H525" s="109"/>
      <c r="I525" s="109"/>
      <c r="J525" s="24"/>
      <c r="M525" s="1">
        <f>ROW()</f>
        <v>525</v>
      </c>
      <c r="N525" s="19" t="s">
        <v>261</v>
      </c>
      <c r="O525" s="19" t="s">
        <v>267</v>
      </c>
    </row>
    <row r="526" spans="1:15">
      <c r="H526" s="294"/>
      <c r="I526" s="294"/>
      <c r="J526" s="99" t="str">
        <f>LEFT($J$111,13)&amp;"-05"</f>
        <v>FG-240-6P3L3R-05</v>
      </c>
      <c r="M526" s="1">
        <f>ROW()</f>
        <v>526</v>
      </c>
      <c r="N526" s="19" t="s">
        <v>262</v>
      </c>
      <c r="O526" s="19" t="s">
        <v>268</v>
      </c>
    </row>
    <row r="527" spans="1:15">
      <c r="M527" s="1">
        <f>ROW()</f>
        <v>527</v>
      </c>
      <c r="N527" s="19" t="s">
        <v>263</v>
      </c>
      <c r="O527" s="19" t="s">
        <v>269</v>
      </c>
    </row>
    <row r="528" spans="1:15">
      <c r="M528" s="1">
        <f>ROW()</f>
        <v>528</v>
      </c>
      <c r="N528" s="19" t="s">
        <v>264</v>
      </c>
      <c r="O528" s="19" t="s">
        <v>270</v>
      </c>
    </row>
  </sheetData>
  <dataConsolidate function="product">
    <dataRefs count="1">
      <dataRef ref="O154:O162" sheet="240_2Panel(L)" r:id="rId1"/>
    </dataRefs>
  </dataConsolidate>
  <mergeCells count="46">
    <mergeCell ref="H173:H174"/>
    <mergeCell ref="A6:J6"/>
    <mergeCell ref="A117:J117"/>
    <mergeCell ref="D119:G119"/>
    <mergeCell ref="H120:I121"/>
    <mergeCell ref="J120:J121"/>
    <mergeCell ref="D121:G121"/>
    <mergeCell ref="I157:J157"/>
    <mergeCell ref="D123:G123"/>
    <mergeCell ref="H123:I124"/>
    <mergeCell ref="J123:J124"/>
    <mergeCell ref="A125:B125"/>
    <mergeCell ref="D125:G125"/>
    <mergeCell ref="H128:I129"/>
    <mergeCell ref="J128:J129"/>
    <mergeCell ref="D127:G127"/>
    <mergeCell ref="D129:G129"/>
    <mergeCell ref="A131:J131"/>
    <mergeCell ref="I154:J154"/>
    <mergeCell ref="I155:J155"/>
    <mergeCell ref="I156:J156"/>
    <mergeCell ref="A175:J175"/>
    <mergeCell ref="I158:J158"/>
    <mergeCell ref="D159:D160"/>
    <mergeCell ref="H159:H160"/>
    <mergeCell ref="I159:J160"/>
    <mergeCell ref="I161:J161"/>
    <mergeCell ref="I162:J165"/>
    <mergeCell ref="I166:J167"/>
    <mergeCell ref="I168:J168"/>
    <mergeCell ref="D161:D162"/>
    <mergeCell ref="D163:D168"/>
    <mergeCell ref="D169:D171"/>
    <mergeCell ref="D173:D174"/>
    <mergeCell ref="H163:H168"/>
    <mergeCell ref="H161:H162"/>
    <mergeCell ref="H169:H171"/>
    <mergeCell ref="A427:J427"/>
    <mergeCell ref="A518:J518"/>
    <mergeCell ref="F520:G520"/>
    <mergeCell ref="F521:G521"/>
    <mergeCell ref="A213:J213"/>
    <mergeCell ref="A320:J320"/>
    <mergeCell ref="F330:G330"/>
    <mergeCell ref="F331:G331"/>
    <mergeCell ref="F338:G338"/>
  </mergeCells>
  <dataValidations disablePrompts="1" count="4">
    <dataValidation type="list" allowBlank="1" showInputMessage="1" showErrorMessage="1" sqref="D129:G129">
      <formula1>$O$120</formula1>
    </dataValidation>
    <dataValidation type="list" allowBlank="1" showInputMessage="1" showErrorMessage="1" sqref="C206">
      <formula1>$O$177:$O$195</formula1>
    </dataValidation>
    <dataValidation type="list" allowBlank="1" showInputMessage="1" showErrorMessage="1" sqref="D127:G127">
      <formula1>$N$120:$N$128</formula1>
    </dataValidation>
    <dataValidation type="list" allowBlank="1" showInputMessage="1" showErrorMessage="1" sqref="D123:G123">
      <formula1>$P$119:$P$128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16383" man="1"/>
    <brk id="421" max="9" man="1"/>
  </rowBreaks>
  <drawing r:id="rId3"/>
  <legacyDrawing r:id="rId4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9">
    <tabColor theme="5" tint="-0.249977111117893"/>
  </sheetPr>
  <dimension ref="A1:X528"/>
  <sheetViews>
    <sheetView showGridLines="0" view="pageBreakPreview" topLeftCell="A106" zoomScale="75" zoomScaleNormal="75" zoomScaleSheetLayoutView="75" workbookViewId="0">
      <selection activeCell="D127" sqref="D127:G127"/>
    </sheetView>
  </sheetViews>
  <sheetFormatPr defaultRowHeight="14.4" outlineLevelRow="1" outlineLevelCol="1"/>
  <cols>
    <col min="1" max="1" width="7" customWidth="1"/>
    <col min="2" max="2" width="40.6640625" customWidth="1"/>
    <col min="3" max="3" width="61.3320312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7.88671875" bestFit="1" customWidth="1"/>
    <col min="9" max="9" width="11.109375" bestFit="1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11" hidden="1" customWidth="1" outlineLevel="1"/>
    <col min="18" max="18" width="13.88671875" hidden="1" customWidth="1" outlineLevel="1"/>
    <col min="19" max="19" width="11.44140625" hidden="1" customWidth="1" outlineLevel="1"/>
    <col min="20" max="20" width="15" hidden="1" customWidth="1" outlineLevel="1"/>
    <col min="21" max="21" width="23.44140625" hidden="1" customWidth="1" outlineLevel="1"/>
    <col min="22" max="22" width="10.6640625" hidden="1" customWidth="1" outlineLevel="1"/>
    <col min="23" max="23" width="7.6640625" hidden="1" customWidth="1" outlineLevel="1"/>
    <col min="24" max="24" width="9.109375" collapsed="1"/>
  </cols>
  <sheetData>
    <row r="1" spans="1:14" ht="12.75" customHeight="1"/>
    <row r="2" spans="1:14" ht="30" customHeight="1">
      <c r="B2" s="217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17"/>
      <c r="E3" s="217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163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>
      <c r="G45" s="10"/>
    </row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/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495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17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17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5.6">
      <c r="A118" s="12"/>
      <c r="C118" s="8"/>
      <c r="D118" s="15"/>
      <c r="E118" s="13"/>
      <c r="J118" s="219"/>
      <c r="K118" s="11"/>
      <c r="L118" s="56"/>
      <c r="M118" s="56"/>
      <c r="N118" s="56"/>
    </row>
    <row r="119" spans="1:16" s="1" customFormat="1" ht="15" customHeight="1">
      <c r="A119" s="12"/>
      <c r="C119" s="110" t="s">
        <v>635</v>
      </c>
      <c r="D119" s="524"/>
      <c r="E119" s="525"/>
      <c r="F119" s="525"/>
      <c r="G119" s="526"/>
      <c r="I119" s="16"/>
      <c r="J119" s="12"/>
      <c r="N119" s="243" t="s">
        <v>191</v>
      </c>
      <c r="O119" s="12" t="s">
        <v>227</v>
      </c>
      <c r="P119" s="247" t="s">
        <v>16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4">
        <v>5</v>
      </c>
      <c r="O120" s="12" t="s">
        <v>243</v>
      </c>
      <c r="P120" s="335" t="s">
        <v>389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6</v>
      </c>
      <c r="O121" s="12" t="s">
        <v>244</v>
      </c>
      <c r="P121" s="336" t="s">
        <v>390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8</v>
      </c>
      <c r="P122" s="336" t="s">
        <v>391</v>
      </c>
    </row>
    <row r="123" spans="1:16" s="1" customFormat="1" ht="15" customHeight="1">
      <c r="A123" s="12"/>
      <c r="C123" s="110" t="s">
        <v>629</v>
      </c>
      <c r="D123" s="524" t="s">
        <v>15</v>
      </c>
      <c r="E123" s="525"/>
      <c r="F123" s="525"/>
      <c r="G123" s="526"/>
      <c r="H123" s="519" t="s">
        <v>638</v>
      </c>
      <c r="I123" s="520"/>
      <c r="J123" s="517">
        <v>2500</v>
      </c>
      <c r="N123" s="245">
        <v>10</v>
      </c>
      <c r="P123" s="336" t="s">
        <v>392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12</v>
      </c>
      <c r="P124" s="335" t="s">
        <v>393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218"/>
      <c r="L125" s="77"/>
      <c r="N125" s="245">
        <v>14</v>
      </c>
      <c r="P125" s="335" t="s">
        <v>394</v>
      </c>
    </row>
    <row r="126" spans="1:16" s="1" customFormat="1" ht="15" customHeight="1">
      <c r="A126" s="219"/>
      <c r="B126" s="219"/>
      <c r="C126" s="423" t="s">
        <v>631</v>
      </c>
      <c r="D126" s="15"/>
      <c r="H126" s="519" t="s">
        <v>639</v>
      </c>
      <c r="I126" s="520"/>
      <c r="J126" s="517">
        <v>3500</v>
      </c>
      <c r="K126" s="218"/>
      <c r="L126" s="77"/>
      <c r="N126" s="245">
        <v>18</v>
      </c>
      <c r="P126" s="335" t="s">
        <v>395</v>
      </c>
    </row>
    <row r="127" spans="1:16" s="1" customFormat="1" ht="15" customHeight="1">
      <c r="A127" s="219"/>
      <c r="B127" s="219"/>
      <c r="C127" s="110" t="s">
        <v>633</v>
      </c>
      <c r="D127" s="534">
        <v>6</v>
      </c>
      <c r="E127" s="535"/>
      <c r="F127" s="535"/>
      <c r="G127" s="536"/>
      <c r="H127" s="520"/>
      <c r="I127" s="520"/>
      <c r="J127" s="518"/>
      <c r="N127" s="245">
        <v>20</v>
      </c>
      <c r="P127" s="335" t="s">
        <v>396</v>
      </c>
    </row>
    <row r="128" spans="1:16" s="1" customFormat="1" ht="18.75" customHeight="1">
      <c r="C128" s="423" t="s">
        <v>632</v>
      </c>
      <c r="I128" s="12"/>
      <c r="J128" s="12"/>
      <c r="N128" s="245">
        <v>22</v>
      </c>
      <c r="P128" s="335" t="s">
        <v>397</v>
      </c>
    </row>
    <row r="129" spans="1:23" s="1" customFormat="1" ht="15" customHeight="1">
      <c r="A129" s="88" t="str">
        <f>A18</f>
        <v>240-6 Panel (5L1R)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332" t="s">
        <v>324</v>
      </c>
      <c r="G133" s="186">
        <v>1</v>
      </c>
      <c r="H133" s="186" t="s">
        <v>52</v>
      </c>
      <c r="I133" s="124">
        <f>$J$126-60</f>
        <v>3440</v>
      </c>
      <c r="J133" s="125">
        <f t="shared" ref="J133:J153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12</v>
      </c>
      <c r="U133" s="283" t="s">
        <v>298</v>
      </c>
      <c r="V133" s="307">
        <f>($J$126-185-(113.25*5))/6</f>
        <v>458.125</v>
      </c>
      <c r="W133" s="286">
        <f>$J$121*T133</f>
        <v>0</v>
      </c>
    </row>
    <row r="134" spans="1:23" s="1" customFormat="1" ht="18" customHeight="1">
      <c r="A134" s="143">
        <f t="shared" ref="A134:A153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3414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12</v>
      </c>
      <c r="U134" s="129" t="s">
        <v>298</v>
      </c>
      <c r="V134" s="178">
        <f>($J$126-185-(113.25*5))/6</f>
        <v>458.125</v>
      </c>
      <c r="W134" s="131">
        <f t="shared" ref="W134:W135" si="2">$J$121*T134</f>
        <v>0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3440</v>
      </c>
      <c r="J135" s="131">
        <f t="shared" ref="J135:J139" si="3">$J$120*G135</f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12</v>
      </c>
      <c r="U135" s="135" t="s">
        <v>298</v>
      </c>
      <c r="V135" s="308">
        <f>($J$126-185-(113.25*5))/6</f>
        <v>458.125</v>
      </c>
      <c r="W135" s="293">
        <f t="shared" si="2"/>
        <v>0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3440</v>
      </c>
      <c r="J136" s="131">
        <f t="shared" si="3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12</v>
      </c>
      <c r="U136" s="283" t="s">
        <v>64</v>
      </c>
      <c r="V136" s="288">
        <f>$J$123-242</f>
        <v>2258</v>
      </c>
      <c r="W136" s="286">
        <f>$J$121*T136</f>
        <v>0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2500</v>
      </c>
      <c r="J137" s="131">
        <f t="shared" si="3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12</v>
      </c>
      <c r="U137" s="129" t="s">
        <v>64</v>
      </c>
      <c r="V137" s="130">
        <f>$J$123-242</f>
        <v>2258</v>
      </c>
      <c r="W137" s="131">
        <f t="shared" ref="W137:W138" si="4">$J$121*T137</f>
        <v>0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2500</v>
      </c>
      <c r="J138" s="131">
        <f t="shared" si="3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12</v>
      </c>
      <c r="U138" s="135" t="s">
        <v>64</v>
      </c>
      <c r="V138" s="136">
        <f>$J$123-242</f>
        <v>2258</v>
      </c>
      <c r="W138" s="293">
        <f t="shared" si="4"/>
        <v>0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2404</v>
      </c>
      <c r="J139" s="131">
        <f t="shared" si="3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2404</v>
      </c>
      <c r="J140" s="131">
        <f t="shared" ref="J140" si="5">$J$120*G140</f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6</v>
      </c>
      <c r="H141" s="143" t="s">
        <v>298</v>
      </c>
      <c r="I141" s="178">
        <f>($J$126-185-(113.25*5))/6</f>
        <v>458.125</v>
      </c>
      <c r="J141" s="131">
        <f t="shared" ref="J141:J149" si="6">$J$120*G141</f>
        <v>6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6</v>
      </c>
      <c r="H142" s="143" t="s">
        <v>298</v>
      </c>
      <c r="I142" s="178">
        <f>($J$126-185-(113.25*5))/6</f>
        <v>458.125</v>
      </c>
      <c r="J142" s="131">
        <f t="shared" si="6"/>
        <v>6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9</v>
      </c>
      <c r="H143" s="143" t="s">
        <v>63</v>
      </c>
      <c r="I143" s="130">
        <f>$J$123-92</f>
        <v>2408</v>
      </c>
      <c r="J143" s="131">
        <f t="shared" si="6"/>
        <v>9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2</v>
      </c>
      <c r="H144" s="143" t="s">
        <v>63</v>
      </c>
      <c r="I144" s="130">
        <f t="shared" ref="I144:I145" si="7">$J$123-92</f>
        <v>2408</v>
      </c>
      <c r="J144" s="131">
        <f t="shared" si="6"/>
        <v>2</v>
      </c>
      <c r="N144" s="98"/>
    </row>
    <row r="145" spans="1:14" s="1" customFormat="1" ht="18" customHeight="1">
      <c r="A145" s="143">
        <f t="shared" si="1"/>
        <v>13</v>
      </c>
      <c r="B145" s="140" t="s">
        <v>116</v>
      </c>
      <c r="C145" s="140" t="s">
        <v>99</v>
      </c>
      <c r="D145" s="139" t="s">
        <v>50</v>
      </c>
      <c r="E145" s="143">
        <v>1.1060000000000001</v>
      </c>
      <c r="F145" s="139" t="s">
        <v>507</v>
      </c>
      <c r="G145" s="143">
        <v>1</v>
      </c>
      <c r="H145" s="143" t="s">
        <v>63</v>
      </c>
      <c r="I145" s="130">
        <f t="shared" si="7"/>
        <v>2408</v>
      </c>
      <c r="J145" s="131">
        <f t="shared" si="6"/>
        <v>1</v>
      </c>
      <c r="N145" s="98"/>
    </row>
    <row r="146" spans="1:14" s="1" customFormat="1" ht="18" customHeight="1">
      <c r="A146" s="143">
        <f t="shared" si="1"/>
        <v>14</v>
      </c>
      <c r="B146" s="140" t="str">
        <f t="shared" ref="B146:I146" si="8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40" t="str">
        <f t="shared" si="8"/>
        <v>5-6mm GLAZING BEAD HORIZONTAL</v>
      </c>
      <c r="D146" s="140" t="str">
        <f t="shared" si="8"/>
        <v>B24008</v>
      </c>
      <c r="E146" s="140">
        <f t="shared" si="8"/>
        <v>0.23100000000000001</v>
      </c>
      <c r="F146" s="140" t="str">
        <f t="shared" si="8"/>
        <v>B24008-001</v>
      </c>
      <c r="G146" s="143">
        <f t="shared" si="8"/>
        <v>12</v>
      </c>
      <c r="H146" s="129" t="str">
        <f t="shared" si="8"/>
        <v>(W-185-(113.25 × 5))/6</v>
      </c>
      <c r="I146" s="178">
        <f t="shared" si="8"/>
        <v>458.125</v>
      </c>
      <c r="J146" s="131">
        <f t="shared" si="6"/>
        <v>12</v>
      </c>
      <c r="N146" s="98"/>
    </row>
    <row r="147" spans="1:14" s="1" customFormat="1" ht="18" customHeight="1">
      <c r="A147" s="143">
        <f t="shared" si="1"/>
        <v>15</v>
      </c>
      <c r="B147" s="140" t="str">
        <f t="shared" ref="B147:I147" si="9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40" t="str">
        <f t="shared" si="9"/>
        <v>5-6mm GLAZING BEAD VERTICAL</v>
      </c>
      <c r="D147" s="140" t="str">
        <f t="shared" si="9"/>
        <v>B24008</v>
      </c>
      <c r="E147" s="140">
        <f t="shared" si="9"/>
        <v>0.23100000000000001</v>
      </c>
      <c r="F147" s="140" t="str">
        <f t="shared" si="9"/>
        <v>B24008-002</v>
      </c>
      <c r="G147" s="143">
        <f t="shared" si="9"/>
        <v>12</v>
      </c>
      <c r="H147" s="129" t="str">
        <f t="shared" si="9"/>
        <v>H-242</v>
      </c>
      <c r="I147" s="144">
        <f t="shared" si="9"/>
        <v>2258</v>
      </c>
      <c r="J147" s="131">
        <f t="shared" si="6"/>
        <v>12</v>
      </c>
      <c r="N147" s="98"/>
    </row>
    <row r="148" spans="1:14" s="1" customFormat="1" ht="18" customHeight="1">
      <c r="A148" s="143">
        <f t="shared" si="1"/>
        <v>16</v>
      </c>
      <c r="B148" s="140" t="s">
        <v>125</v>
      </c>
      <c r="C148" s="140" t="s">
        <v>124</v>
      </c>
      <c r="D148" s="139" t="s">
        <v>123</v>
      </c>
      <c r="E148" s="143"/>
      <c r="F148" s="139" t="s">
        <v>362</v>
      </c>
      <c r="G148" s="143">
        <v>1</v>
      </c>
      <c r="H148" s="143" t="s">
        <v>63</v>
      </c>
      <c r="I148" s="130">
        <f>$J$123-92</f>
        <v>2408</v>
      </c>
      <c r="J148" s="131">
        <f t="shared" si="6"/>
        <v>1</v>
      </c>
      <c r="N148" s="98"/>
    </row>
    <row r="149" spans="1:14" s="1" customFormat="1" ht="18" customHeight="1">
      <c r="A149" s="143">
        <f t="shared" si="1"/>
        <v>17</v>
      </c>
      <c r="B149" s="140" t="s">
        <v>125</v>
      </c>
      <c r="C149" s="140" t="s">
        <v>124</v>
      </c>
      <c r="D149" s="139" t="s">
        <v>123</v>
      </c>
      <c r="E149" s="143"/>
      <c r="F149" s="139" t="s">
        <v>363</v>
      </c>
      <c r="G149" s="143">
        <v>1</v>
      </c>
      <c r="H149" s="143" t="s">
        <v>63</v>
      </c>
      <c r="I149" s="130">
        <f>$J$123-92</f>
        <v>2408</v>
      </c>
      <c r="J149" s="131">
        <f t="shared" si="6"/>
        <v>1</v>
      </c>
      <c r="N149" s="98"/>
    </row>
    <row r="150" spans="1:14" s="1" customFormat="1" ht="18" customHeight="1">
      <c r="A150" s="143" t="str">
        <f t="shared" si="1"/>
        <v/>
      </c>
      <c r="B150" s="140"/>
      <c r="C150" s="140"/>
      <c r="D150" s="139"/>
      <c r="E150" s="143"/>
      <c r="F150" s="139"/>
      <c r="G150" s="143"/>
      <c r="H150" s="143"/>
      <c r="I150" s="130"/>
      <c r="J150" s="131"/>
      <c r="N150" s="98"/>
    </row>
    <row r="151" spans="1:14" s="1" customFormat="1" ht="18" customHeight="1">
      <c r="A151" s="143" t="str">
        <f t="shared" si="1"/>
        <v/>
      </c>
      <c r="B151" s="140"/>
      <c r="C151" s="140"/>
      <c r="D151" s="139"/>
      <c r="E151" s="143"/>
      <c r="F151" s="139"/>
      <c r="G151" s="143"/>
      <c r="H151" s="143"/>
      <c r="I151" s="130"/>
      <c r="J151" s="131"/>
      <c r="N151" s="98"/>
    </row>
    <row r="152" spans="1:14" s="1" customFormat="1" ht="18" customHeight="1">
      <c r="A152" s="143" t="str">
        <f t="shared" si="1"/>
        <v/>
      </c>
      <c r="B152" s="127"/>
      <c r="C152" s="127"/>
      <c r="D152" s="128"/>
      <c r="E152" s="129"/>
      <c r="F152" s="128"/>
      <c r="G152" s="129"/>
      <c r="H152" s="129"/>
      <c r="I152" s="144"/>
      <c r="J152" s="131">
        <f t="shared" si="0"/>
        <v>0</v>
      </c>
      <c r="N152" s="98"/>
    </row>
    <row r="153" spans="1:14" s="1" customFormat="1" ht="18" customHeight="1" thickBot="1">
      <c r="A153" s="143" t="str">
        <f t="shared" si="1"/>
        <v/>
      </c>
      <c r="B153" s="167"/>
      <c r="C153" s="167"/>
      <c r="D153" s="168"/>
      <c r="E153" s="166"/>
      <c r="F153" s="168"/>
      <c r="G153" s="166"/>
      <c r="H153" s="166"/>
      <c r="I153" s="171"/>
      <c r="J153" s="172">
        <f t="shared" si="0"/>
        <v>0</v>
      </c>
    </row>
    <row r="154" spans="1:14" s="1" customFormat="1" ht="27" outlineLevel="1" thickBot="1">
      <c r="A154" s="169" t="s">
        <v>2</v>
      </c>
      <c r="B154" s="169" t="s">
        <v>29</v>
      </c>
      <c r="C154" s="169" t="s">
        <v>3</v>
      </c>
      <c r="D154" s="169" t="s">
        <v>4</v>
      </c>
      <c r="E154" s="169" t="s">
        <v>5</v>
      </c>
      <c r="F154" s="177" t="s">
        <v>85</v>
      </c>
      <c r="G154" s="169" t="s">
        <v>22</v>
      </c>
      <c r="H154" s="170" t="s">
        <v>23</v>
      </c>
      <c r="I154" s="540"/>
      <c r="J154" s="541"/>
    </row>
    <row r="155" spans="1:14" s="1" customFormat="1" ht="15" customHeight="1" outlineLevel="1">
      <c r="A155" s="21">
        <f>IF(B155="","",1)</f>
        <v>1</v>
      </c>
      <c r="B155" s="173" t="str">
        <f t="shared" ref="B155:C161" si="10">B133</f>
        <v>เฟรมบน</v>
      </c>
      <c r="C155" s="173" t="str">
        <f t="shared" si="10"/>
        <v>HEAD</v>
      </c>
      <c r="D155" s="174" t="str">
        <f>VLOOKUP(C155,$C$133:$H$153,2,0)</f>
        <v>B24001</v>
      </c>
      <c r="E155" s="175">
        <f t="shared" ref="E155:E161" si="11">VLOOKUP(C155,$C$133:$H$153,3,0)</f>
        <v>1.603</v>
      </c>
      <c r="F155" s="353">
        <f>VLOOKUP(C155,$C$133:$J$153,7,0)</f>
        <v>3440</v>
      </c>
      <c r="G155" s="175">
        <f t="shared" ref="G155:G161" si="12">VLOOKUP(C155,$C$133:$J$153,8,0)</f>
        <v>1</v>
      </c>
      <c r="H155" s="191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ref="A156" si="13">IF(B156="","",+A155+1)</f>
        <v>2</v>
      </c>
      <c r="B156" s="173" t="str">
        <f t="shared" si="10"/>
        <v>บังใบบน</v>
      </c>
      <c r="C156" s="173" t="str">
        <f t="shared" si="10"/>
        <v>DOOR STOP HEAD</v>
      </c>
      <c r="D156" s="174" t="str">
        <f>VLOOKUP(C156,$C$133:$H$153,2,0)</f>
        <v>B24002</v>
      </c>
      <c r="E156" s="175">
        <f t="shared" si="11"/>
        <v>0.27800000000000002</v>
      </c>
      <c r="F156" s="353">
        <f t="shared" ref="F156:F161" si="14">VLOOKUP(C156,$C$133:$I$153,7,0)</f>
        <v>3414</v>
      </c>
      <c r="G156" s="175">
        <f t="shared" si="12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ref="A157:A161" si="15">IF(B157="","",+A156+1)</f>
        <v>3</v>
      </c>
      <c r="B157" s="173" t="str">
        <f t="shared" si="10"/>
        <v xml:space="preserve">เฟรมล่าง </v>
      </c>
      <c r="C157" s="173" t="str">
        <f t="shared" si="10"/>
        <v>SILL</v>
      </c>
      <c r="D157" s="174" t="str">
        <f>VLOOKUP(C157,$C$133:$H$153,2,0)</f>
        <v>B24003</v>
      </c>
      <c r="E157" s="175">
        <f t="shared" si="11"/>
        <v>1.603</v>
      </c>
      <c r="F157" s="353">
        <f t="shared" si="14"/>
        <v>3440</v>
      </c>
      <c r="G157" s="175">
        <f t="shared" si="12"/>
        <v>1</v>
      </c>
      <c r="H157" s="192">
        <f t="shared" ref="H157:H158" si="16">ROUNDUP((F157*G157)/6400,0)</f>
        <v>1</v>
      </c>
      <c r="I157" s="501"/>
      <c r="J157" s="501"/>
    </row>
    <row r="158" spans="1:14" s="1" customFormat="1" ht="15" customHeight="1" outlineLevel="1">
      <c r="A158" s="18">
        <f t="shared" si="15"/>
        <v>4</v>
      </c>
      <c r="B158" s="173" t="str">
        <f t="shared" si="10"/>
        <v>ตัวตับธรณี</v>
      </c>
      <c r="C158" s="173" t="str">
        <f t="shared" si="10"/>
        <v>DOOR STOP SILL</v>
      </c>
      <c r="D158" s="174" t="str">
        <f>VLOOKUP(C158,$C$133:$H$153,2,0)</f>
        <v>B24004</v>
      </c>
      <c r="E158" s="175">
        <f t="shared" si="11"/>
        <v>0.51600000000000001</v>
      </c>
      <c r="F158" s="353">
        <f t="shared" si="14"/>
        <v>3440</v>
      </c>
      <c r="G158" s="175">
        <f t="shared" si="12"/>
        <v>1</v>
      </c>
      <c r="H158" s="192">
        <f t="shared" si="16"/>
        <v>1</v>
      </c>
      <c r="I158" s="501"/>
      <c r="J158" s="501"/>
    </row>
    <row r="159" spans="1:14" s="1" customFormat="1" ht="15" customHeight="1" outlineLevel="1">
      <c r="A159" s="18">
        <f t="shared" si="15"/>
        <v>5</v>
      </c>
      <c r="B159" s="173" t="str">
        <f t="shared" si="10"/>
        <v>เฟรมข้าง (ซ้าย)</v>
      </c>
      <c r="C159" s="173" t="str">
        <f t="shared" si="10"/>
        <v>JAMB (L)</v>
      </c>
      <c r="D159" s="508" t="str">
        <f>VLOOKUP(C159,$C$133:$H$153,2,0)</f>
        <v>B24005</v>
      </c>
      <c r="E159" s="175">
        <f t="shared" si="11"/>
        <v>0.89300000000000002</v>
      </c>
      <c r="F159" s="353">
        <f t="shared" si="14"/>
        <v>2500</v>
      </c>
      <c r="G159" s="175">
        <f t="shared" si="12"/>
        <v>1</v>
      </c>
      <c r="H159" s="516">
        <f>ROUNDUP(((F159*G159)+(F160*G160))/6400,0)</f>
        <v>1</v>
      </c>
      <c r="I159" s="506"/>
      <c r="J159" s="506"/>
    </row>
    <row r="160" spans="1:14" s="1" customFormat="1" ht="15" customHeight="1" outlineLevel="1">
      <c r="A160" s="18">
        <f t="shared" si="15"/>
        <v>6</v>
      </c>
      <c r="B160" s="173" t="str">
        <f t="shared" si="10"/>
        <v>เฟรมข้าง (ขวา)</v>
      </c>
      <c r="C160" s="173" t="str">
        <f t="shared" si="10"/>
        <v>JAMB (R)</v>
      </c>
      <c r="D160" s="509"/>
      <c r="E160" s="175">
        <f t="shared" si="11"/>
        <v>0.89300000000000002</v>
      </c>
      <c r="F160" s="353">
        <f t="shared" si="14"/>
        <v>2500</v>
      </c>
      <c r="G160" s="175">
        <f t="shared" si="12"/>
        <v>1</v>
      </c>
      <c r="H160" s="516"/>
      <c r="I160" s="506"/>
      <c r="J160" s="506"/>
    </row>
    <row r="161" spans="1:23" s="1" customFormat="1" ht="15" customHeight="1" outlineLevel="1">
      <c r="A161" s="18">
        <f t="shared" si="15"/>
        <v>7</v>
      </c>
      <c r="B161" s="173" t="str">
        <f t="shared" si="10"/>
        <v>บังใบข้าง (ซ้าย)</v>
      </c>
      <c r="C161" s="173" t="str">
        <f t="shared" si="10"/>
        <v>DOOR STOP JAMB (L)</v>
      </c>
      <c r="D161" s="508" t="str">
        <f>VLOOKUP(C161,$C$133:$H$153,2,0)</f>
        <v>B24006</v>
      </c>
      <c r="E161" s="175">
        <f t="shared" si="11"/>
        <v>0.23499999999999999</v>
      </c>
      <c r="F161" s="353">
        <f t="shared" si="14"/>
        <v>2404</v>
      </c>
      <c r="G161" s="175">
        <f t="shared" si="12"/>
        <v>1</v>
      </c>
      <c r="H161" s="516">
        <f>ROUNDUP(((F161*G161)+(F162*G162))/6400,0)</f>
        <v>1</v>
      </c>
      <c r="I161" s="501"/>
      <c r="J161" s="501"/>
    </row>
    <row r="162" spans="1:23" s="1" customFormat="1" ht="15" customHeight="1" outlineLevel="1">
      <c r="A162" s="18">
        <f t="shared" ref="A162:A171" si="17">IF(B162="","",+A161+1)</f>
        <v>8</v>
      </c>
      <c r="B162" s="173" t="str">
        <f t="shared" ref="B162:C162" si="18">B140</f>
        <v>บังใบข้าง (ขวา)</v>
      </c>
      <c r="C162" s="173" t="str">
        <f t="shared" si="18"/>
        <v>DOOR STOP JAMB (R)</v>
      </c>
      <c r="D162" s="509"/>
      <c r="E162" s="175">
        <f t="shared" ref="E162:E171" si="19">VLOOKUP(C162,$C$133:$H$153,3,0)</f>
        <v>0.23499999999999999</v>
      </c>
      <c r="F162" s="353">
        <f t="shared" ref="F162:F171" si="20">VLOOKUP(C162,$C$133:$I$153,7,0)</f>
        <v>2404</v>
      </c>
      <c r="G162" s="175">
        <f t="shared" ref="G162:G171" si="21">VLOOKUP(C162,$C$133:$J$153,8,0)</f>
        <v>1</v>
      </c>
      <c r="H162" s="516"/>
      <c r="I162" s="506"/>
      <c r="J162" s="506"/>
    </row>
    <row r="163" spans="1:23" s="1" customFormat="1" ht="13.8" outlineLevel="1">
      <c r="A163" s="18">
        <f t="shared" si="17"/>
        <v>9</v>
      </c>
      <c r="B163" s="173" t="str">
        <f t="shared" ref="B163:C163" si="22">B141</f>
        <v>ขวางบน</v>
      </c>
      <c r="C163" s="173" t="str">
        <f t="shared" si="22"/>
        <v>SASH (Hor) (T)</v>
      </c>
      <c r="D163" s="508" t="str">
        <f t="shared" ref="D163:D170" si="23">VLOOKUP(C163,$C$133:$H$153,2,0)</f>
        <v>B24007</v>
      </c>
      <c r="E163" s="175">
        <f t="shared" si="19"/>
        <v>1.1060000000000001</v>
      </c>
      <c r="F163" s="353">
        <f t="shared" si="20"/>
        <v>458.125</v>
      </c>
      <c r="G163" s="175">
        <f t="shared" si="21"/>
        <v>6</v>
      </c>
      <c r="H163" s="512">
        <f>ROUNDUP(((F163*G163)+(F164*G164)+(F165*G165)+(F166*G166)+(F167*G167))/6400,0)</f>
        <v>6</v>
      </c>
      <c r="I163" s="506"/>
      <c r="J163" s="506"/>
    </row>
    <row r="164" spans="1:23" s="1" customFormat="1" ht="13.8" outlineLevel="1">
      <c r="A164" s="18">
        <f t="shared" si="17"/>
        <v>10</v>
      </c>
      <c r="B164" s="173" t="str">
        <f t="shared" ref="B164:C164" si="24">B142</f>
        <v>ขวางล่าง</v>
      </c>
      <c r="C164" s="173" t="str">
        <f t="shared" si="24"/>
        <v>SASH (Hor) (B)</v>
      </c>
      <c r="D164" s="510"/>
      <c r="E164" s="175">
        <f t="shared" si="19"/>
        <v>1.1060000000000001</v>
      </c>
      <c r="F164" s="353">
        <f t="shared" si="20"/>
        <v>458.125</v>
      </c>
      <c r="G164" s="175">
        <f t="shared" si="21"/>
        <v>6</v>
      </c>
      <c r="H164" s="514"/>
      <c r="I164" s="506"/>
      <c r="J164" s="506"/>
    </row>
    <row r="165" spans="1:23" s="1" customFormat="1" ht="13.8" outlineLevel="1">
      <c r="A165" s="18">
        <f t="shared" si="17"/>
        <v>11</v>
      </c>
      <c r="B165" s="173" t="str">
        <f t="shared" ref="B165:C165" si="25">B143</f>
        <v>เสา</v>
      </c>
      <c r="C165" s="173" t="str">
        <f t="shared" si="25"/>
        <v xml:space="preserve">SASH (Ver) </v>
      </c>
      <c r="D165" s="510"/>
      <c r="E165" s="175">
        <f t="shared" si="19"/>
        <v>1.1060000000000001</v>
      </c>
      <c r="F165" s="353">
        <f t="shared" si="20"/>
        <v>2408</v>
      </c>
      <c r="G165" s="175">
        <f t="shared" si="21"/>
        <v>9</v>
      </c>
      <c r="H165" s="514"/>
      <c r="I165" s="506"/>
      <c r="J165" s="506"/>
    </row>
    <row r="166" spans="1:23" s="1" customFormat="1" ht="13.8" outlineLevel="1">
      <c r="A166" s="18">
        <f t="shared" si="17"/>
        <v>12</v>
      </c>
      <c r="B166" s="173" t="str">
        <f t="shared" ref="B166:C166" si="26">B144</f>
        <v>เสากุญแจ</v>
      </c>
      <c r="C166" s="173" t="str">
        <f t="shared" si="26"/>
        <v xml:space="preserve">SASH (Ver) LOCK </v>
      </c>
      <c r="D166" s="510"/>
      <c r="E166" s="175">
        <f t="shared" si="19"/>
        <v>1.1060000000000001</v>
      </c>
      <c r="F166" s="353">
        <f t="shared" si="20"/>
        <v>2408</v>
      </c>
      <c r="G166" s="175">
        <f t="shared" si="21"/>
        <v>2</v>
      </c>
      <c r="H166" s="514"/>
      <c r="I166" s="506"/>
      <c r="J166" s="506"/>
    </row>
    <row r="167" spans="1:23" s="1" customFormat="1" ht="15" customHeight="1" outlineLevel="1">
      <c r="A167" s="18">
        <f t="shared" si="17"/>
        <v>13</v>
      </c>
      <c r="B167" s="173" t="str">
        <f t="shared" ref="B167:C167" si="27">B145</f>
        <v>เสากุญแจมือจับ</v>
      </c>
      <c r="C167" s="173" t="str">
        <f t="shared" si="27"/>
        <v>SASH (Ver) LOCK HANDLE</v>
      </c>
      <c r="D167" s="509"/>
      <c r="E167" s="175">
        <f t="shared" si="19"/>
        <v>1.1060000000000001</v>
      </c>
      <c r="F167" s="353">
        <f t="shared" si="20"/>
        <v>2408</v>
      </c>
      <c r="G167" s="175">
        <f t="shared" si="21"/>
        <v>1</v>
      </c>
      <c r="H167" s="515"/>
      <c r="I167" s="506"/>
      <c r="J167" s="506"/>
    </row>
    <row r="168" spans="1:23" s="1" customFormat="1" ht="13.8" outlineLevel="1">
      <c r="A168" s="18">
        <f t="shared" si="17"/>
        <v>14</v>
      </c>
      <c r="B168" s="173" t="str">
        <f t="shared" ref="B168:C168" si="28">B146</f>
        <v>5-6mm คิ้วตบกระจกแนวนอน</v>
      </c>
      <c r="C168" s="173" t="str">
        <f t="shared" si="28"/>
        <v>5-6mm GLAZING BEAD HORIZONTAL</v>
      </c>
      <c r="D168" s="508" t="str">
        <f t="shared" si="23"/>
        <v>B24008</v>
      </c>
      <c r="E168" s="175">
        <f t="shared" si="19"/>
        <v>0.23100000000000001</v>
      </c>
      <c r="F168" s="353">
        <f t="shared" si="20"/>
        <v>458.125</v>
      </c>
      <c r="G168" s="175">
        <f t="shared" si="21"/>
        <v>12</v>
      </c>
      <c r="H168" s="516">
        <f>ROUNDUP(((F168*G168)+(F169*G169))/6400,0)</f>
        <v>6</v>
      </c>
      <c r="I168" s="501"/>
      <c r="J168" s="501"/>
    </row>
    <row r="169" spans="1:23" s="1" customFormat="1" ht="15" customHeight="1" outlineLevel="1">
      <c r="A169" s="18">
        <f t="shared" si="17"/>
        <v>15</v>
      </c>
      <c r="B169" s="173" t="str">
        <f t="shared" ref="B169:C169" si="29">B147</f>
        <v>5-6mm คิ้วตบกระจกแนวตั้ง</v>
      </c>
      <c r="C169" s="173" t="str">
        <f t="shared" si="29"/>
        <v>5-6mm GLAZING BEAD VERTICAL</v>
      </c>
      <c r="D169" s="509"/>
      <c r="E169" s="175">
        <f t="shared" si="19"/>
        <v>0.23100000000000001</v>
      </c>
      <c r="F169" s="353">
        <f t="shared" si="20"/>
        <v>2258</v>
      </c>
      <c r="G169" s="175">
        <f t="shared" si="21"/>
        <v>12</v>
      </c>
      <c r="H169" s="516"/>
      <c r="I169" s="215"/>
      <c r="J169" s="215"/>
    </row>
    <row r="170" spans="1:23" s="1" customFormat="1" ht="13.8" outlineLevel="1">
      <c r="A170" s="18">
        <f t="shared" si="17"/>
        <v>16</v>
      </c>
      <c r="B170" s="173" t="str">
        <f t="shared" ref="B170:C170" si="30">B148</f>
        <v>บังใบ</v>
      </c>
      <c r="C170" s="173" t="str">
        <f t="shared" si="30"/>
        <v>SASH STOP</v>
      </c>
      <c r="D170" s="508" t="str">
        <f t="shared" si="23"/>
        <v>B24009</v>
      </c>
      <c r="E170" s="175">
        <f t="shared" si="19"/>
        <v>0</v>
      </c>
      <c r="F170" s="353">
        <f t="shared" si="20"/>
        <v>2408</v>
      </c>
      <c r="G170" s="175">
        <f t="shared" si="21"/>
        <v>1</v>
      </c>
      <c r="H170" s="516">
        <f>ROUNDUP(((F170*G170)+(F171*G171))/6400,0)</f>
        <v>1</v>
      </c>
      <c r="I170" s="215"/>
      <c r="J170" s="215"/>
    </row>
    <row r="171" spans="1:23" s="1" customFormat="1" outlineLevel="1" thickBot="1">
      <c r="A171" s="18">
        <f t="shared" si="17"/>
        <v>17</v>
      </c>
      <c r="B171" s="173" t="str">
        <f t="shared" ref="B171:C171" si="31">B149</f>
        <v>บังใบ</v>
      </c>
      <c r="C171" s="173" t="str">
        <f t="shared" si="31"/>
        <v>SASH STOP</v>
      </c>
      <c r="D171" s="511"/>
      <c r="E171" s="175">
        <f t="shared" si="19"/>
        <v>0</v>
      </c>
      <c r="F171" s="353">
        <f t="shared" si="20"/>
        <v>2408</v>
      </c>
      <c r="G171" s="175">
        <f t="shared" si="21"/>
        <v>1</v>
      </c>
      <c r="H171" s="516"/>
      <c r="I171" s="215"/>
      <c r="J171" s="215"/>
    </row>
    <row r="172" spans="1:23" s="1" customFormat="1" ht="24.9" customHeight="1" thickBot="1">
      <c r="A172" s="529" t="s">
        <v>9</v>
      </c>
      <c r="B172" s="530"/>
      <c r="C172" s="530"/>
      <c r="D172" s="530"/>
      <c r="E172" s="530"/>
      <c r="F172" s="530"/>
      <c r="G172" s="530"/>
      <c r="H172" s="530"/>
      <c r="I172" s="530"/>
      <c r="J172" s="531"/>
    </row>
    <row r="173" spans="1:23" s="1" customFormat="1" ht="35.1" customHeight="1" thickBot="1">
      <c r="A173" s="102" t="s">
        <v>2</v>
      </c>
      <c r="B173" s="103" t="s">
        <v>29</v>
      </c>
      <c r="C173" s="103" t="s">
        <v>3</v>
      </c>
      <c r="D173" s="103" t="s">
        <v>199</v>
      </c>
      <c r="E173" s="103" t="s">
        <v>5</v>
      </c>
      <c r="F173" s="104" t="s">
        <v>28</v>
      </c>
      <c r="G173" s="103" t="s">
        <v>19</v>
      </c>
      <c r="H173" s="104" t="s">
        <v>200</v>
      </c>
      <c r="I173" s="104" t="s">
        <v>20</v>
      </c>
      <c r="J173" s="115" t="s">
        <v>201</v>
      </c>
      <c r="N173" s="101" t="s">
        <v>191</v>
      </c>
      <c r="O173" s="246" t="s">
        <v>29</v>
      </c>
      <c r="P173" s="246" t="s">
        <v>3</v>
      </c>
      <c r="Q173" s="246" t="s">
        <v>199</v>
      </c>
      <c r="R173" s="246" t="s">
        <v>5</v>
      </c>
      <c r="S173" s="246" t="s">
        <v>28</v>
      </c>
      <c r="T173" s="246" t="s">
        <v>19</v>
      </c>
      <c r="U173" s="246" t="s">
        <v>200</v>
      </c>
      <c r="V173" s="246" t="s">
        <v>20</v>
      </c>
      <c r="W173" s="246" t="s">
        <v>201</v>
      </c>
    </row>
    <row r="174" spans="1:23" s="1" customFormat="1" ht="18" customHeight="1">
      <c r="A174" s="200">
        <f>IF(B174="","",1)</f>
        <v>1</v>
      </c>
      <c r="B174" s="140" t="s">
        <v>111</v>
      </c>
      <c r="C174" s="140" t="s">
        <v>67</v>
      </c>
      <c r="D174" s="139" t="s">
        <v>74</v>
      </c>
      <c r="E174" s="143"/>
      <c r="F174" s="143" t="s">
        <v>74</v>
      </c>
      <c r="G174" s="143" t="s">
        <v>202</v>
      </c>
      <c r="H174" s="143">
        <v>12</v>
      </c>
      <c r="I174" s="130"/>
      <c r="J174" s="131">
        <f>$J$120*H174</f>
        <v>12</v>
      </c>
      <c r="N174" s="101" t="s">
        <v>226</v>
      </c>
      <c r="O174" s="280" t="s">
        <v>252</v>
      </c>
      <c r="P174" s="290" t="s">
        <v>248</v>
      </c>
      <c r="Q174" s="280" t="s">
        <v>69</v>
      </c>
      <c r="R174" s="213"/>
      <c r="S174" s="213" t="s">
        <v>69</v>
      </c>
      <c r="T174" s="213" t="s">
        <v>198</v>
      </c>
      <c r="U174" s="291">
        <f>((($I$141*$G$141)+($I$142*$G$142)+($I$143*$G$143)+($I$144*$G$144)+($I$145*$G$145))/1000)*$J$120</f>
        <v>34.393500000000003</v>
      </c>
      <c r="V174" s="291">
        <v>100</v>
      </c>
      <c r="W174" s="292">
        <f>ROUNDUP((U174)/100,0)</f>
        <v>1</v>
      </c>
    </row>
    <row r="175" spans="1:23" s="1" customFormat="1" ht="18" customHeight="1">
      <c r="A175" s="201">
        <f>IF(B175="","",+A174+1)</f>
        <v>2</v>
      </c>
      <c r="B175" s="140" t="s">
        <v>106</v>
      </c>
      <c r="C175" s="140" t="s">
        <v>503</v>
      </c>
      <c r="D175" s="139" t="s">
        <v>75</v>
      </c>
      <c r="E175" s="143"/>
      <c r="F175" s="143" t="s">
        <v>75</v>
      </c>
      <c r="G175" s="143" t="s">
        <v>202</v>
      </c>
      <c r="H175" s="143">
        <v>2</v>
      </c>
      <c r="I175" s="130"/>
      <c r="J175" s="131">
        <f t="shared" ref="J175:J199" si="32">$J$120*H175</f>
        <v>2</v>
      </c>
      <c r="N175" s="101" t="s">
        <v>230</v>
      </c>
      <c r="O175" s="280" t="s">
        <v>253</v>
      </c>
      <c r="P175" s="290" t="s">
        <v>249</v>
      </c>
      <c r="Q175" s="280" t="s">
        <v>188</v>
      </c>
      <c r="R175" s="213"/>
      <c r="S175" s="213" t="s">
        <v>188</v>
      </c>
      <c r="T175" s="213" t="s">
        <v>198</v>
      </c>
      <c r="U175" s="291">
        <f>((($I$141*$G$141)+($I$142*$G$142)+($I$143*$G$143)+($I$144*$G$144)+($I$145*$G$145))/1000)*$J$120</f>
        <v>34.393500000000003</v>
      </c>
      <c r="V175" s="291">
        <v>100</v>
      </c>
      <c r="W175" s="292">
        <f t="shared" ref="W175:W177" si="33">ROUNDUP((U175)/100,0)</f>
        <v>1</v>
      </c>
    </row>
    <row r="176" spans="1:23" s="1" customFormat="1" ht="18" customHeight="1">
      <c r="A176" s="201">
        <f t="shared" ref="A176:A204" si="34">IF(B176="","",+A175+1)</f>
        <v>3</v>
      </c>
      <c r="B176" s="140" t="s">
        <v>107</v>
      </c>
      <c r="C176" s="140" t="s">
        <v>504</v>
      </c>
      <c r="D176" s="139" t="s">
        <v>76</v>
      </c>
      <c r="E176" s="143"/>
      <c r="F176" s="143" t="s">
        <v>76</v>
      </c>
      <c r="G176" s="143" t="s">
        <v>202</v>
      </c>
      <c r="H176" s="143">
        <v>2</v>
      </c>
      <c r="I176" s="130"/>
      <c r="J176" s="131">
        <f t="shared" si="32"/>
        <v>2</v>
      </c>
      <c r="N176" s="101" t="s">
        <v>229</v>
      </c>
      <c r="O176" s="290" t="s">
        <v>254</v>
      </c>
      <c r="P176" s="290" t="s">
        <v>250</v>
      </c>
      <c r="Q176" s="280" t="s">
        <v>70</v>
      </c>
      <c r="R176" s="213"/>
      <c r="S176" s="213" t="s">
        <v>70</v>
      </c>
      <c r="T176" s="213" t="s">
        <v>198</v>
      </c>
      <c r="U176" s="291">
        <f>((($I$141*$G$141)+($I$142*$G$142)+($I$143*$G$143)+($I$144*$G$144)+($I$145*$G$145))/1000)*$J$120</f>
        <v>34.393500000000003</v>
      </c>
      <c r="V176" s="291">
        <v>100</v>
      </c>
      <c r="W176" s="292">
        <f t="shared" si="33"/>
        <v>1</v>
      </c>
    </row>
    <row r="177" spans="1:23" s="1" customFormat="1" ht="18" customHeight="1">
      <c r="A177" s="201">
        <f t="shared" si="34"/>
        <v>4</v>
      </c>
      <c r="B177" s="140" t="s">
        <v>108</v>
      </c>
      <c r="C177" s="140" t="s">
        <v>10</v>
      </c>
      <c r="D177" s="139">
        <v>9</v>
      </c>
      <c r="E177" s="143"/>
      <c r="F177" s="143">
        <v>9</v>
      </c>
      <c r="G177" s="143" t="s">
        <v>202</v>
      </c>
      <c r="H177" s="143">
        <v>8</v>
      </c>
      <c r="I177" s="130"/>
      <c r="J177" s="131">
        <f t="shared" si="32"/>
        <v>8</v>
      </c>
      <c r="N177" s="101" t="s">
        <v>231</v>
      </c>
      <c r="O177" s="290" t="s">
        <v>255</v>
      </c>
      <c r="P177" s="290" t="s">
        <v>251</v>
      </c>
      <c r="Q177" s="280" t="s">
        <v>189</v>
      </c>
      <c r="R177" s="213"/>
      <c r="S177" s="213" t="s">
        <v>189</v>
      </c>
      <c r="T177" s="213" t="s">
        <v>198</v>
      </c>
      <c r="U177" s="291">
        <f>((($I$141*$G$141)+($I$142*$G$142)+($I$143*$G$143)+($I$144*$G$144)+($I$145*$G$145))/1000)*$J$120</f>
        <v>34.393500000000003</v>
      </c>
      <c r="V177" s="291">
        <v>100</v>
      </c>
      <c r="W177" s="292">
        <f t="shared" si="33"/>
        <v>1</v>
      </c>
    </row>
    <row r="178" spans="1:23" s="1" customFormat="1" ht="18" customHeight="1">
      <c r="A178" s="201">
        <f t="shared" si="34"/>
        <v>5</v>
      </c>
      <c r="B178" s="140" t="s">
        <v>109</v>
      </c>
      <c r="C178" s="140" t="s">
        <v>68</v>
      </c>
      <c r="D178" s="139">
        <v>9</v>
      </c>
      <c r="E178" s="143"/>
      <c r="F178" s="143">
        <v>9</v>
      </c>
      <c r="G178" s="143" t="s">
        <v>202</v>
      </c>
      <c r="H178" s="143">
        <v>110</v>
      </c>
      <c r="I178" s="130"/>
      <c r="J178" s="131">
        <f t="shared" si="32"/>
        <v>110</v>
      </c>
      <c r="N178" s="101" t="s">
        <v>232</v>
      </c>
      <c r="O178" s="290" t="s">
        <v>256</v>
      </c>
      <c r="P178" s="290" t="s">
        <v>247</v>
      </c>
      <c r="Q178" s="280" t="s">
        <v>233</v>
      </c>
      <c r="R178" s="213"/>
      <c r="S178" s="213" t="s">
        <v>233</v>
      </c>
      <c r="T178" s="213" t="s">
        <v>198</v>
      </c>
      <c r="U178" s="291">
        <f>((($I$141*$G$141)+($I$142*$G$142)+($I$143*$G$143)+($I$144*$G$144)+($I$145*$G$145))/1000)*$J$120</f>
        <v>34.393500000000003</v>
      </c>
      <c r="V178" s="291">
        <v>100</v>
      </c>
      <c r="W178" s="292">
        <f>ROUNDUP((U178)/100,0)</f>
        <v>1</v>
      </c>
    </row>
    <row r="179" spans="1:23" s="1" customFormat="1" ht="18" customHeight="1">
      <c r="A179" s="201">
        <f t="shared" si="34"/>
        <v>6</v>
      </c>
      <c r="B179" s="140" t="s">
        <v>132</v>
      </c>
      <c r="C179" s="140" t="s">
        <v>79</v>
      </c>
      <c r="D179" s="139" t="s">
        <v>82</v>
      </c>
      <c r="E179" s="143"/>
      <c r="F179" s="143" t="s">
        <v>82</v>
      </c>
      <c r="G179" s="143" t="s">
        <v>185</v>
      </c>
      <c r="H179" s="143">
        <v>1</v>
      </c>
      <c r="I179" s="130"/>
      <c r="J179" s="131">
        <f t="shared" si="32"/>
        <v>1</v>
      </c>
    </row>
    <row r="180" spans="1:23" s="1" customFormat="1" ht="18" customHeight="1">
      <c r="A180" s="201">
        <f t="shared" si="34"/>
        <v>7</v>
      </c>
      <c r="B180" s="140" t="s">
        <v>118</v>
      </c>
      <c r="C180" s="140" t="s">
        <v>77</v>
      </c>
      <c r="D180" s="139" t="s">
        <v>80</v>
      </c>
      <c r="E180" s="143"/>
      <c r="F180" s="143" t="s">
        <v>80</v>
      </c>
      <c r="G180" s="143" t="s">
        <v>185</v>
      </c>
      <c r="H180" s="143">
        <v>1</v>
      </c>
      <c r="I180" s="130"/>
      <c r="J180" s="131">
        <f t="shared" si="32"/>
        <v>1</v>
      </c>
    </row>
    <row r="181" spans="1:23" s="1" customFormat="1" ht="18" customHeight="1">
      <c r="A181" s="201">
        <f t="shared" si="34"/>
        <v>8</v>
      </c>
      <c r="B181" s="140" t="s">
        <v>120</v>
      </c>
      <c r="C181" s="140" t="s">
        <v>94</v>
      </c>
      <c r="D181" s="139" t="s">
        <v>96</v>
      </c>
      <c r="E181" s="143"/>
      <c r="F181" s="143" t="s">
        <v>96</v>
      </c>
      <c r="G181" s="143" t="s">
        <v>185</v>
      </c>
      <c r="H181" s="143">
        <v>1</v>
      </c>
      <c r="I181" s="130"/>
      <c r="J181" s="131">
        <f t="shared" si="32"/>
        <v>1</v>
      </c>
    </row>
    <row r="182" spans="1:23" s="1" customFormat="1" ht="18" customHeight="1">
      <c r="A182" s="201">
        <f t="shared" si="34"/>
        <v>9</v>
      </c>
      <c r="B182" s="140" t="s">
        <v>131</v>
      </c>
      <c r="C182" s="140" t="s">
        <v>100</v>
      </c>
      <c r="D182" s="139" t="s">
        <v>102</v>
      </c>
      <c r="E182" s="143"/>
      <c r="F182" s="143" t="s">
        <v>102</v>
      </c>
      <c r="G182" s="143" t="s">
        <v>185</v>
      </c>
      <c r="H182" s="143">
        <v>2</v>
      </c>
      <c r="I182" s="144"/>
      <c r="J182" s="131">
        <f t="shared" si="32"/>
        <v>2</v>
      </c>
    </row>
    <row r="183" spans="1:23" s="1" customFormat="1" ht="18" customHeight="1">
      <c r="A183" s="201">
        <f t="shared" si="34"/>
        <v>10</v>
      </c>
      <c r="B183" s="140" t="s">
        <v>143</v>
      </c>
      <c r="C183" s="140" t="s">
        <v>121</v>
      </c>
      <c r="D183" s="139" t="s">
        <v>103</v>
      </c>
      <c r="E183" s="143"/>
      <c r="F183" s="143" t="s">
        <v>103</v>
      </c>
      <c r="G183" s="143" t="s">
        <v>185</v>
      </c>
      <c r="H183" s="143">
        <v>1</v>
      </c>
      <c r="I183" s="144"/>
      <c r="J183" s="131">
        <f t="shared" si="32"/>
        <v>1</v>
      </c>
      <c r="N183" s="56"/>
      <c r="O183" s="56"/>
      <c r="P183" s="56"/>
      <c r="Q183" s="289"/>
      <c r="R183" s="289"/>
      <c r="S183" s="289"/>
      <c r="T183" s="17"/>
      <c r="U183" s="17"/>
      <c r="V183" s="17"/>
      <c r="W183" s="56"/>
    </row>
    <row r="184" spans="1:23" s="1" customFormat="1" ht="18" customHeight="1">
      <c r="A184" s="201">
        <f t="shared" si="34"/>
        <v>11</v>
      </c>
      <c r="B184" s="140" t="s">
        <v>113</v>
      </c>
      <c r="C184" s="140" t="s">
        <v>502</v>
      </c>
      <c r="D184" s="139" t="s">
        <v>83</v>
      </c>
      <c r="E184" s="143"/>
      <c r="F184" s="143" t="s">
        <v>83</v>
      </c>
      <c r="G184" s="143" t="s">
        <v>185</v>
      </c>
      <c r="H184" s="143">
        <v>2</v>
      </c>
      <c r="I184" s="144"/>
      <c r="J184" s="131">
        <f t="shared" si="32"/>
        <v>2</v>
      </c>
      <c r="N184" s="101" t="s">
        <v>227</v>
      </c>
      <c r="O184" s="246" t="s">
        <v>29</v>
      </c>
      <c r="P184" s="246" t="s">
        <v>3</v>
      </c>
      <c r="Q184" s="246" t="s">
        <v>199</v>
      </c>
      <c r="R184" s="246" t="s">
        <v>5</v>
      </c>
      <c r="S184" s="246" t="s">
        <v>28</v>
      </c>
      <c r="T184" s="246" t="s">
        <v>19</v>
      </c>
      <c r="U184" s="246" t="s">
        <v>200</v>
      </c>
      <c r="V184" s="246" t="s">
        <v>20</v>
      </c>
      <c r="W184" s="246" t="s">
        <v>201</v>
      </c>
    </row>
    <row r="185" spans="1:23" s="1" customFormat="1" ht="18" customHeight="1">
      <c r="A185" s="201">
        <f t="shared" si="34"/>
        <v>12</v>
      </c>
      <c r="B185" s="140" t="s">
        <v>122</v>
      </c>
      <c r="C185" s="140" t="s">
        <v>101</v>
      </c>
      <c r="D185" s="139" t="s">
        <v>104</v>
      </c>
      <c r="E185" s="143"/>
      <c r="F185" s="143" t="s">
        <v>104</v>
      </c>
      <c r="G185" s="143" t="s">
        <v>185</v>
      </c>
      <c r="H185" s="143">
        <v>1</v>
      </c>
      <c r="I185" s="144"/>
      <c r="J185" s="131">
        <f t="shared" si="32"/>
        <v>1</v>
      </c>
      <c r="N185" s="101" t="s">
        <v>240</v>
      </c>
      <c r="O185" s="290" t="s">
        <v>234</v>
      </c>
      <c r="P185" s="290" t="s">
        <v>236</v>
      </c>
      <c r="Q185" s="280" t="s">
        <v>190</v>
      </c>
      <c r="R185" s="213"/>
      <c r="S185" s="213" t="s">
        <v>190</v>
      </c>
      <c r="T185" s="213" t="s">
        <v>198</v>
      </c>
      <c r="U185" s="291">
        <f>((($I$134*$G$134)+($I$136*$G$136)+($I$139*$G$139))/1000)*$J$120</f>
        <v>9.2579999999999991</v>
      </c>
      <c r="V185" s="291">
        <v>300</v>
      </c>
      <c r="W185" s="292">
        <f>ROUNDUP((U185)/V185,0)</f>
        <v>1</v>
      </c>
    </row>
    <row r="186" spans="1:23" s="1" customFormat="1" ht="18" customHeight="1">
      <c r="A186" s="201">
        <f t="shared" si="34"/>
        <v>13</v>
      </c>
      <c r="B186" s="140" t="s">
        <v>112</v>
      </c>
      <c r="C186" s="140" t="s">
        <v>114</v>
      </c>
      <c r="D186" s="128" t="s">
        <v>520</v>
      </c>
      <c r="E186" s="129"/>
      <c r="F186" s="129" t="s">
        <v>520</v>
      </c>
      <c r="G186" s="143" t="s">
        <v>202</v>
      </c>
      <c r="H186" s="143">
        <v>4</v>
      </c>
      <c r="I186" s="130"/>
      <c r="J186" s="131">
        <f t="shared" si="32"/>
        <v>4</v>
      </c>
      <c r="N186" s="101" t="s">
        <v>241</v>
      </c>
      <c r="O186" s="290" t="s">
        <v>235</v>
      </c>
      <c r="P186" s="290" t="s">
        <v>238</v>
      </c>
      <c r="Q186" s="280" t="s">
        <v>71</v>
      </c>
      <c r="R186" s="213"/>
      <c r="S186" s="213" t="s">
        <v>71</v>
      </c>
      <c r="T186" s="213" t="s">
        <v>198</v>
      </c>
      <c r="U186" s="291">
        <f>((($I$134*$G$134)+($I$136*$G$136)+($I$139*$G$139))/1000)*$J$120</f>
        <v>9.2579999999999991</v>
      </c>
      <c r="V186" s="291">
        <v>100</v>
      </c>
      <c r="W186" s="292">
        <f t="shared" ref="W186:W188" si="35">ROUNDUP((U186)/V186,0)</f>
        <v>1</v>
      </c>
    </row>
    <row r="187" spans="1:23" s="1" customFormat="1" ht="18" customHeight="1">
      <c r="A187" s="201">
        <f t="shared" si="34"/>
        <v>14</v>
      </c>
      <c r="B187" s="140" t="s">
        <v>115</v>
      </c>
      <c r="C187" s="140" t="s">
        <v>45</v>
      </c>
      <c r="D187" s="139" t="s">
        <v>84</v>
      </c>
      <c r="E187" s="143"/>
      <c r="F187" s="143" t="s">
        <v>84</v>
      </c>
      <c r="G187" s="143" t="s">
        <v>202</v>
      </c>
      <c r="H187" s="143">
        <v>1</v>
      </c>
      <c r="I187" s="130"/>
      <c r="J187" s="131">
        <f>$J$120*H187</f>
        <v>1</v>
      </c>
      <c r="N187" s="101" t="s">
        <v>240</v>
      </c>
      <c r="O187" s="290" t="s">
        <v>245</v>
      </c>
      <c r="P187" s="290" t="s">
        <v>237</v>
      </c>
      <c r="Q187" s="280" t="s">
        <v>72</v>
      </c>
      <c r="R187" s="213"/>
      <c r="S187" s="213" t="s">
        <v>72</v>
      </c>
      <c r="T187" s="213" t="s">
        <v>198</v>
      </c>
      <c r="U187" s="291">
        <f>((($I$141*$G$141*2)+($I$143*$G$143*2)+($I$144*$G$144))/1000)*$J$120</f>
        <v>53.657499999999999</v>
      </c>
      <c r="V187" s="291">
        <v>350</v>
      </c>
      <c r="W187" s="292">
        <f t="shared" si="35"/>
        <v>1</v>
      </c>
    </row>
    <row r="188" spans="1:23" s="1" customFormat="1" ht="18" customHeight="1">
      <c r="A188" s="201">
        <f t="shared" si="34"/>
        <v>15</v>
      </c>
      <c r="B188" s="140" t="s">
        <v>110</v>
      </c>
      <c r="C188" s="140" t="s">
        <v>66</v>
      </c>
      <c r="D188" s="139" t="s">
        <v>128</v>
      </c>
      <c r="E188" s="143"/>
      <c r="F188" s="143" t="s">
        <v>128</v>
      </c>
      <c r="G188" s="143" t="s">
        <v>202</v>
      </c>
      <c r="H188" s="143">
        <v>1</v>
      </c>
      <c r="I188" s="130"/>
      <c r="J188" s="131">
        <f t="shared" ref="J188:J189" si="36">$J$120*H188</f>
        <v>1</v>
      </c>
      <c r="N188" s="101" t="s">
        <v>241</v>
      </c>
      <c r="O188" s="290" t="s">
        <v>246</v>
      </c>
      <c r="P188" s="290" t="s">
        <v>239</v>
      </c>
      <c r="Q188" s="280" t="s">
        <v>193</v>
      </c>
      <c r="R188" s="213"/>
      <c r="S188" s="213" t="s">
        <v>193</v>
      </c>
      <c r="T188" s="213" t="s">
        <v>198</v>
      </c>
      <c r="U188" s="291">
        <f>((($I$141*$G$141*2)+($I$143*$G$143*2)+($I$144*$G$144))/1000)*$J$120</f>
        <v>53.657499999999999</v>
      </c>
      <c r="V188" s="291">
        <v>100</v>
      </c>
      <c r="W188" s="292">
        <f t="shared" si="35"/>
        <v>1</v>
      </c>
    </row>
    <row r="189" spans="1:23" s="1" customFormat="1" ht="18" customHeight="1">
      <c r="A189" s="201">
        <f t="shared" si="34"/>
        <v>16</v>
      </c>
      <c r="B189" s="140" t="s">
        <v>110</v>
      </c>
      <c r="C189" s="140" t="s">
        <v>66</v>
      </c>
      <c r="D189" s="139" t="s">
        <v>73</v>
      </c>
      <c r="E189" s="143"/>
      <c r="F189" s="143" t="s">
        <v>73</v>
      </c>
      <c r="G189" s="143" t="s">
        <v>202</v>
      </c>
      <c r="H189" s="143">
        <v>2</v>
      </c>
      <c r="I189" s="130"/>
      <c r="J189" s="131">
        <f t="shared" si="36"/>
        <v>2</v>
      </c>
    </row>
    <row r="190" spans="1:23" s="1" customFormat="1" ht="18" customHeight="1">
      <c r="A190" s="201">
        <f t="shared" si="34"/>
        <v>17</v>
      </c>
      <c r="B190" s="140" t="s">
        <v>647</v>
      </c>
      <c r="C190" s="140" t="s">
        <v>127</v>
      </c>
      <c r="D190" s="139" t="s">
        <v>126</v>
      </c>
      <c r="E190" s="143"/>
      <c r="F190" s="143" t="s">
        <v>126</v>
      </c>
      <c r="G190" s="143" t="s">
        <v>185</v>
      </c>
      <c r="H190" s="143">
        <v>1</v>
      </c>
      <c r="I190" s="130"/>
      <c r="J190" s="131">
        <f>$J$120*H190</f>
        <v>1</v>
      </c>
    </row>
    <row r="191" spans="1:23" s="1" customFormat="1" ht="18" customHeight="1">
      <c r="A191" s="201">
        <f t="shared" si="34"/>
        <v>18</v>
      </c>
      <c r="B191" s="140" t="s">
        <v>648</v>
      </c>
      <c r="C191" s="140" t="s">
        <v>127</v>
      </c>
      <c r="D191" s="139" t="s">
        <v>521</v>
      </c>
      <c r="E191" s="143"/>
      <c r="F191" s="143" t="s">
        <v>521</v>
      </c>
      <c r="G191" s="143" t="s">
        <v>185</v>
      </c>
      <c r="H191" s="143">
        <v>1</v>
      </c>
      <c r="I191" s="130"/>
      <c r="J191" s="131">
        <f t="shared" ref="J191" si="37">$J$120*H191</f>
        <v>1</v>
      </c>
    </row>
    <row r="192" spans="1:23" s="1" customFormat="1" ht="18" customHeight="1">
      <c r="A192" s="201">
        <f t="shared" si="34"/>
        <v>19</v>
      </c>
      <c r="B192" s="140" t="s">
        <v>512</v>
      </c>
      <c r="C192" s="140" t="s">
        <v>135</v>
      </c>
      <c r="D192" s="139" t="s">
        <v>137</v>
      </c>
      <c r="E192" s="143"/>
      <c r="F192" s="143" t="s">
        <v>137</v>
      </c>
      <c r="G192" s="143" t="s">
        <v>198</v>
      </c>
      <c r="H192" s="261">
        <f>((($I$148*$G$148)+($I$149*$G$149))/1000)*$J$120</f>
        <v>4.8159999999999998</v>
      </c>
      <c r="I192" s="258">
        <v>100</v>
      </c>
      <c r="J192" s="267">
        <f t="shared" ref="J192:J197" si="38">ROUNDUP((H192)/100,0)</f>
        <v>1</v>
      </c>
    </row>
    <row r="193" spans="1:24" s="1" customFormat="1" ht="18" customHeight="1">
      <c r="A193" s="201">
        <f t="shared" si="34"/>
        <v>20</v>
      </c>
      <c r="B193" s="140" t="s">
        <v>513</v>
      </c>
      <c r="C193" s="140" t="s">
        <v>136</v>
      </c>
      <c r="D193" s="139" t="s">
        <v>138</v>
      </c>
      <c r="E193" s="143"/>
      <c r="F193" s="143" t="s">
        <v>138</v>
      </c>
      <c r="G193" s="143" t="s">
        <v>198</v>
      </c>
      <c r="H193" s="261">
        <f>((($I$144*$G$144)+($I$145*$G$145))/1000)*$J$120</f>
        <v>7.2240000000000002</v>
      </c>
      <c r="I193" s="258">
        <v>100</v>
      </c>
      <c r="J193" s="267">
        <f t="shared" si="38"/>
        <v>1</v>
      </c>
    </row>
    <row r="194" spans="1:24" ht="18" customHeight="1">
      <c r="A194" s="201">
        <f t="shared" si="34"/>
        <v>21</v>
      </c>
      <c r="B194" s="139" t="str">
        <f>IF($D$129="Standard",$O$185,IF($D$129="Soumdproof",$O$186,))</f>
        <v>ยางเฟรมกันน้ำ (ธรรมดา)</v>
      </c>
      <c r="C194" s="139" t="str">
        <f>IF($D$129="Standard",$P$185,IF($D$129="Soumdproof",$P$186,))</f>
        <v>FRAME SEAL (Standard)</v>
      </c>
      <c r="D194" s="139" t="str">
        <f>IF($D$129="Standard",$Q$185,IF($D$129="Soumdproof",$Q$186,))</f>
        <v>02-026</v>
      </c>
      <c r="E194" s="143">
        <f>IF($D$129="Standard",R190,IF($D$129="Soumdproof",R191,))</f>
        <v>0</v>
      </c>
      <c r="F194" s="143" t="str">
        <f>IF($D$129="Standard",$S$185,IF($D$129="Soumdproof",$S$186,))</f>
        <v>02-026</v>
      </c>
      <c r="G194" s="143" t="str">
        <f>IF($D$129="Standard",$T$185,IF($D$129="Soumdproof",$T$186,))</f>
        <v>M</v>
      </c>
      <c r="H194" s="261">
        <f>IF($D$129="Standard",$U$185,IF($D$129="Soumdproof",$U$186,))</f>
        <v>9.2579999999999991</v>
      </c>
      <c r="I194" s="258">
        <f>IF($D$129="Standard",$V$185,IF($D$129="Soumdproof",$V$186,))</f>
        <v>300</v>
      </c>
      <c r="J194" s="267">
        <f t="shared" si="38"/>
        <v>1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s="1" customFormat="1" ht="18" customHeight="1">
      <c r="A195" s="201">
        <f t="shared" si="34"/>
        <v>22</v>
      </c>
      <c r="B195" s="139" t="str">
        <f>IF($D$129="Standard",$O$187,IF($D$129="Soumdproof",$O$188,))</f>
        <v>ยางแซชกันน้ำ (ธรรมดา)</v>
      </c>
      <c r="C195" s="139" t="str">
        <f>IF($D$129="Standard",$P$187,IF($D$129="Soumdproof",$P$188,))</f>
        <v>SASH SEAL FOAM (Standard)</v>
      </c>
      <c r="D195" s="139" t="str">
        <f>IF($D$129="Standard",$Q$187,IF($D$129="Soumdproof",$Q$188,))</f>
        <v>02-031</v>
      </c>
      <c r="E195" s="143">
        <f>IF($D$129="Standard",R192,IF($D$129="Soumdproof",R193,))</f>
        <v>0</v>
      </c>
      <c r="F195" s="143" t="str">
        <f>IF($D$129="Standard",$S$187,IF($D$129="Soumdproof",$S$188,))</f>
        <v>02-031</v>
      </c>
      <c r="G195" s="143" t="str">
        <f>IF($D$129="Standard",$T$187,IF($D$129="Soumdproof",$T$188,))</f>
        <v>M</v>
      </c>
      <c r="H195" s="261">
        <f>IF($D$129="Standard",$U$187,IF($D$129="Soumdproof",$U$188,))</f>
        <v>53.657499999999999</v>
      </c>
      <c r="I195" s="258">
        <f>IF($D$129="Standard",$V$187,IF($D$129="Soumdproof",$V$188,))</f>
        <v>350</v>
      </c>
      <c r="J195" s="267">
        <f t="shared" si="38"/>
        <v>1</v>
      </c>
    </row>
    <row r="196" spans="1:24" s="1" customFormat="1" ht="18" customHeight="1">
      <c r="A196" s="201">
        <f t="shared" si="34"/>
        <v>23</v>
      </c>
      <c r="B196" s="241" t="str">
        <f>IF($D$127=5,$O$176,IF($D$127=6,$O$177,IF($D$127=8,$O$178,IF($D$127=10,$O$176,IF($D$127=12,$O$176,IF($D$127=14,$O$178,IF($D$127=18,$O$176,IF($D$127=20,$O$177,IF($D$127=22,"")))))))))</f>
        <v>6,20 mm ยางอัดกระจก</v>
      </c>
      <c r="C196" s="241" t="str">
        <f>IF($D$127=5,$P$176,IF($D$127=6,$P$177,IF($D$127=8,$P$178,IF($D$127=10,$P$176,IF($D$127=12,$P$176,IF($D$127=14,$P$178,IF($D$127=18,$P$176,IF($D$127=20,$P$177,IF($D$127=22,"")))))))))</f>
        <v>6,20 mm ROLL IN WEDGE</v>
      </c>
      <c r="D196" s="241" t="str">
        <f>IF($D$127=5,$Q$176,IF($D$127=6,$Q$177,IF($D$127=8,$Q$178,IF($D$127=10,$Q$176,IF($D$127=12,$Q$176,IF($D$127=14,$Q$178,IF($D$127=18,$Q$176,IF($D$127=20,$Q$177,IF($D$127=22,"")))))))))</f>
        <v>02-034</v>
      </c>
      <c r="E196" s="241">
        <f>IF($D$127=5,R181,IF($D$127=6,R182,IF($D$127=8,R183,IF($D$127=10,R181,IF($D$127=12,R181,IF($D$127=14,R183,IF($D$127=18,R181,IF($D$127=20,R182,IF($D$127=22,"",)))))))))</f>
        <v>0</v>
      </c>
      <c r="F196" s="242" t="str">
        <f>IF($D$127=5,$S$176,IF($D$127=6,$S$177,IF($D$127=8,$S$178,IF($D$127=10,$S$176,IF($D$127=12,$S$176,IF($D$127=14,$S$178,IF($D$127=18,$S$176,IF($D$127=20,$S$177,IF($D$127=22,"")))))))))</f>
        <v>02-034</v>
      </c>
      <c r="G196" s="242" t="str">
        <f>IF($D$127=5,$T$176,IF($D$127=6,$T$177,IF($D$127=8,$T$178,IF($D$127=10,$T$176,IF($D$127=12,$T$176,IF($D$127=14,$T$178,IF($D$127=18,$T$176,IF($D$127=20,$T$177,IF($D$127=22,"")))))))))</f>
        <v>M</v>
      </c>
      <c r="H196" s="261">
        <f>IF($D$127=5,$U$176,IF($D$127=6,$U$177,IF($D$127=8,$U$178,IF($D$127=10,$U$176*2,IF($D$127=12,$U$176,IF($D$127=14,$U$178*2,IF($D$127=18,$U$176,IF($D$127=20,$U$177,IF($D$127=22,"")))))))))</f>
        <v>34.393500000000003</v>
      </c>
      <c r="I196" s="258">
        <f>IF($D$127=5,$V$176,IF($D$127=6,$V$177,IF($D$127=8,$V$178,IF($D$127=10,$V$176,IF($D$127=12,$V$176,IF($D$127=14,$V$178,IF($D$127=18,$V$176,IF($D$127=20,$V$177,IF($D$127=22,"")))))))))</f>
        <v>100</v>
      </c>
      <c r="J196" s="267">
        <f t="shared" si="38"/>
        <v>1</v>
      </c>
    </row>
    <row r="197" spans="1:24" s="1" customFormat="1" ht="18" customHeight="1">
      <c r="A197" s="201">
        <f t="shared" si="34"/>
        <v>24</v>
      </c>
      <c r="B197" s="241" t="str">
        <f>IF($D$127=5,$O$174,IF($D$127=6,$O$174,IF($D$127=8,$O$176,IF($D$127=10,"",IF($D$127=12,$O$175,IF($D$127=14,"",IF($D$127=18,$O$174,IF($D$127=20,$O$175,IF($D$127=22,"",)))))))))</f>
        <v>5,6,18 mm ยางรองกระจก</v>
      </c>
      <c r="C197" s="241" t="str">
        <f>IF($D$127=5,$P$174,IF($D$127=6,$P$174,IF($D$127=8,$P$176,IF($D$127=10,"",IF($D$127=12,$P$175,IF($D$127=14,"",IF($D$127=18,$P$174,IF($D$127=20,$P$175,IF($D$127=22,"",)))))))))</f>
        <v>5,6,18 mm CAPTIVE WEDGE</v>
      </c>
      <c r="D197" s="241" t="str">
        <f>IF($D$127=5,$Q$174,IF($D$127=6,$Q$174,IF($D$127=8,$Q$176,IF($D$127=10,"",IF($D$127=12,$Q$175,IF($D$127=14,"",IF($D$127=18,$Q$174,IF($D$127=20,$Q$175,IF($D$127=22,"",)))))))))</f>
        <v>02-022</v>
      </c>
      <c r="E197" s="241">
        <f>IF($D$127=5,R179,IF($D$127=6,R179,IF($D$127=8,R181,IF($D$127=10,"",IF($D$127=12,R180,IF($D$127=14,"",IF($D$127=18,R179,IF($D$127=20,R180,IF($D$127=22,"",)))))))))</f>
        <v>0</v>
      </c>
      <c r="F197" s="242" t="str">
        <f>IF($D$127=5,$S$174,IF($D$127=6,$S$174,IF($D$127=8,$S$176,IF($D$127=10,"",IF($D$127=12,$S$175,IF($D$127=14,"",IF($D$127=18,$S$174,IF($D$127=20,$S$175,IF($D$127=22,"",)))))))))</f>
        <v>02-022</v>
      </c>
      <c r="G197" s="242" t="str">
        <f>IF($D$127=5,$T$174,IF($D$127=6,$T$174,IF($D$127=8,$T$176,IF($D$127=10,"",IF($D$127=12,$T$175,IF($D$127=14,"",IF($D$127=18,$T$174,IF($D$127=20,$T$175,IF($D$127=22,"",)))))))))</f>
        <v>M</v>
      </c>
      <c r="H197" s="261">
        <f>IF($D$127=5,$U$174,IF($D$127=6,$U$174,IF($D$127=8,$U$176,IF($D$127=10,"",IF($D$127=12,$U$175,IF($D$127=14,"",IF($D$127=18,$U$174,IF($D$127=20,$U$175,IF($D$127=22,"")))))))))</f>
        <v>34.393500000000003</v>
      </c>
      <c r="I197" s="258">
        <f>IF($D$127=5,$V$174,IF($D$127=6,$V$174,IF($D$127=8,$V$176,IF($D$127=10,"",IF($D$127=12,$V$175,IF($D$127=14,"",IF($D$127=18,$V$174,IF($D$127=20,$V$175,IF($D$127=22,"",)))))))))</f>
        <v>100</v>
      </c>
      <c r="J197" s="267">
        <f t="shared" si="38"/>
        <v>1</v>
      </c>
    </row>
    <row r="198" spans="1:24" s="1" customFormat="1" ht="18" customHeight="1">
      <c r="A198" s="201" t="str">
        <f t="shared" si="34"/>
        <v/>
      </c>
      <c r="B198" s="140"/>
      <c r="C198" s="140"/>
      <c r="D198" s="139"/>
      <c r="E198" s="143"/>
      <c r="F198" s="143"/>
      <c r="G198" s="143"/>
      <c r="H198" s="143"/>
      <c r="I198" s="130"/>
      <c r="J198" s="131"/>
    </row>
    <row r="199" spans="1:24" s="1" customFormat="1" ht="18" customHeight="1">
      <c r="A199" s="201" t="str">
        <f t="shared" si="34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 t="shared" si="32"/>
        <v>0</v>
      </c>
    </row>
    <row r="200" spans="1:24" s="1" customFormat="1" ht="18" customHeight="1">
      <c r="A200" s="201" t="str">
        <f t="shared" si="34"/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ref="J200:J205" si="39">$J$120*H200</f>
        <v>0</v>
      </c>
    </row>
    <row r="201" spans="1:24" s="1" customFormat="1" ht="18" customHeight="1">
      <c r="A201" s="201" t="str">
        <f t="shared" si="34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si="39"/>
        <v>0</v>
      </c>
    </row>
    <row r="202" spans="1:24" s="1" customFormat="1" ht="18" customHeight="1">
      <c r="A202" s="201" t="str">
        <f t="shared" si="34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si="39"/>
        <v>0</v>
      </c>
    </row>
    <row r="203" spans="1:24" s="1" customFormat="1" ht="18" customHeight="1">
      <c r="A203" s="201" t="str">
        <f t="shared" si="34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si="39"/>
        <v>0</v>
      </c>
    </row>
    <row r="204" spans="1:24" s="1" customFormat="1" ht="18" customHeight="1">
      <c r="A204" s="201" t="str">
        <f t="shared" si="34"/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 t="shared" si="39"/>
        <v>0</v>
      </c>
    </row>
    <row r="205" spans="1:24" s="1" customFormat="1" ht="18" customHeight="1">
      <c r="A205" s="317" t="str">
        <f>IF(B205="","",+#REF!+1)</f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 t="shared" si="39"/>
        <v>0</v>
      </c>
    </row>
    <row r="206" spans="1:24" ht="18" customHeight="1">
      <c r="A206" s="25"/>
      <c r="B206" s="161"/>
      <c r="C206" s="33"/>
      <c r="D206" s="30"/>
      <c r="E206" s="17"/>
      <c r="F206" s="30"/>
      <c r="G206" s="30"/>
      <c r="H206" s="161"/>
      <c r="I206" s="24"/>
      <c r="J206" s="24"/>
    </row>
    <row r="207" spans="1:24" ht="12.75" customHeight="1">
      <c r="A207" s="17"/>
      <c r="J207" s="99" t="str">
        <f>LEFT($J$111,13)&amp;"-02"</f>
        <v>FG-240-6P5L1R-02</v>
      </c>
      <c r="K207" s="7"/>
      <c r="L207" s="7"/>
      <c r="M207" s="2"/>
      <c r="N207" s="2"/>
    </row>
    <row r="208" spans="1:24" ht="30" customHeight="1">
      <c r="B208" s="56"/>
      <c r="C208" s="56"/>
      <c r="D208" s="30"/>
      <c r="E208" s="17"/>
      <c r="F208" s="17"/>
      <c r="G208" s="17"/>
      <c r="H208" s="17"/>
      <c r="K208" s="11"/>
      <c r="L208" s="11"/>
      <c r="M208" s="2"/>
      <c r="N208" s="2"/>
    </row>
    <row r="209" spans="1:14" ht="24.9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217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48"/>
      <c r="L210" s="48"/>
      <c r="M210" s="4"/>
      <c r="N210" s="4"/>
    </row>
    <row r="211" spans="1:14" s="1" customFormat="1" ht="15" customHeight="1">
      <c r="A211"/>
      <c r="B211" s="217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"/>
      <c r="L211" s="4"/>
      <c r="M211" s="4"/>
      <c r="N211" s="4"/>
    </row>
    <row r="212" spans="1:14" s="1" customFormat="1" ht="24.9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56"/>
      <c r="L212" s="56"/>
      <c r="M212" s="56"/>
      <c r="N212" s="56"/>
    </row>
    <row r="213" spans="1:14" ht="20.399999999999999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</row>
    <row r="214" spans="1:14" s="1" customFormat="1" ht="15" customHeight="1">
      <c r="A214"/>
      <c r="B214"/>
      <c r="C214"/>
      <c r="D214" s="81"/>
      <c r="E214"/>
      <c r="F214"/>
      <c r="G214"/>
      <c r="H214"/>
      <c r="I214"/>
      <c r="J214" s="112"/>
    </row>
    <row r="215" spans="1:14" s="1" customFormat="1" ht="15" customHeight="1">
      <c r="A215" s="93"/>
      <c r="B215"/>
      <c r="C215"/>
      <c r="D215" s="81"/>
      <c r="E215"/>
      <c r="F215"/>
      <c r="G215"/>
      <c r="H215"/>
      <c r="I215" s="160"/>
      <c r="J215" s="116"/>
    </row>
    <row r="216" spans="1:14" s="1" customFormat="1" ht="15" customHeight="1">
      <c r="A216" s="17"/>
      <c r="B216" s="93"/>
      <c r="C216" s="56"/>
      <c r="D216" s="30"/>
      <c r="E216" s="29"/>
      <c r="F216" s="160"/>
      <c r="G216" s="160"/>
      <c r="H216" s="160"/>
      <c r="J216" s="17"/>
    </row>
    <row r="217" spans="1:14" s="1" customFormat="1" ht="15.6">
      <c r="A217" s="17"/>
      <c r="B217" s="56"/>
      <c r="C217" s="328"/>
      <c r="D217" s="30"/>
      <c r="E217" s="29"/>
      <c r="F217" s="30"/>
      <c r="J217" s="17"/>
    </row>
    <row r="218" spans="1:14" s="1" customFormat="1" ht="15" customHeight="1">
      <c r="A218" s="109"/>
      <c r="B218" s="33"/>
      <c r="C218" s="327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368</v>
      </c>
      <c r="D220" s="30"/>
      <c r="E220" s="29"/>
      <c r="F220" s="30"/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89"/>
      <c r="J221" s="12"/>
    </row>
    <row r="222" spans="1:14" s="1" customFormat="1" ht="15" customHeight="1">
      <c r="A222" s="109"/>
      <c r="B222" s="33"/>
      <c r="C222" s="327" t="s">
        <v>273</v>
      </c>
      <c r="D222" s="161"/>
      <c r="E222" s="109"/>
      <c r="F222" s="161"/>
      <c r="J222" s="12"/>
    </row>
    <row r="223" spans="1:14" s="1" customFormat="1" ht="15" customHeight="1">
      <c r="A223" s="109"/>
      <c r="B223" s="33"/>
      <c r="C223" s="374">
        <f>$I$133</f>
        <v>3440</v>
      </c>
      <c r="D223" s="161"/>
      <c r="E223" s="35"/>
      <c r="F223" s="161"/>
      <c r="G223" s="68"/>
      <c r="J223" s="12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326"/>
      <c r="I224" s="109"/>
      <c r="J224" s="109"/>
    </row>
    <row r="225" spans="1:10" s="1" customFormat="1" ht="15.9" customHeight="1">
      <c r="A225" s="109"/>
      <c r="B225" s="33"/>
      <c r="D225" s="161"/>
      <c r="E225" s="109"/>
      <c r="F225" s="161"/>
      <c r="G225" s="326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327"/>
      <c r="D229" s="161"/>
      <c r="E229" s="109"/>
      <c r="F229" s="161"/>
      <c r="H229" s="109"/>
      <c r="I229" s="216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216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216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216"/>
      <c r="J232" s="117"/>
    </row>
    <row r="233" spans="1:10" s="1" customFormat="1" ht="15.9" customHeight="1">
      <c r="A233" s="44"/>
      <c r="B233" s="44"/>
      <c r="C233" s="89" t="s">
        <v>381</v>
      </c>
      <c r="D233" s="84"/>
      <c r="E233" s="44"/>
      <c r="F233" s="44"/>
      <c r="G233" s="109"/>
      <c r="H233" s="109"/>
      <c r="I233" s="216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3414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216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16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109"/>
      <c r="J242" s="24"/>
    </row>
    <row r="243" spans="1:10" s="1" customFormat="1" ht="15.9" customHeight="1">
      <c r="A243" s="109"/>
      <c r="B243" s="33"/>
      <c r="C243" s="89" t="s">
        <v>370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.9" customHeight="1">
      <c r="A245" s="109"/>
      <c r="B245" s="33"/>
      <c r="C245" s="327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3440</v>
      </c>
      <c r="D246" s="161"/>
      <c r="E246" s="109"/>
      <c r="F246" s="161"/>
      <c r="G246" s="109"/>
      <c r="H246" s="109"/>
      <c r="I246" s="44"/>
      <c r="J246" s="119"/>
    </row>
    <row r="247" spans="1:10" s="1" customFormat="1" ht="15.9" customHeight="1">
      <c r="A247" s="109"/>
      <c r="B247" s="33"/>
      <c r="C247" s="363">
        <f>$J$135</f>
        <v>1</v>
      </c>
      <c r="D247" s="161"/>
      <c r="E247" s="109"/>
      <c r="F247" s="161"/>
      <c r="G247" s="109"/>
      <c r="H247" s="109"/>
      <c r="I247" s="32"/>
      <c r="J247" s="40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0"/>
      <c r="H251" s="109"/>
      <c r="I251" s="24"/>
      <c r="J251" s="24"/>
    </row>
    <row r="252" spans="1:10" s="1" customFormat="1" ht="15.9" customHeight="1">
      <c r="A252" s="109"/>
      <c r="B252" s="33"/>
      <c r="D252" s="161"/>
      <c r="E252" s="109"/>
      <c r="F252" s="109"/>
      <c r="G252" s="109"/>
      <c r="H252" s="109"/>
      <c r="I252" s="24"/>
      <c r="J252" s="24"/>
    </row>
    <row r="253" spans="1:10" s="1" customFormat="1" ht="15.9" customHeight="1">
      <c r="A253" s="44"/>
      <c r="B253" s="44"/>
      <c r="D253" s="84"/>
      <c r="E253" s="44"/>
      <c r="F253" s="44"/>
      <c r="G253" s="109"/>
      <c r="H253" s="109"/>
      <c r="I253" s="24"/>
      <c r="J253" s="24"/>
    </row>
    <row r="254" spans="1:10" s="1" customFormat="1" ht="15.9" customHeight="1">
      <c r="A254" s="40"/>
      <c r="B254" s="40"/>
      <c r="C254" s="89" t="s">
        <v>371</v>
      </c>
      <c r="D254" s="85"/>
      <c r="E254" s="40"/>
      <c r="F254" s="32"/>
      <c r="G254" s="109"/>
      <c r="I254" s="24"/>
      <c r="J254" s="24"/>
    </row>
    <row r="255" spans="1:10" s="1" customFormat="1" ht="15.9" customHeight="1">
      <c r="A255" s="27"/>
      <c r="B255" s="33"/>
      <c r="C255" s="328" t="s">
        <v>275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27" t="s">
        <v>273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74">
        <f>$I$136</f>
        <v>3440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63">
        <f>$J$136</f>
        <v>1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46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161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89" t="s">
        <v>388</v>
      </c>
      <c r="D264" s="161"/>
      <c r="E264" s="109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8" t="s">
        <v>372</v>
      </c>
      <c r="D265" s="328"/>
      <c r="E265" s="328"/>
      <c r="F265" s="109"/>
      <c r="G265" s="109"/>
      <c r="H265" s="109"/>
      <c r="I265" s="24"/>
      <c r="J265" s="24"/>
    </row>
    <row r="266" spans="1:10" s="1" customFormat="1" ht="15.9" customHeight="1">
      <c r="A266" s="27"/>
      <c r="B266" s="33"/>
      <c r="C266" s="327" t="s">
        <v>279</v>
      </c>
      <c r="D266" s="327"/>
      <c r="E266" s="327"/>
      <c r="F266" s="109"/>
      <c r="G266" s="109"/>
      <c r="H266" s="109"/>
      <c r="J266" s="12"/>
    </row>
    <row r="267" spans="1:10" s="1" customFormat="1" ht="15.9" customHeight="1">
      <c r="A267" s="27"/>
      <c r="B267" s="33"/>
      <c r="C267" s="374">
        <f>$I$137</f>
        <v>2500</v>
      </c>
      <c r="D267" s="161"/>
      <c r="E267" s="109"/>
      <c r="F267" s="109"/>
      <c r="G267" s="33"/>
      <c r="H267" s="33"/>
      <c r="J267" s="12"/>
    </row>
    <row r="268" spans="1:10" s="1" customFormat="1" ht="15.9" customHeight="1">
      <c r="A268" s="27"/>
      <c r="B268" s="33"/>
      <c r="C268" s="363">
        <f>$J$137+$J$138</f>
        <v>2</v>
      </c>
      <c r="D268" s="161"/>
      <c r="E268" s="10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D271" s="328"/>
      <c r="E271" s="328"/>
      <c r="F271" s="109"/>
      <c r="G271" s="109"/>
      <c r="H271" s="109"/>
      <c r="J271" s="12"/>
    </row>
    <row r="272" spans="1:10" s="1" customFormat="1" ht="15.9" customHeight="1">
      <c r="A272" s="27"/>
      <c r="B272" s="33"/>
      <c r="D272" s="328"/>
      <c r="E272" s="328"/>
      <c r="F272" s="109"/>
      <c r="G272" s="109"/>
      <c r="I272" s="24"/>
      <c r="J272" s="24"/>
    </row>
    <row r="273" spans="1:10" s="1" customFormat="1" ht="15.9" customHeight="1">
      <c r="A273" s="27"/>
      <c r="B273" s="33"/>
      <c r="C273" s="33"/>
      <c r="D273" s="161"/>
      <c r="E273" s="109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89" t="s">
        <v>374</v>
      </c>
      <c r="D274" s="162"/>
      <c r="E274" s="24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328" t="s">
        <v>649</v>
      </c>
      <c r="D275" s="328"/>
      <c r="E275" s="328"/>
      <c r="F275" s="109"/>
      <c r="G275" s="109"/>
      <c r="I275" s="109"/>
      <c r="J275" s="24"/>
    </row>
    <row r="276" spans="1:10" s="1" customFormat="1" ht="15.9" customHeight="1">
      <c r="A276" s="27"/>
      <c r="B276" s="33"/>
      <c r="C276" s="433" t="s">
        <v>650</v>
      </c>
      <c r="D276" s="327"/>
      <c r="E276" s="327"/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374">
        <f>$I$139</f>
        <v>2404</v>
      </c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363">
        <f>$J$139+$J$140</f>
        <v>2</v>
      </c>
      <c r="F278" s="109"/>
      <c r="G278" s="109"/>
      <c r="I278" s="109"/>
      <c r="J278" s="24"/>
    </row>
    <row r="279" spans="1:10" s="1" customFormat="1" ht="15.9" customHeight="1">
      <c r="A279" s="27"/>
      <c r="B279" s="33"/>
      <c r="F279" s="109"/>
      <c r="G279" s="109"/>
      <c r="H279" s="109"/>
      <c r="J279" s="12"/>
    </row>
    <row r="280" spans="1:10" s="1" customFormat="1" ht="15.9" customHeight="1">
      <c r="A280" s="27"/>
      <c r="B280" s="33"/>
      <c r="C280" s="33"/>
      <c r="D280" s="161"/>
      <c r="E280" s="109"/>
      <c r="F280" s="109"/>
      <c r="G280" s="109"/>
      <c r="H280" s="109"/>
      <c r="J280" s="12"/>
    </row>
    <row r="281" spans="1:10" s="1" customFormat="1" ht="15.9" customHeight="1">
      <c r="A281" s="27"/>
      <c r="B281" s="33"/>
      <c r="F281" s="109"/>
      <c r="G281" s="109"/>
      <c r="H281" s="109"/>
      <c r="J281" s="12"/>
    </row>
    <row r="282" spans="1:10" s="1" customFormat="1" ht="15.9" customHeight="1">
      <c r="A282" s="27"/>
      <c r="B282" s="33"/>
      <c r="F282" s="109"/>
      <c r="G282" s="109"/>
      <c r="H282" s="109"/>
      <c r="I282" s="162"/>
      <c r="J282" s="24"/>
    </row>
    <row r="283" spans="1:10" s="1" customFormat="1" ht="15.9" customHeight="1">
      <c r="A283" s="27"/>
      <c r="B283" s="33"/>
      <c r="C283" s="89" t="s">
        <v>375</v>
      </c>
      <c r="F283" s="109"/>
      <c r="G283" s="109"/>
      <c r="H283" s="109"/>
      <c r="I283" s="109"/>
      <c r="J283" s="24"/>
    </row>
    <row r="284" spans="1:10" s="1" customFormat="1" ht="15.9" customHeight="1">
      <c r="A284" s="27"/>
      <c r="B284" s="33"/>
      <c r="C284" s="94" t="s">
        <v>451</v>
      </c>
      <c r="D284" s="161"/>
      <c r="E284" s="109"/>
      <c r="F284" s="109"/>
      <c r="G284" s="109"/>
      <c r="H284" s="109"/>
      <c r="I284" s="24"/>
      <c r="J284" s="24"/>
    </row>
    <row r="285" spans="1:10" s="1" customFormat="1" ht="15.9" customHeight="1">
      <c r="A285" s="27"/>
      <c r="B285" s="33"/>
      <c r="C285" s="327" t="s">
        <v>452</v>
      </c>
      <c r="D285" s="161"/>
      <c r="E285" s="109"/>
      <c r="F285" s="109"/>
      <c r="G285" s="109"/>
      <c r="H285" s="109"/>
      <c r="I285" s="24"/>
      <c r="J285" s="24"/>
    </row>
    <row r="286" spans="1:10" s="23" customFormat="1" ht="15.9" customHeight="1">
      <c r="A286" s="27"/>
      <c r="B286" s="33"/>
      <c r="C286" s="328" t="s">
        <v>281</v>
      </c>
      <c r="D286" s="328"/>
      <c r="E286" s="328"/>
      <c r="F286" s="109"/>
      <c r="G286" s="109"/>
      <c r="H286" s="1"/>
      <c r="I286" s="24"/>
      <c r="J286" s="24"/>
    </row>
    <row r="287" spans="1:10" s="1" customFormat="1" ht="15.9" customHeight="1">
      <c r="A287" s="27"/>
      <c r="B287" s="33"/>
      <c r="C287" s="327" t="s">
        <v>282</v>
      </c>
      <c r="D287" s="327"/>
      <c r="E287" s="327"/>
      <c r="F287" s="109"/>
      <c r="G287" s="109"/>
      <c r="I287" s="109"/>
      <c r="J287" s="109"/>
    </row>
    <row r="288" spans="1:10" s="1" customFormat="1" ht="15.9" customHeight="1">
      <c r="A288" s="27"/>
      <c r="B288" s="33"/>
      <c r="C288" s="374">
        <f>$I$141</f>
        <v>458.125</v>
      </c>
      <c r="F288" s="109"/>
      <c r="G288" s="109"/>
      <c r="I288" s="44"/>
      <c r="J288" s="119"/>
    </row>
    <row r="289" spans="1:10" s="1" customFormat="1" ht="15.9" customHeight="1">
      <c r="A289" s="27"/>
      <c r="B289" s="33"/>
      <c r="C289" s="363">
        <f>$J$141+$J$142</f>
        <v>12</v>
      </c>
      <c r="D289" s="161"/>
      <c r="E289" s="109"/>
      <c r="F289" s="109"/>
      <c r="G289" s="109"/>
      <c r="H289" s="161"/>
      <c r="I289" s="32"/>
      <c r="J289" s="40"/>
    </row>
    <row r="290" spans="1:10" s="1" customFormat="1" ht="15.9" customHeight="1">
      <c r="A290" s="27"/>
      <c r="B290" s="33"/>
      <c r="C290" s="374">
        <f>$I$143</f>
        <v>2408</v>
      </c>
      <c r="D290" s="161"/>
      <c r="E290" s="109"/>
      <c r="F290" s="109"/>
      <c r="G290" s="109"/>
      <c r="H290" s="109"/>
      <c r="I290" s="24"/>
      <c r="J290" s="24"/>
    </row>
    <row r="291" spans="1:10" s="1" customFormat="1" ht="15.9" customHeight="1">
      <c r="A291" s="27"/>
      <c r="B291" s="33"/>
      <c r="C291" s="363">
        <f>$J$143+$J$144+$J$145</f>
        <v>12</v>
      </c>
      <c r="D291" s="161"/>
      <c r="E291" s="109"/>
      <c r="F291" s="109"/>
      <c r="G291" s="109"/>
      <c r="H291" s="109"/>
      <c r="I291" s="24"/>
      <c r="J291" s="24"/>
    </row>
    <row r="292" spans="1:10" s="1" customFormat="1" ht="15.9" customHeight="1">
      <c r="A292" s="27"/>
      <c r="B292" s="33"/>
      <c r="C292" s="33"/>
      <c r="D292" s="161"/>
      <c r="E292" s="109"/>
      <c r="F292" s="109"/>
      <c r="G292" s="109"/>
      <c r="H292" s="109"/>
      <c r="I292" s="109"/>
      <c r="J292" s="24"/>
    </row>
    <row r="293" spans="1:10" s="1" customFormat="1" ht="15.9" customHeight="1">
      <c r="A293" s="27"/>
      <c r="B293" s="33"/>
      <c r="C293" s="23"/>
      <c r="D293" s="161"/>
      <c r="E293" s="109"/>
      <c r="F293" s="109"/>
      <c r="G293" s="109"/>
      <c r="H293" s="109"/>
      <c r="I293" s="109"/>
      <c r="J293" s="24"/>
    </row>
    <row r="294" spans="1:10" s="1" customFormat="1" ht="15.9" customHeight="1">
      <c r="A294" s="27"/>
      <c r="B294" s="33"/>
      <c r="C294" s="89" t="s">
        <v>376</v>
      </c>
      <c r="D294" s="161"/>
      <c r="E294" s="109"/>
      <c r="F294" s="109"/>
      <c r="G294" s="109"/>
      <c r="H294" s="109"/>
      <c r="I294" s="109"/>
      <c r="J294" s="24"/>
    </row>
    <row r="295" spans="1:10" s="1" customFormat="1" ht="15.9" customHeight="1">
      <c r="A295" s="27"/>
      <c r="B295" s="33"/>
      <c r="C295" s="94" t="s">
        <v>451</v>
      </c>
      <c r="D295" s="161"/>
      <c r="E295" s="109"/>
      <c r="F295" s="109"/>
      <c r="G295" s="44"/>
      <c r="H295" s="44"/>
      <c r="I295" s="109"/>
      <c r="J295" s="24"/>
    </row>
    <row r="296" spans="1:10" s="1" customFormat="1" ht="15.9" customHeight="1">
      <c r="A296" s="27"/>
      <c r="B296" s="33"/>
      <c r="C296" s="327" t="s">
        <v>452</v>
      </c>
      <c r="D296" s="328"/>
      <c r="E296" s="328"/>
      <c r="F296" s="109"/>
      <c r="G296" s="40"/>
      <c r="H296" s="32"/>
      <c r="I296" s="109"/>
      <c r="J296" s="24"/>
    </row>
    <row r="297" spans="1:10" s="1" customFormat="1" ht="15.9" customHeight="1">
      <c r="A297" s="41"/>
      <c r="B297" s="33"/>
      <c r="C297" s="328" t="s">
        <v>286</v>
      </c>
      <c r="D297" s="327"/>
      <c r="E297" s="327"/>
      <c r="F297" s="109"/>
      <c r="G297" s="109"/>
      <c r="H297" s="109"/>
      <c r="I297" s="109"/>
      <c r="J297" s="24"/>
    </row>
    <row r="298" spans="1:10" s="1" customFormat="1" ht="15.9" customHeight="1">
      <c r="A298" s="44"/>
      <c r="B298" s="44"/>
      <c r="C298" s="327" t="s">
        <v>285</v>
      </c>
      <c r="D298" s="86"/>
      <c r="E298" s="79"/>
      <c r="F298" s="44"/>
      <c r="G298" s="109"/>
      <c r="H298" s="109"/>
      <c r="I298" s="109"/>
      <c r="J298" s="24"/>
    </row>
    <row r="299" spans="1:10" s="1" customFormat="1" ht="15.9" customHeight="1">
      <c r="A299" s="40"/>
      <c r="B299" s="40"/>
      <c r="C299" s="374">
        <f>$I$146</f>
        <v>458.125</v>
      </c>
      <c r="D299" s="87"/>
      <c r="E299" s="80"/>
      <c r="F299" s="32"/>
      <c r="G299" s="109"/>
      <c r="H299" s="109"/>
      <c r="I299" s="109"/>
      <c r="J299" s="24"/>
    </row>
    <row r="300" spans="1:10" s="1" customFormat="1" ht="15.9" customHeight="1">
      <c r="A300" s="109"/>
      <c r="B300" s="33"/>
      <c r="C300" s="363">
        <f>$J$146</f>
        <v>12</v>
      </c>
      <c r="D300" s="15"/>
      <c r="F300" s="109"/>
      <c r="G300" s="109"/>
      <c r="H300" s="109"/>
      <c r="I300" s="109"/>
      <c r="J300" s="24"/>
    </row>
    <row r="301" spans="1:10" s="1" customFormat="1" ht="15.9" customHeight="1">
      <c r="A301" s="109"/>
      <c r="B301" s="33"/>
      <c r="C301" s="374">
        <f>$I$147</f>
        <v>2258</v>
      </c>
      <c r="D301" s="15"/>
      <c r="F301" s="109"/>
      <c r="G301" s="109"/>
      <c r="H301" s="109"/>
      <c r="I301" s="109"/>
      <c r="J301" s="24"/>
    </row>
    <row r="302" spans="1:10" s="1" customFormat="1" ht="15.9" customHeight="1">
      <c r="A302" s="109"/>
      <c r="B302" s="33"/>
      <c r="C302" s="363">
        <f>$J$147</f>
        <v>12</v>
      </c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C305" s="89" t="s">
        <v>377</v>
      </c>
      <c r="D305" s="161"/>
      <c r="E305" s="109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C306" s="328" t="s">
        <v>281</v>
      </c>
      <c r="D306" s="328"/>
      <c r="E306" s="328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542" t="s">
        <v>282</v>
      </c>
      <c r="D307" s="542"/>
      <c r="E307" s="542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374">
        <f>$I$148</f>
        <v>2408</v>
      </c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63">
        <f>$J$148+$J$149</f>
        <v>2</v>
      </c>
      <c r="D309" s="328"/>
      <c r="E309" s="328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D310" s="15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D311" s="15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ht="12.75" customHeight="1">
      <c r="A314" s="25"/>
      <c r="B314" s="33"/>
      <c r="C314" s="1"/>
      <c r="D314" s="162"/>
      <c r="E314" s="24"/>
      <c r="F314" s="109"/>
      <c r="G314" s="109"/>
      <c r="H314" s="109"/>
      <c r="I314" s="27"/>
      <c r="J314" s="99" t="str">
        <f>LEFT($J$111,13)&amp;"-03"</f>
        <v>FG-240-6P5L1R-03</v>
      </c>
    </row>
    <row r="315" spans="1:14" ht="30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24.9" customHeight="1">
      <c r="A316" s="17"/>
      <c r="B316" s="26"/>
      <c r="C316" s="26"/>
      <c r="D316" s="83"/>
      <c r="E316" s="25"/>
      <c r="F316" s="25"/>
      <c r="G316" s="25"/>
      <c r="H316" s="25"/>
      <c r="I316" s="179"/>
      <c r="J316" s="90" t="str">
        <f>$J$2</f>
        <v>HOMELIFE</v>
      </c>
      <c r="K316" s="11"/>
      <c r="L316" s="11"/>
      <c r="M316" s="2"/>
      <c r="N316" s="2"/>
    </row>
    <row r="317" spans="1:14" ht="24.9" customHeight="1">
      <c r="B317" s="217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48"/>
      <c r="L317" s="48"/>
      <c r="M317" s="4"/>
      <c r="N317" s="4"/>
    </row>
    <row r="318" spans="1:14" s="1" customFormat="1" ht="15" customHeight="1">
      <c r="A318"/>
      <c r="B318" s="217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"/>
      <c r="L318" s="4"/>
      <c r="M318" s="4"/>
      <c r="N318" s="4"/>
    </row>
    <row r="319" spans="1:14" ht="24.9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0.399999999999999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</row>
    <row r="321" spans="1:10" s="1" customFormat="1" ht="15" customHeight="1">
      <c r="A321"/>
      <c r="B321"/>
      <c r="C321"/>
      <c r="D321" s="81"/>
      <c r="E321"/>
      <c r="F321"/>
      <c r="G321"/>
      <c r="H321"/>
      <c r="I321"/>
      <c r="J321" s="112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218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218"/>
      <c r="I331" s="161"/>
      <c r="J331" s="109"/>
    </row>
    <row r="332" spans="1:10" s="1" customFormat="1" ht="15" customHeight="1">
      <c r="A332" s="64" t="str">
        <f>A18</f>
        <v>240-6 Panel (5L1R)</v>
      </c>
      <c r="B332" s="92"/>
      <c r="C332" s="161"/>
      <c r="D332" s="161"/>
      <c r="E332" s="109"/>
      <c r="F332" s="218"/>
      <c r="G332" s="218"/>
      <c r="H332" s="218"/>
      <c r="I332" s="109"/>
      <c r="J332" s="109"/>
    </row>
    <row r="333" spans="1:10" s="1" customFormat="1" ht="15.9" customHeight="1">
      <c r="A333" s="76" t="str">
        <f>A19</f>
        <v xml:space="preserve">Outside Bi Fold Door </v>
      </c>
      <c r="B333" s="92"/>
      <c r="C333" s="161"/>
      <c r="D333" s="161"/>
      <c r="E333" s="109"/>
      <c r="F333" s="218"/>
      <c r="G333" s="218"/>
      <c r="H333" s="218"/>
      <c r="I333" s="109"/>
      <c r="J333" s="109"/>
    </row>
    <row r="334" spans="1:10" s="1" customFormat="1" ht="15.9" customHeight="1">
      <c r="A334" s="109"/>
      <c r="B334" s="45"/>
      <c r="C334" s="42"/>
      <c r="D334" s="161"/>
      <c r="E334" s="109"/>
      <c r="F334" s="507"/>
      <c r="G334" s="507"/>
      <c r="H334" s="218"/>
      <c r="I334" s="109"/>
      <c r="J334" s="109"/>
    </row>
    <row r="335" spans="1:10" s="1" customFormat="1" ht="15.9" customHeight="1">
      <c r="A335" s="39"/>
      <c r="B335" s="109"/>
      <c r="C335" s="161"/>
      <c r="D335" s="161"/>
      <c r="E335" s="109"/>
      <c r="F335" s="37"/>
      <c r="G335" s="38"/>
      <c r="H335" s="109"/>
      <c r="I335" s="109"/>
      <c r="J335" s="109"/>
    </row>
    <row r="336" spans="1:10" s="1" customFormat="1" ht="15.9" customHeight="1">
      <c r="A336" s="39"/>
      <c r="B336" s="109"/>
      <c r="C336" s="161"/>
      <c r="D336" s="161"/>
      <c r="E336" s="109"/>
      <c r="F336" s="37"/>
      <c r="G336" s="38"/>
      <c r="H336" s="109"/>
      <c r="I336" s="109"/>
      <c r="J336" s="109"/>
    </row>
    <row r="337" spans="1:10" s="1" customFormat="1" ht="15.9" customHeight="1">
      <c r="A337" s="44"/>
      <c r="C337" s="43"/>
      <c r="D337" s="161"/>
      <c r="E337" s="109"/>
      <c r="F337" s="109"/>
      <c r="G337" s="109"/>
      <c r="H337" s="109"/>
      <c r="I337" s="44"/>
      <c r="J337" s="119"/>
    </row>
    <row r="338" spans="1:10" s="1" customFormat="1" ht="15.9" customHeight="1">
      <c r="A338" s="40"/>
      <c r="C338" s="44"/>
      <c r="D338" s="84"/>
      <c r="E338" s="44"/>
      <c r="F338" s="44"/>
      <c r="G338" s="44"/>
      <c r="H338" s="44"/>
      <c r="I338" s="32"/>
      <c r="J338" s="40"/>
    </row>
    <row r="339" spans="1:10" s="1" customFormat="1" ht="15.9" customHeight="1">
      <c r="A339" s="109"/>
      <c r="C339" s="161"/>
      <c r="D339" s="85"/>
      <c r="E339" s="40"/>
      <c r="F339" s="32"/>
      <c r="G339" s="40"/>
      <c r="H339" s="32"/>
      <c r="I339" s="24"/>
      <c r="J339" s="24"/>
    </row>
    <row r="340" spans="1:10" s="1" customFormat="1" ht="15.9" customHeight="1">
      <c r="A340" s="109"/>
      <c r="C340" s="163"/>
      <c r="D340" s="161"/>
      <c r="E340" s="109"/>
      <c r="F340" s="161"/>
      <c r="G340" s="109"/>
      <c r="H340" s="109"/>
      <c r="I340" s="24"/>
      <c r="J340" s="24"/>
    </row>
    <row r="341" spans="1:10" s="1" customFormat="1" ht="15.9" customHeight="1">
      <c r="A341" s="109"/>
      <c r="B341" s="33"/>
      <c r="C341" s="161"/>
      <c r="D341" s="161"/>
      <c r="E341" s="109"/>
      <c r="F341" s="161"/>
      <c r="G341" s="109"/>
      <c r="H341" s="109"/>
      <c r="I341" s="162"/>
      <c r="J341" s="162"/>
    </row>
    <row r="342" spans="1:10" s="1" customFormat="1" ht="15.9" customHeight="1">
      <c r="A342" s="109"/>
      <c r="B342" s="33"/>
      <c r="C342" s="44"/>
      <c r="D342" s="161"/>
      <c r="E342" s="109"/>
      <c r="F342" s="161"/>
      <c r="G342" s="109"/>
      <c r="H342" s="162"/>
      <c r="I342" s="161"/>
      <c r="J342" s="161"/>
    </row>
    <row r="343" spans="1:10" s="1" customFormat="1" ht="15.9" customHeight="1">
      <c r="A343" s="109"/>
      <c r="B343" s="33"/>
      <c r="C343" s="42"/>
      <c r="D343" s="161"/>
      <c r="E343" s="109"/>
      <c r="F343" s="161"/>
      <c r="G343" s="109"/>
      <c r="H343" s="161"/>
      <c r="I343" s="161"/>
      <c r="J343" s="161"/>
    </row>
    <row r="344" spans="1:10" s="1" customFormat="1" ht="15.9" customHeight="1">
      <c r="A344" s="109"/>
      <c r="B344" s="33"/>
      <c r="C344" s="163"/>
      <c r="D344" s="161"/>
      <c r="E344" s="109"/>
      <c r="F344" s="161"/>
      <c r="G344" s="109"/>
      <c r="H344" s="161"/>
      <c r="I344" s="109"/>
      <c r="J344" s="24"/>
    </row>
    <row r="345" spans="1:10" s="1" customFormat="1" ht="15.9" customHeight="1">
      <c r="A345" s="109"/>
      <c r="B345" s="33"/>
      <c r="C345" s="161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33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44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1"/>
      <c r="D350" s="161"/>
      <c r="E350" s="109"/>
      <c r="F350" s="161"/>
      <c r="G350" s="109"/>
      <c r="H350" s="109"/>
      <c r="I350" s="24"/>
      <c r="J350" s="24"/>
    </row>
    <row r="351" spans="1:10" s="1" customFormat="1" ht="15.9" customHeight="1">
      <c r="A351" s="109"/>
      <c r="B351" s="33"/>
      <c r="C351" s="163"/>
      <c r="D351" s="161"/>
      <c r="E351" s="109"/>
      <c r="F351" s="161"/>
      <c r="G351" s="109"/>
      <c r="H351" s="109"/>
      <c r="I351" s="109"/>
      <c r="J351" s="24"/>
    </row>
    <row r="352" spans="1:10" s="1" customFormat="1" ht="15.9" customHeight="1">
      <c r="A352" s="109"/>
      <c r="B352" s="33"/>
      <c r="C352" s="161"/>
      <c r="D352" s="161"/>
      <c r="E352" s="109"/>
      <c r="F352" s="161"/>
      <c r="G352" s="109"/>
      <c r="H352" s="109"/>
      <c r="I352" s="24"/>
      <c r="J352" s="24"/>
    </row>
    <row r="353" spans="1:10" s="1" customFormat="1" ht="15" customHeight="1">
      <c r="A353" s="109"/>
      <c r="B353" s="33"/>
      <c r="C353" s="33"/>
      <c r="D353" s="161"/>
      <c r="E353" s="109"/>
      <c r="F353" s="109"/>
      <c r="G353" s="109"/>
      <c r="H353" s="109"/>
      <c r="I353" s="24"/>
      <c r="J353" s="24"/>
    </row>
    <row r="354" spans="1:10" s="23" customFormat="1" ht="15.9" customHeight="1">
      <c r="A354" s="109"/>
      <c r="B354" s="33"/>
      <c r="C354" s="33"/>
      <c r="D354" s="161"/>
      <c r="E354" s="109"/>
      <c r="F354" s="109"/>
      <c r="G354" s="109"/>
      <c r="H354" s="107"/>
      <c r="I354" s="24"/>
      <c r="J354" s="24"/>
    </row>
    <row r="355" spans="1:10" s="1" customFormat="1" ht="15.9" customHeight="1">
      <c r="A355" s="109"/>
      <c r="B355" s="33"/>
      <c r="C355" s="33"/>
      <c r="D355" s="161"/>
      <c r="E355" s="109"/>
      <c r="F355" s="109"/>
      <c r="G355" s="109"/>
      <c r="H355" s="109"/>
      <c r="I355" s="109"/>
      <c r="J355" s="109"/>
    </row>
    <row r="356" spans="1:10" s="1" customFormat="1" ht="15.9" customHeight="1">
      <c r="A356" s="44"/>
      <c r="B356" s="33"/>
      <c r="C356" s="33"/>
      <c r="D356" s="161"/>
      <c r="E356" s="109"/>
      <c r="F356" s="109"/>
      <c r="G356" s="109"/>
      <c r="H356" s="109"/>
      <c r="I356" s="44"/>
      <c r="J356" s="119"/>
    </row>
    <row r="357" spans="1:10" s="1" customFormat="1" ht="15.9" customHeight="1">
      <c r="A357" s="40"/>
      <c r="B357" s="44"/>
      <c r="C357" s="44"/>
      <c r="D357" s="84"/>
      <c r="E357" s="44"/>
      <c r="F357" s="44"/>
      <c r="G357" s="44"/>
      <c r="H357" s="44"/>
      <c r="I357" s="32"/>
      <c r="J357" s="40"/>
    </row>
    <row r="358" spans="1:10" s="1" customFormat="1" ht="15.9" customHeight="1">
      <c r="A358" s="27"/>
      <c r="B358" s="40"/>
      <c r="C358" s="44"/>
      <c r="D358" s="85"/>
      <c r="E358" s="40"/>
      <c r="F358" s="32"/>
      <c r="G358" s="40"/>
      <c r="H358" s="32"/>
      <c r="I358" s="24"/>
      <c r="J358" s="24"/>
    </row>
    <row r="359" spans="1:10" s="1" customFormat="1" ht="15.9" customHeight="1">
      <c r="A359" s="27"/>
      <c r="B359" s="33"/>
      <c r="C359" s="42"/>
      <c r="D359" s="161"/>
      <c r="E359" s="109"/>
      <c r="F359" s="109"/>
      <c r="G359" s="109"/>
      <c r="H359" s="42"/>
      <c r="I359" s="163"/>
      <c r="J359" s="163"/>
    </row>
    <row r="360" spans="1:10" s="1" customFormat="1" ht="15.9" customHeight="1">
      <c r="A360" s="27"/>
      <c r="B360" s="33"/>
      <c r="C360" s="163"/>
      <c r="D360" s="161"/>
      <c r="E360" s="109"/>
      <c r="F360" s="109"/>
      <c r="G360" s="109"/>
      <c r="H360" s="163"/>
      <c r="I360" s="161"/>
      <c r="J360" s="161"/>
    </row>
    <row r="361" spans="1:10" s="1" customFormat="1" ht="15.9" customHeight="1">
      <c r="A361" s="27"/>
      <c r="B361" s="33"/>
      <c r="C361" s="161"/>
      <c r="D361" s="161"/>
      <c r="E361" s="109"/>
      <c r="F361" s="109"/>
      <c r="G361" s="109"/>
      <c r="H361" s="161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33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46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161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B369" s="33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B372" s="33"/>
      <c r="C372" s="33"/>
      <c r="D372" s="161"/>
      <c r="E372" s="109"/>
      <c r="F372" s="109"/>
      <c r="G372" s="109"/>
      <c r="H372" s="109"/>
      <c r="I372" s="24"/>
      <c r="J372" s="24"/>
    </row>
    <row r="373" spans="1:10" s="1" customFormat="1" ht="15.9" customHeight="1">
      <c r="A373" s="27"/>
      <c r="D373" s="161"/>
      <c r="E373" s="109"/>
      <c r="F373" s="109"/>
      <c r="G373" s="33"/>
      <c r="H373" s="33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109"/>
      <c r="I376" s="24"/>
      <c r="J376" s="24"/>
    </row>
    <row r="377" spans="1:10" s="1" customFormat="1" ht="15.9" customHeight="1">
      <c r="A377" s="27"/>
      <c r="B377" s="33"/>
      <c r="C377" s="33"/>
      <c r="D377" s="161"/>
      <c r="E377" s="109"/>
      <c r="F377" s="109"/>
      <c r="G377" s="109"/>
      <c r="H377" s="42"/>
      <c r="I377" s="163"/>
      <c r="J377" s="163"/>
    </row>
    <row r="378" spans="1:10" s="1" customFormat="1" ht="15.9" customHeight="1">
      <c r="A378" s="27"/>
      <c r="B378" s="33"/>
      <c r="C378" s="47"/>
      <c r="D378" s="161"/>
      <c r="E378" s="109"/>
      <c r="F378" s="109"/>
      <c r="G378" s="109"/>
      <c r="H378" s="163"/>
      <c r="I378" s="161"/>
      <c r="J378" s="161"/>
    </row>
    <row r="379" spans="1:10" s="1" customFormat="1" ht="15.9" customHeight="1">
      <c r="A379" s="27"/>
      <c r="B379" s="33"/>
      <c r="C379" s="46"/>
      <c r="D379" s="161"/>
      <c r="E379" s="109"/>
      <c r="F379" s="109"/>
      <c r="G379" s="109"/>
      <c r="H379" s="161"/>
      <c r="I379" s="24"/>
      <c r="J379" s="24"/>
    </row>
    <row r="380" spans="1:10" s="1" customFormat="1" ht="15.9" customHeight="1">
      <c r="A380" s="27"/>
      <c r="B380" s="33"/>
      <c r="C380" s="161"/>
      <c r="D380" s="161"/>
      <c r="E380" s="109"/>
      <c r="F380" s="109"/>
      <c r="G380" s="109"/>
      <c r="H380" s="42"/>
      <c r="I380" s="163"/>
      <c r="J380" s="163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3"/>
      <c r="I381" s="161"/>
      <c r="J381" s="161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61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24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09"/>
      <c r="J388" s="2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09"/>
      <c r="I389" s="164"/>
      <c r="J389" s="164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4"/>
      <c r="I390" s="165"/>
      <c r="J390" s="165"/>
    </row>
    <row r="391" spans="1:10" s="1" customFormat="1" ht="15.9" customHeight="1">
      <c r="A391" s="27"/>
      <c r="B391" s="33"/>
      <c r="C391" s="33"/>
      <c r="D391" s="161"/>
      <c r="E391" s="109"/>
      <c r="F391" s="109"/>
      <c r="G391" s="109"/>
      <c r="H391" s="165"/>
      <c r="I391" s="161"/>
      <c r="J391" s="161"/>
    </row>
    <row r="392" spans="1:10" s="1" customFormat="1" ht="15.9" customHeight="1">
      <c r="A392" s="27"/>
      <c r="B392" s="33"/>
      <c r="C392" s="47"/>
      <c r="D392" s="161"/>
      <c r="E392" s="109"/>
      <c r="F392" s="109"/>
      <c r="G392" s="109"/>
      <c r="H392" s="161"/>
      <c r="I392" s="24"/>
      <c r="J392" s="24"/>
    </row>
    <row r="393" spans="1:10" s="1" customFormat="1" ht="15.9" customHeight="1">
      <c r="A393" s="27"/>
      <c r="B393" s="33"/>
      <c r="C393" s="46"/>
      <c r="D393" s="161"/>
      <c r="E393" s="109"/>
      <c r="F393" s="109"/>
      <c r="G393" s="109"/>
      <c r="H393" s="109"/>
      <c r="I393" s="109"/>
      <c r="J393" s="24"/>
    </row>
    <row r="394" spans="1:10" s="1" customFormat="1" ht="15.9" customHeight="1">
      <c r="A394" s="27"/>
      <c r="B394" s="33"/>
      <c r="C394" s="161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27"/>
      <c r="B396" s="33"/>
      <c r="C396" s="33"/>
      <c r="D396" s="161"/>
      <c r="E396" s="109"/>
      <c r="F396" s="109"/>
      <c r="G396" s="109"/>
      <c r="H396" s="109"/>
      <c r="I396" s="24"/>
      <c r="J396" s="24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23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1" customFormat="1" ht="15.9" customHeight="1">
      <c r="A405" s="41"/>
      <c r="B405" s="33"/>
      <c r="C405" s="33"/>
      <c r="D405" s="161"/>
      <c r="E405" s="109"/>
      <c r="F405" s="109"/>
      <c r="G405" s="109"/>
      <c r="H405" s="109"/>
      <c r="I405" s="109"/>
      <c r="J405" s="109"/>
    </row>
    <row r="406" spans="1:10" s="1" customFormat="1" ht="15.9" customHeight="1">
      <c r="A406" s="44"/>
      <c r="B406" s="33"/>
      <c r="C406" s="33"/>
      <c r="D406" s="161"/>
      <c r="E406" s="109"/>
      <c r="F406" s="109"/>
      <c r="G406" s="109"/>
      <c r="H406" s="109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  <c r="K418" s="71"/>
    </row>
    <row r="419" spans="1:14" s="1" customFormat="1" ht="15.9" customHeight="1">
      <c r="A419" s="109"/>
      <c r="B419" s="44"/>
      <c r="C419" s="44"/>
      <c r="D419" s="84"/>
      <c r="E419" s="44"/>
      <c r="F419" s="44"/>
      <c r="G419" s="44"/>
      <c r="H419" s="44"/>
      <c r="I419" s="24"/>
      <c r="J419" s="24"/>
    </row>
    <row r="420" spans="1:14" ht="18">
      <c r="A420" s="109"/>
      <c r="B420" s="33"/>
      <c r="C420" s="33"/>
      <c r="D420" s="161"/>
      <c r="E420" s="109"/>
      <c r="F420" s="109"/>
      <c r="G420" s="109"/>
      <c r="H420" s="109"/>
      <c r="I420" s="24"/>
      <c r="J420" s="1"/>
      <c r="K420" s="7"/>
      <c r="L420" s="7"/>
      <c r="M420" s="2"/>
      <c r="N420" s="2"/>
    </row>
    <row r="421" spans="1:14" ht="12.75" customHeight="1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LEFT($J$111,13)&amp;"-04"</f>
        <v>FG-240-6P5L1R-04</v>
      </c>
      <c r="K421" s="7"/>
      <c r="L421" s="7"/>
      <c r="M421" s="2"/>
      <c r="N421" s="2"/>
    </row>
    <row r="422" spans="1:14" ht="30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24.9" customHeight="1">
      <c r="A423" s="109"/>
      <c r="B423" s="33"/>
      <c r="C423" s="33"/>
      <c r="D423" s="161"/>
      <c r="E423" s="109"/>
      <c r="F423" s="109"/>
      <c r="G423" s="109"/>
      <c r="H423" s="109"/>
      <c r="I423" s="109"/>
      <c r="J423" s="90" t="str">
        <f>$J$2</f>
        <v>HOMELIFE</v>
      </c>
      <c r="K423" s="7"/>
      <c r="L423" s="7"/>
      <c r="M423" s="2"/>
      <c r="N423" s="2"/>
    </row>
    <row r="424" spans="1:14" ht="24.9" customHeight="1">
      <c r="A424" s="109"/>
      <c r="B424" s="33"/>
      <c r="C424" s="33"/>
      <c r="D424" s="161"/>
      <c r="E424" s="109"/>
      <c r="F424" s="109"/>
      <c r="G424" s="109"/>
      <c r="H424" s="109"/>
      <c r="I424" s="109"/>
      <c r="J424" s="91" t="str">
        <f>$J$3</f>
        <v>Fabricators Guide</v>
      </c>
      <c r="K424" s="48"/>
      <c r="L424" s="48"/>
      <c r="M424" s="4"/>
      <c r="N424" s="4"/>
    </row>
    <row r="425" spans="1:14" s="1" customFormat="1" ht="15" customHeight="1">
      <c r="A425"/>
      <c r="B425" s="217"/>
      <c r="C425" s="28"/>
      <c r="D425" s="28"/>
      <c r="E425" s="28"/>
      <c r="F425" s="28"/>
      <c r="G425" s="28"/>
      <c r="H425" s="28"/>
      <c r="I425" s="28"/>
      <c r="J425" s="91" t="str">
        <f>$J$4</f>
        <v xml:space="preserve">240 Series Bi Fold Door </v>
      </c>
      <c r="K425" s="4"/>
      <c r="L425" s="4"/>
      <c r="M425" s="4"/>
      <c r="N425" s="4"/>
    </row>
    <row r="426" spans="1:14" s="1" customFormat="1" ht="24.9" customHeight="1" thickBot="1">
      <c r="A426" s="78"/>
      <c r="B426" s="8"/>
      <c r="C426" s="28"/>
      <c r="D426" s="28"/>
      <c r="E426" s="28"/>
      <c r="F426" s="28"/>
      <c r="G426" s="28"/>
      <c r="H426" s="28"/>
      <c r="I426" s="78"/>
      <c r="J426" s="100"/>
      <c r="K426" s="4"/>
      <c r="L426" s="4"/>
      <c r="M426" s="4"/>
      <c r="N426" s="4"/>
    </row>
    <row r="427" spans="1:14" s="1" customFormat="1" ht="15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  <c r="K427" s="56"/>
      <c r="L427" s="56"/>
      <c r="M427" s="56"/>
      <c r="N427" s="56"/>
    </row>
    <row r="428" spans="1:14" s="1" customFormat="1" ht="15" customHeight="1">
      <c r="A428" s="193"/>
      <c r="B428" s="194"/>
      <c r="C428" s="194"/>
      <c r="D428" s="194"/>
      <c r="E428" s="194"/>
      <c r="F428" s="194"/>
      <c r="G428" s="194"/>
      <c r="H428" s="194"/>
      <c r="I428" s="193"/>
    </row>
    <row r="429" spans="1:14" s="1" customFormat="1" ht="15" customHeight="1">
      <c r="A429" s="45"/>
      <c r="B429" s="193"/>
      <c r="C429" s="193"/>
      <c r="D429" s="193"/>
      <c r="E429" s="193"/>
      <c r="F429" s="193"/>
      <c r="G429" s="193"/>
      <c r="H429" s="193"/>
      <c r="I429" s="44"/>
      <c r="J429" s="119"/>
    </row>
    <row r="430" spans="1:14" s="1" customFormat="1" ht="15" customHeight="1">
      <c r="A430" s="109"/>
      <c r="B430" s="39"/>
      <c r="C430" s="33"/>
      <c r="D430" s="161"/>
      <c r="E430" s="35"/>
      <c r="F430" s="39"/>
      <c r="G430" s="193"/>
      <c r="H430" s="44"/>
      <c r="I430" s="44"/>
      <c r="J430" s="119"/>
    </row>
    <row r="431" spans="1:14" s="1" customFormat="1" ht="15" customHeight="1">
      <c r="A431" s="109"/>
      <c r="B431" s="33"/>
      <c r="C431" s="33"/>
      <c r="D431" s="161"/>
      <c r="E431" s="35"/>
      <c r="F431" s="161"/>
      <c r="G431" s="193"/>
      <c r="H431" s="44"/>
      <c r="I431" s="44"/>
      <c r="J431" s="119"/>
    </row>
    <row r="432" spans="1:14" s="1" customFormat="1" ht="15" customHeight="1">
      <c r="A432" s="109"/>
      <c r="B432" s="56"/>
      <c r="C432" s="56"/>
      <c r="D432" s="30"/>
      <c r="E432" s="29"/>
      <c r="F432" s="30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109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3"/>
      <c r="H434" s="44"/>
      <c r="I434" s="44"/>
      <c r="J434" s="119"/>
    </row>
    <row r="435" spans="1:10" s="1" customFormat="1" ht="15" customHeight="1">
      <c r="A435" s="109"/>
      <c r="B435" s="33"/>
      <c r="C435" s="161"/>
      <c r="D435" s="161"/>
      <c r="E435" s="35"/>
      <c r="F435" s="161"/>
      <c r="H435" s="44"/>
      <c r="I435" s="44"/>
      <c r="J435" s="119"/>
    </row>
    <row r="436" spans="1:10" s="1" customFormat="1" ht="15" customHeight="1">
      <c r="A436" s="39"/>
      <c r="B436" s="33"/>
      <c r="C436" s="42"/>
      <c r="D436" s="161"/>
      <c r="E436" s="109"/>
      <c r="F436" s="69"/>
      <c r="H436" s="44"/>
      <c r="I436" s="44"/>
      <c r="J436" s="119"/>
    </row>
    <row r="437" spans="1:10" s="1" customFormat="1" ht="15" customHeight="1">
      <c r="A437" s="92"/>
      <c r="B437" s="39"/>
      <c r="C437" s="163"/>
      <c r="D437" s="161"/>
      <c r="E437" s="109"/>
      <c r="F437" s="68"/>
      <c r="H437" s="44"/>
      <c r="I437" s="44"/>
      <c r="J437" s="119"/>
    </row>
    <row r="438" spans="1:10" s="1" customFormat="1" ht="15" customHeight="1">
      <c r="B438" s="92"/>
      <c r="C438" s="161"/>
      <c r="D438" s="161"/>
      <c r="E438" s="109"/>
      <c r="F438" s="218"/>
      <c r="H438" s="44"/>
      <c r="I438" s="44"/>
      <c r="J438" s="119"/>
    </row>
    <row r="439" spans="1:10" s="1" customFormat="1" ht="15.9" customHeight="1">
      <c r="A439" s="64" t="str">
        <f>A18</f>
        <v>240-6 Panel (5L1R)</v>
      </c>
      <c r="B439" s="92"/>
      <c r="C439" s="161"/>
      <c r="D439" s="161"/>
      <c r="E439" s="109"/>
      <c r="F439" s="218"/>
      <c r="H439" s="44"/>
      <c r="I439" s="44"/>
      <c r="J439" s="119"/>
    </row>
    <row r="440" spans="1:10" s="1" customFormat="1" ht="15.9" customHeight="1">
      <c r="A440" s="76" t="str">
        <f>A19</f>
        <v xml:space="preserve">Outside Bi Fold Door </v>
      </c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39"/>
      <c r="C442" s="161"/>
      <c r="D442" s="161"/>
      <c r="E442" s="109"/>
      <c r="F442" s="37"/>
      <c r="H442" s="44"/>
      <c r="I442" s="44"/>
      <c r="J442" s="119"/>
    </row>
    <row r="443" spans="1:10" s="1" customFormat="1" ht="15.9" customHeight="1">
      <c r="A443" s="39"/>
      <c r="C443" s="161"/>
      <c r="D443" s="161"/>
      <c r="E443" s="109"/>
      <c r="F443" s="37"/>
      <c r="H443" s="44"/>
      <c r="I443" s="44"/>
      <c r="J443" s="119"/>
    </row>
    <row r="444" spans="1:10" s="1" customFormat="1" ht="15.9" customHeight="1">
      <c r="A444" s="39"/>
      <c r="C444" s="161"/>
      <c r="D444" s="161"/>
      <c r="E444" s="109"/>
      <c r="F444" s="37"/>
      <c r="H444" s="44"/>
      <c r="I444" s="44"/>
      <c r="J444" s="119"/>
    </row>
    <row r="445" spans="1:10" s="1" customFormat="1" ht="15.9" customHeight="1">
      <c r="A445" s="44"/>
      <c r="B445" s="38"/>
      <c r="C445" s="43"/>
      <c r="D445" s="161"/>
      <c r="E445" s="109"/>
      <c r="F445" s="109"/>
      <c r="H445" s="44"/>
      <c r="I445" s="44"/>
      <c r="J445" s="119"/>
    </row>
    <row r="446" spans="1:10">
      <c r="A446" s="40"/>
      <c r="B446" s="1"/>
      <c r="C446" s="44"/>
      <c r="D446" s="84"/>
      <c r="E446" s="44"/>
      <c r="F446" s="44"/>
      <c r="G446" s="1"/>
      <c r="H446" s="44"/>
      <c r="I446" s="44"/>
      <c r="J446" s="119"/>
    </row>
    <row r="447" spans="1:10" ht="15.6">
      <c r="B447" s="64"/>
      <c r="C447" s="163"/>
      <c r="D447" s="161"/>
      <c r="E447" s="109"/>
      <c r="F447" s="161"/>
      <c r="G447" s="109"/>
      <c r="H447" s="109"/>
    </row>
    <row r="451" spans="1:10" s="1" customFormat="1" ht="15.9" customHeight="1">
      <c r="A451"/>
      <c r="B451"/>
      <c r="C451"/>
      <c r="D451" s="81"/>
      <c r="E451"/>
      <c r="F451"/>
      <c r="G451"/>
      <c r="H451"/>
      <c r="I451"/>
      <c r="J451" s="112"/>
    </row>
    <row r="452" spans="1:10" s="1" customFormat="1" ht="15.9" customHeight="1">
      <c r="A452" s="109"/>
      <c r="B452"/>
      <c r="C452"/>
      <c r="D452" s="81"/>
      <c r="E452"/>
      <c r="F452"/>
      <c r="G452"/>
      <c r="H452"/>
      <c r="I452" s="24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33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33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44"/>
      <c r="D456" s="161"/>
      <c r="E456" s="109"/>
      <c r="F456" s="161"/>
      <c r="G456" s="109"/>
      <c r="H456" s="109"/>
      <c r="I456" s="24"/>
      <c r="J456" s="24"/>
    </row>
    <row r="457" spans="1:10" s="1" customFormat="1" ht="15.9" customHeight="1">
      <c r="A457" s="109"/>
      <c r="B457" s="33"/>
      <c r="C457" s="161"/>
      <c r="D457" s="161"/>
      <c r="E457" s="109"/>
      <c r="F457" s="161"/>
      <c r="G457" s="109"/>
      <c r="H457" s="109"/>
      <c r="I457" s="24"/>
      <c r="J457" s="24"/>
    </row>
    <row r="458" spans="1:10" s="1" customFormat="1" ht="15.9" customHeight="1">
      <c r="A458" s="109"/>
      <c r="B458" s="33"/>
      <c r="C458" s="163"/>
      <c r="D458" s="161"/>
      <c r="E458" s="109"/>
      <c r="F458" s="161"/>
      <c r="G458" s="109"/>
      <c r="H458" s="109"/>
      <c r="I458" s="109"/>
      <c r="J458" s="24"/>
    </row>
    <row r="459" spans="1:10" s="1" customFormat="1" ht="15.9" customHeight="1">
      <c r="A459" s="109"/>
      <c r="B459" s="33"/>
      <c r="C459" s="161"/>
      <c r="D459" s="161"/>
      <c r="E459" s="109"/>
      <c r="F459" s="161"/>
      <c r="G459" s="109"/>
      <c r="H459" s="109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7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" customHeight="1">
      <c r="A476" s="109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1" customFormat="1" ht="15" customHeight="1">
      <c r="A477" s="109"/>
      <c r="B477" s="33"/>
      <c r="C477" s="33"/>
      <c r="D477" s="161"/>
      <c r="E477" s="109"/>
      <c r="F477" s="109"/>
      <c r="G477" s="109"/>
      <c r="H477" s="109"/>
      <c r="I477" s="24"/>
      <c r="J477" s="24"/>
    </row>
    <row r="478" spans="1:10" s="23" customFormat="1" ht="15.9" customHeight="1">
      <c r="A478" s="109"/>
      <c r="B478" s="33"/>
      <c r="C478" s="33"/>
      <c r="D478" s="161"/>
      <c r="E478" s="109"/>
      <c r="F478" s="109"/>
      <c r="G478" s="109"/>
      <c r="H478" s="109"/>
      <c r="I478" s="24"/>
      <c r="J478" s="24"/>
    </row>
    <row r="479" spans="1:10" s="1" customFormat="1" ht="15.9" customHeight="1">
      <c r="A479" s="109"/>
      <c r="B479" s="33"/>
      <c r="C479" s="33"/>
      <c r="D479" s="161"/>
      <c r="E479" s="109"/>
      <c r="F479" s="109"/>
      <c r="G479" s="109"/>
      <c r="H479" s="109"/>
      <c r="I479" s="109"/>
      <c r="J479" s="109"/>
    </row>
    <row r="480" spans="1:10" s="1" customFormat="1" ht="15.9" customHeight="1">
      <c r="A480" s="44"/>
      <c r="B480" s="33"/>
      <c r="C480" s="33"/>
      <c r="D480" s="161"/>
      <c r="E480" s="109"/>
      <c r="F480" s="109"/>
      <c r="G480" s="109"/>
      <c r="H480" s="109"/>
      <c r="I480" s="44"/>
      <c r="J480" s="119"/>
    </row>
    <row r="481" spans="1:10" s="1" customFormat="1" ht="15.9" customHeight="1">
      <c r="A481" s="40"/>
      <c r="B481" s="44"/>
      <c r="C481" s="44"/>
      <c r="D481" s="84"/>
      <c r="E481" s="44"/>
      <c r="F481" s="44"/>
      <c r="G481" s="44"/>
      <c r="H481" s="44"/>
      <c r="I481" s="32"/>
      <c r="J481" s="40"/>
    </row>
    <row r="482" spans="1:10" s="1" customFormat="1" ht="15.9" customHeight="1">
      <c r="A482" s="27"/>
      <c r="B482" s="40"/>
      <c r="C482" s="44"/>
      <c r="D482" s="85"/>
      <c r="E482" s="40"/>
      <c r="F482" s="32"/>
      <c r="G482" s="40"/>
      <c r="H482" s="32"/>
      <c r="I482" s="24"/>
      <c r="J482" s="24"/>
    </row>
    <row r="483" spans="1:10" s="1" customFormat="1" ht="15.9" customHeight="1">
      <c r="A483" s="27"/>
      <c r="B483" s="33"/>
      <c r="C483" s="42"/>
      <c r="D483" s="161"/>
      <c r="E483" s="109"/>
      <c r="F483" s="109"/>
      <c r="G483" s="109"/>
      <c r="H483" s="42"/>
      <c r="I483" s="67"/>
      <c r="J483" s="165"/>
    </row>
    <row r="484" spans="1:10" s="1" customFormat="1" ht="15.9" customHeight="1">
      <c r="A484" s="27"/>
      <c r="B484" s="33"/>
      <c r="C484" s="163"/>
      <c r="D484" s="161"/>
      <c r="E484" s="109"/>
      <c r="F484" s="109"/>
      <c r="G484" s="109"/>
      <c r="H484" s="67"/>
      <c r="I484" s="38"/>
      <c r="J484" s="109"/>
    </row>
    <row r="485" spans="1:10" s="1" customFormat="1" ht="15.9" customHeight="1">
      <c r="A485" s="27"/>
      <c r="B485" s="33"/>
      <c r="C485" s="161"/>
      <c r="D485" s="161"/>
      <c r="E485" s="109"/>
      <c r="F485" s="109"/>
      <c r="G485" s="109"/>
      <c r="H485" s="38"/>
      <c r="I485" s="24"/>
      <c r="J485" s="24"/>
    </row>
    <row r="486" spans="1:10" s="1" customFormat="1" ht="15.9" customHeight="1">
      <c r="A486" s="27"/>
      <c r="B486" s="33"/>
      <c r="C486" s="33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33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46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161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B492" s="33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B495" s="33"/>
      <c r="C495" s="33"/>
      <c r="D495" s="161"/>
      <c r="E495" s="109"/>
      <c r="F495" s="109"/>
      <c r="G495" s="109"/>
      <c r="H495" s="109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D497" s="161"/>
      <c r="E497" s="109"/>
      <c r="F497" s="109"/>
      <c r="G497" s="33"/>
      <c r="H497" s="33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109"/>
      <c r="I499" s="24"/>
      <c r="J499" s="24"/>
    </row>
    <row r="500" spans="1:10" s="1" customFormat="1" ht="15.9" customHeight="1">
      <c r="A500" s="27"/>
      <c r="B500" s="33"/>
      <c r="C500" s="33"/>
      <c r="D500" s="161"/>
      <c r="E500" s="109"/>
      <c r="F500" s="109"/>
      <c r="G500" s="109"/>
      <c r="H500" s="109"/>
      <c r="I500" s="24"/>
      <c r="J500" s="24"/>
    </row>
    <row r="501" spans="1:10" s="1" customFormat="1" ht="15.9" customHeight="1">
      <c r="A501" s="27"/>
      <c r="B501" s="33"/>
      <c r="C501" s="33"/>
      <c r="D501" s="161"/>
      <c r="E501" s="109"/>
      <c r="F501" s="109"/>
      <c r="G501" s="109"/>
      <c r="H501" s="42"/>
      <c r="I501" s="67"/>
      <c r="J501" s="165"/>
    </row>
    <row r="502" spans="1:10" s="1" customFormat="1" ht="15.9" customHeight="1">
      <c r="A502" s="27"/>
      <c r="B502" s="33"/>
      <c r="C502" s="47"/>
      <c r="D502" s="161"/>
      <c r="E502" s="109"/>
      <c r="F502" s="109"/>
      <c r="G502" s="109"/>
      <c r="H502" s="67"/>
      <c r="I502" s="38"/>
      <c r="J502" s="109"/>
    </row>
    <row r="503" spans="1:10" s="1" customFormat="1" ht="15.9" customHeight="1">
      <c r="A503" s="27"/>
      <c r="B503" s="33"/>
      <c r="C503" s="46"/>
      <c r="D503" s="161"/>
      <c r="E503" s="109"/>
      <c r="F503" s="109"/>
      <c r="G503" s="109"/>
      <c r="H503" s="38"/>
      <c r="I503" s="24"/>
      <c r="J503" s="24"/>
    </row>
    <row r="504" spans="1:10" s="1" customFormat="1" ht="15.9" customHeight="1">
      <c r="A504" s="27"/>
      <c r="B504" s="33"/>
      <c r="C504" s="161"/>
      <c r="D504" s="161"/>
      <c r="E504" s="109"/>
      <c r="F504" s="109"/>
      <c r="G504" s="109"/>
      <c r="H504" s="42"/>
      <c r="I504" s="67"/>
      <c r="J504" s="165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67"/>
      <c r="I505" s="38"/>
      <c r="J505" s="109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38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24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24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109"/>
      <c r="J512" s="24"/>
    </row>
    <row r="513" spans="1:15" s="1" customFormat="1" ht="15.9" customHeight="1">
      <c r="A513" s="27"/>
      <c r="B513" s="33"/>
      <c r="C513" s="33"/>
      <c r="D513" s="161"/>
      <c r="E513" s="109"/>
      <c r="F513" s="109"/>
      <c r="G513" s="109"/>
      <c r="H513" s="109"/>
      <c r="I513" s="109"/>
      <c r="J513" s="24"/>
    </row>
    <row r="514" spans="1:15" s="1" customFormat="1" ht="15.9" customHeight="1">
      <c r="A514" s="27"/>
      <c r="B514" s="33"/>
      <c r="C514" s="33"/>
      <c r="D514" s="161"/>
      <c r="E514" s="109"/>
      <c r="F514" s="109"/>
      <c r="G514" s="109"/>
      <c r="H514" s="109"/>
      <c r="I514" s="43"/>
      <c r="J514" s="107"/>
    </row>
    <row r="515" spans="1:15" s="1" customFormat="1" ht="15.9" customHeight="1">
      <c r="A515" s="27"/>
      <c r="B515" s="33"/>
      <c r="C515" s="33"/>
      <c r="D515" s="161"/>
      <c r="E515" s="109"/>
      <c r="F515" s="109"/>
      <c r="G515" s="109"/>
      <c r="H515" s="66"/>
      <c r="I515" s="38"/>
      <c r="J515" s="109"/>
    </row>
    <row r="516" spans="1:15" s="1" customFormat="1" ht="15.9" customHeight="1">
      <c r="A516" s="44"/>
      <c r="B516" s="33"/>
      <c r="C516" s="33"/>
      <c r="D516" s="161"/>
      <c r="E516" s="109"/>
      <c r="F516" s="109"/>
      <c r="G516" s="109"/>
      <c r="H516" s="67"/>
      <c r="I516" s="44"/>
      <c r="J516" s="119"/>
    </row>
    <row r="517" spans="1:15" s="1" customFormat="1" ht="15.9" customHeight="1">
      <c r="B517" s="44"/>
      <c r="C517" s="44"/>
      <c r="D517" s="84"/>
      <c r="E517" s="44"/>
      <c r="F517" s="44"/>
      <c r="G517" s="44"/>
      <c r="H517" s="44"/>
    </row>
    <row r="518" spans="1:15" s="1" customFormat="1" ht="24.9" customHeight="1" thickBot="1"/>
    <row r="519" spans="1:15" s="1" customFormat="1" ht="35.1" customHeight="1" thickBot="1">
      <c r="A519" s="502" t="s">
        <v>401</v>
      </c>
      <c r="B519" s="503"/>
      <c r="C519" s="503"/>
      <c r="D519" s="503"/>
      <c r="E519" s="503"/>
      <c r="F519" s="503"/>
      <c r="G519" s="503"/>
      <c r="H519" s="503"/>
      <c r="I519" s="503"/>
      <c r="J519" s="504"/>
      <c r="N519" s="249" t="s">
        <v>3</v>
      </c>
      <c r="O519" s="249" t="s">
        <v>3</v>
      </c>
    </row>
    <row r="520" spans="1:15" s="1" customFormat="1" ht="15.9" customHeight="1" thickBot="1">
      <c r="A520" s="102" t="s">
        <v>2</v>
      </c>
      <c r="B520" s="103" t="s">
        <v>3</v>
      </c>
      <c r="C520" s="103" t="s">
        <v>3</v>
      </c>
      <c r="D520" s="104" t="s">
        <v>35</v>
      </c>
      <c r="E520" s="103" t="s">
        <v>5</v>
      </c>
      <c r="F520" s="339" t="s">
        <v>27</v>
      </c>
      <c r="G520" s="305"/>
      <c r="H520" s="104" t="s">
        <v>27</v>
      </c>
      <c r="I520" s="104" t="s">
        <v>26</v>
      </c>
      <c r="J520" s="115" t="s">
        <v>6</v>
      </c>
      <c r="M520" s="1">
        <f>ROW()</f>
        <v>520</v>
      </c>
      <c r="N520" s="19" t="s">
        <v>194</v>
      </c>
      <c r="O520" s="19" t="s">
        <v>195</v>
      </c>
    </row>
    <row r="521" spans="1:15" s="1" customFormat="1" ht="15.9" customHeight="1">
      <c r="A521" s="123">
        <f>IF(C521="","",1)</f>
        <v>1</v>
      </c>
      <c r="B521" s="121" t="str">
        <f>IF($D$127=5,N520,IF($D$127=6,N521,IF($D$127=8,N522,IF($D$127=10,N523,IF($D$127=12,N524,IF($D$127=14,N525,IF($D$127=18,N526,IF($D$127=20,N527,IF($D$127=22,N528,)))))))))</f>
        <v>กระจก 6 mm (สูง) (กว้าง)</v>
      </c>
      <c r="C521" s="121" t="str">
        <f>IF($D$127=5,O520,IF($D$127=6,O521,IF($D$127=8,O522,IF($D$127=10,O523,IF($D$127=12,O524,IF($D$127=14,O525,IF($D$127=18,O526,IF($D$127=20,O527,IF($D$127=22,O528,)))))))))</f>
        <v>GLASS thk.6 mm (H) (W)</v>
      </c>
      <c r="D521" s="124">
        <f>$J$123-215</f>
        <v>2285</v>
      </c>
      <c r="E521" s="123" t="s">
        <v>11</v>
      </c>
      <c r="F521" s="527" t="s">
        <v>271</v>
      </c>
      <c r="G521" s="528"/>
      <c r="H521" s="123" t="s">
        <v>407</v>
      </c>
      <c r="I521" s="124">
        <f>(($J$126-185-(113.25*5))/6)-13</f>
        <v>445.125</v>
      </c>
      <c r="J521" s="151">
        <f>$J$120*6</f>
        <v>6</v>
      </c>
      <c r="M521" s="1">
        <f>ROW()</f>
        <v>521</v>
      </c>
      <c r="N521" s="19" t="s">
        <v>53</v>
      </c>
      <c r="O521" s="19" t="s">
        <v>54</v>
      </c>
    </row>
    <row r="522" spans="1:15" s="1" customFormat="1" ht="15.9" customHeight="1">
      <c r="A522" s="346"/>
      <c r="B522" s="295"/>
      <c r="C522" s="295"/>
      <c r="D522" s="296"/>
      <c r="E522" s="238"/>
      <c r="F522" s="251"/>
      <c r="G522" s="297"/>
      <c r="H522" s="238"/>
      <c r="I522" s="298"/>
      <c r="J522" s="299"/>
      <c r="M522" s="1">
        <f>ROW()</f>
        <v>522</v>
      </c>
      <c r="N522" s="19" t="s">
        <v>257</v>
      </c>
      <c r="O522" s="19" t="s">
        <v>258</v>
      </c>
    </row>
    <row r="523" spans="1:15" s="1" customFormat="1" ht="15.9" customHeight="1">
      <c r="A523" s="346"/>
      <c r="B523" s="295"/>
      <c r="C523" s="295"/>
      <c r="D523" s="296"/>
      <c r="E523" s="238"/>
      <c r="F523" s="251"/>
      <c r="G523" s="297"/>
      <c r="H523" s="238"/>
      <c r="I523" s="298"/>
      <c r="J523" s="299"/>
      <c r="M523" s="1">
        <f>ROW()</f>
        <v>523</v>
      </c>
      <c r="N523" s="19" t="s">
        <v>259</v>
      </c>
      <c r="O523" s="19" t="s">
        <v>265</v>
      </c>
    </row>
    <row r="524" spans="1:15" s="1" customFormat="1" ht="15.9" customHeight="1">
      <c r="A524" s="129" t="str">
        <f>IF(B524="","",+#REF!+1)</f>
        <v/>
      </c>
      <c r="B524" s="127"/>
      <c r="C524" s="127"/>
      <c r="D524" s="128"/>
      <c r="E524" s="129"/>
      <c r="F524" s="155"/>
      <c r="G524" s="157"/>
      <c r="H524" s="129"/>
      <c r="I524" s="144"/>
      <c r="J524" s="130"/>
      <c r="M524" s="1">
        <f>ROW()</f>
        <v>524</v>
      </c>
      <c r="N524" s="19" t="s">
        <v>260</v>
      </c>
      <c r="O524" s="19" t="s">
        <v>266</v>
      </c>
    </row>
    <row r="525" spans="1:15" s="1" customFormat="1" ht="15.9" customHeight="1">
      <c r="A525" s="135" t="str">
        <f>IF(B525="","",+A524+1)</f>
        <v/>
      </c>
      <c r="B525" s="133"/>
      <c r="C525" s="133"/>
      <c r="D525" s="134"/>
      <c r="E525" s="135"/>
      <c r="F525" s="158"/>
      <c r="G525" s="159"/>
      <c r="H525" s="135"/>
      <c r="I525" s="145"/>
      <c r="J525" s="136"/>
      <c r="M525" s="1">
        <f>ROW()</f>
        <v>525</v>
      </c>
      <c r="N525" s="19" t="s">
        <v>261</v>
      </c>
      <c r="O525" s="19" t="s">
        <v>267</v>
      </c>
    </row>
    <row r="526" spans="1:15">
      <c r="A526" s="17"/>
      <c r="B526" s="56"/>
      <c r="C526" s="56"/>
      <c r="D526" s="30"/>
      <c r="E526" s="17"/>
      <c r="F526" s="17"/>
      <c r="G526" s="17"/>
      <c r="H526" s="109"/>
      <c r="I526" s="109"/>
      <c r="J526" s="24"/>
      <c r="M526" s="1">
        <f>ROW()</f>
        <v>526</v>
      </c>
      <c r="N526" s="19" t="s">
        <v>262</v>
      </c>
      <c r="O526" s="19" t="s">
        <v>268</v>
      </c>
    </row>
    <row r="527" spans="1:15">
      <c r="H527" s="294"/>
      <c r="I527" s="294"/>
      <c r="J527" s="99" t="str">
        <f>LEFT($J$111,13)&amp;"-05"</f>
        <v>FG-240-6P5L1R-05</v>
      </c>
      <c r="M527" s="1">
        <f>ROW()</f>
        <v>527</v>
      </c>
      <c r="N527" s="19" t="s">
        <v>263</v>
      </c>
      <c r="O527" s="19" t="s">
        <v>269</v>
      </c>
    </row>
    <row r="528" spans="1:15">
      <c r="M528" s="1">
        <f>ROW()</f>
        <v>528</v>
      </c>
      <c r="N528" s="19" t="s">
        <v>264</v>
      </c>
      <c r="O528" s="19" t="s">
        <v>270</v>
      </c>
    </row>
  </sheetData>
  <dataConsolidate function="product">
    <dataRefs count="1">
      <dataRef ref="O154:O162" sheet="240_2Panel(L)" r:id="rId1"/>
    </dataRefs>
  </dataConsolidate>
  <mergeCells count="46">
    <mergeCell ref="H168:H169"/>
    <mergeCell ref="H170:H171"/>
    <mergeCell ref="I161:J161"/>
    <mergeCell ref="I157:J157"/>
    <mergeCell ref="A172:J172"/>
    <mergeCell ref="I168:J168"/>
    <mergeCell ref="I162:J165"/>
    <mergeCell ref="I166:J167"/>
    <mergeCell ref="I158:J158"/>
    <mergeCell ref="D159:D160"/>
    <mergeCell ref="H159:H160"/>
    <mergeCell ref="I159:J160"/>
    <mergeCell ref="D161:D162"/>
    <mergeCell ref="D163:D167"/>
    <mergeCell ref="D168:D169"/>
    <mergeCell ref="D170:D171"/>
    <mergeCell ref="H163:H167"/>
    <mergeCell ref="H161:H162"/>
    <mergeCell ref="H123:I124"/>
    <mergeCell ref="J123:J124"/>
    <mergeCell ref="A125:B125"/>
    <mergeCell ref="H126:I127"/>
    <mergeCell ref="J126:J127"/>
    <mergeCell ref="D123:G123"/>
    <mergeCell ref="D125:G125"/>
    <mergeCell ref="D127:G127"/>
    <mergeCell ref="A131:J131"/>
    <mergeCell ref="D129:G129"/>
    <mergeCell ref="I154:J154"/>
    <mergeCell ref="I155:J155"/>
    <mergeCell ref="I156:J156"/>
    <mergeCell ref="A6:J6"/>
    <mergeCell ref="H120:I121"/>
    <mergeCell ref="J120:J121"/>
    <mergeCell ref="A117:J117"/>
    <mergeCell ref="D121:G121"/>
    <mergeCell ref="D119:G119"/>
    <mergeCell ref="F521:G521"/>
    <mergeCell ref="A519:J519"/>
    <mergeCell ref="A427:J427"/>
    <mergeCell ref="A320:J320"/>
    <mergeCell ref="A213:J213"/>
    <mergeCell ref="F331:G331"/>
    <mergeCell ref="F334:G334"/>
    <mergeCell ref="F330:G330"/>
    <mergeCell ref="C307:E307"/>
  </mergeCells>
  <dataValidations count="4">
    <dataValidation type="list" allowBlank="1" showInputMessage="1" showErrorMessage="1" sqref="D127:G127">
      <formula1>$N$120:$N$128</formula1>
    </dataValidation>
    <dataValidation type="list" allowBlank="1" showInputMessage="1" showErrorMessage="1" sqref="C206">
      <formula1>$O$174:$O$192</formula1>
    </dataValidation>
    <dataValidation type="list" allowBlank="1" showInputMessage="1" showErrorMessage="1" sqref="D129:G129">
      <formula1>$O$120</formula1>
    </dataValidation>
    <dataValidation type="list" allowBlank="1" showInputMessage="1" showErrorMessage="1" sqref="D123:G123">
      <formula1>$P$119:$P$128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3" max="16383" man="1"/>
    <brk id="421" max="9" man="1"/>
  </rowBreaks>
  <drawing r:id="rId3"/>
  <legacyDrawing r:id="rId4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>
    <tabColor theme="5" tint="-0.249977111117893"/>
  </sheetPr>
  <dimension ref="A1:X528"/>
  <sheetViews>
    <sheetView showGridLines="0" view="pageBreakPreview" topLeftCell="A115" zoomScale="75" zoomScaleNormal="75" zoomScaleSheetLayoutView="75" workbookViewId="0">
      <selection activeCell="H126" sqref="H126:I127"/>
    </sheetView>
  </sheetViews>
  <sheetFormatPr defaultRowHeight="14.4" outlineLevelRow="1" outlineLevelCol="1"/>
  <cols>
    <col min="1" max="1" width="7" customWidth="1"/>
    <col min="2" max="2" width="40.6640625" customWidth="1"/>
    <col min="3" max="3" width="61.3320312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7.88671875" bestFit="1" customWidth="1"/>
    <col min="9" max="9" width="11.109375" bestFit="1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3.4414062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17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17"/>
      <c r="E3" s="217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164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>
      <c r="G45" s="10"/>
    </row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/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342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17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17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43" t="s">
        <v>31</v>
      </c>
      <c r="B117" s="544"/>
      <c r="C117" s="544"/>
      <c r="D117" s="544"/>
      <c r="E117" s="544"/>
      <c r="F117" s="544"/>
      <c r="G117" s="544"/>
      <c r="H117" s="544"/>
      <c r="I117" s="544"/>
      <c r="J117" s="545"/>
      <c r="K117" s="11"/>
      <c r="L117" s="4"/>
      <c r="M117" s="4"/>
      <c r="N117" s="4"/>
    </row>
    <row r="118" spans="1:16" s="1" customFormat="1" ht="15.6">
      <c r="A118" s="12"/>
      <c r="C118" s="8"/>
      <c r="D118" s="15"/>
      <c r="E118" s="13"/>
      <c r="J118" s="219"/>
      <c r="K118" s="11"/>
      <c r="L118" s="56"/>
      <c r="M118" s="56"/>
      <c r="N118" s="56"/>
    </row>
    <row r="119" spans="1:16" s="1" customFormat="1" ht="15" customHeight="1">
      <c r="A119" s="12"/>
      <c r="C119" s="110" t="s">
        <v>635</v>
      </c>
      <c r="D119" s="524" t="s">
        <v>672</v>
      </c>
      <c r="E119" s="525"/>
      <c r="F119" s="525"/>
      <c r="G119" s="526"/>
      <c r="I119" s="16"/>
      <c r="J119" s="12"/>
      <c r="N119" s="243" t="s">
        <v>191</v>
      </c>
      <c r="O119" s="12" t="s">
        <v>227</v>
      </c>
      <c r="P119" s="247" t="s">
        <v>16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4">
        <v>5</v>
      </c>
      <c r="O120" s="12" t="s">
        <v>243</v>
      </c>
      <c r="P120" s="335" t="s">
        <v>389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6</v>
      </c>
      <c r="O121" s="12" t="s">
        <v>244</v>
      </c>
      <c r="P121" s="336" t="s">
        <v>390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8</v>
      </c>
      <c r="P122" s="336" t="s">
        <v>391</v>
      </c>
    </row>
    <row r="123" spans="1:16" s="1" customFormat="1" ht="15" customHeight="1">
      <c r="A123" s="12"/>
      <c r="C123" s="110" t="s">
        <v>629</v>
      </c>
      <c r="D123" s="524" t="s">
        <v>393</v>
      </c>
      <c r="E123" s="525"/>
      <c r="F123" s="525"/>
      <c r="G123" s="526"/>
      <c r="H123" s="519" t="s">
        <v>638</v>
      </c>
      <c r="I123" s="520"/>
      <c r="J123" s="517">
        <v>3000</v>
      </c>
      <c r="N123" s="245">
        <v>10</v>
      </c>
      <c r="P123" s="336" t="s">
        <v>392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12</v>
      </c>
      <c r="P124" s="335" t="s">
        <v>393</v>
      </c>
    </row>
    <row r="125" spans="1:16" s="1" customFormat="1" ht="15" customHeight="1">
      <c r="A125" s="532"/>
      <c r="B125" s="532"/>
      <c r="C125" s="111" t="s">
        <v>630</v>
      </c>
      <c r="D125" s="524" t="s">
        <v>667</v>
      </c>
      <c r="E125" s="525"/>
      <c r="F125" s="525"/>
      <c r="G125" s="526"/>
      <c r="H125" s="41"/>
      <c r="I125" s="41"/>
      <c r="J125" s="12"/>
      <c r="K125" s="218"/>
      <c r="L125" s="77"/>
      <c r="N125" s="245">
        <v>14</v>
      </c>
      <c r="P125" s="335" t="s">
        <v>394</v>
      </c>
    </row>
    <row r="126" spans="1:16" s="1" customFormat="1" ht="15" customHeight="1">
      <c r="A126" s="219"/>
      <c r="B126" s="219"/>
      <c r="C126" s="423" t="s">
        <v>631</v>
      </c>
      <c r="D126" s="15"/>
      <c r="H126" s="519" t="s">
        <v>639</v>
      </c>
      <c r="I126" s="520"/>
      <c r="J126" s="517">
        <v>4200</v>
      </c>
      <c r="K126" s="218"/>
      <c r="L126" s="77"/>
      <c r="N126" s="245">
        <v>18</v>
      </c>
      <c r="P126" s="335" t="s">
        <v>395</v>
      </c>
    </row>
    <row r="127" spans="1:16" s="1" customFormat="1" ht="15" customHeight="1">
      <c r="A127" s="219"/>
      <c r="B127" s="219"/>
      <c r="C127" s="110" t="s">
        <v>633</v>
      </c>
      <c r="D127" s="534">
        <v>5</v>
      </c>
      <c r="E127" s="535"/>
      <c r="F127" s="535"/>
      <c r="G127" s="536"/>
      <c r="H127" s="520"/>
      <c r="I127" s="520"/>
      <c r="J127" s="518"/>
      <c r="N127" s="245">
        <v>20</v>
      </c>
      <c r="P127" s="335" t="s">
        <v>396</v>
      </c>
    </row>
    <row r="128" spans="1:16" s="1" customFormat="1" ht="18.75" customHeight="1">
      <c r="C128" s="423" t="s">
        <v>632</v>
      </c>
      <c r="I128" s="12"/>
      <c r="J128" s="12"/>
      <c r="N128" s="245">
        <v>22</v>
      </c>
      <c r="P128" s="335" t="s">
        <v>397</v>
      </c>
    </row>
    <row r="129" spans="1:23" s="1" customFormat="1" ht="15" customHeight="1">
      <c r="A129" s="88" t="str">
        <f>A18</f>
        <v>240-6 Panel (6L)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314</v>
      </c>
      <c r="G133" s="186">
        <v>1</v>
      </c>
      <c r="H133" s="186" t="s">
        <v>52</v>
      </c>
      <c r="I133" s="124">
        <f>$J$126-60</f>
        <v>4140</v>
      </c>
      <c r="J133" s="125">
        <f t="shared" ref="J133:J153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12</v>
      </c>
      <c r="U133" s="283" t="s">
        <v>299</v>
      </c>
      <c r="V133" s="285">
        <f>($J$126-182-(113.25*5))/6</f>
        <v>575.29166666666663</v>
      </c>
      <c r="W133" s="286">
        <f>$J$121*T133</f>
        <v>0</v>
      </c>
    </row>
    <row r="134" spans="1:23" s="1" customFormat="1" ht="18" customHeight="1">
      <c r="A134" s="143">
        <f t="shared" ref="A134:A153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4114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12</v>
      </c>
      <c r="U134" s="129" t="s">
        <v>299</v>
      </c>
      <c r="V134" s="285">
        <f>($J$126-182-(113.25*5))/6</f>
        <v>575.29166666666663</v>
      </c>
      <c r="W134" s="131">
        <f t="shared" ref="W134:W135" si="2">$J$121*T134</f>
        <v>0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4140</v>
      </c>
      <c r="J135" s="131">
        <f t="shared" si="0"/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12</v>
      </c>
      <c r="U135" s="135" t="s">
        <v>299</v>
      </c>
      <c r="V135" s="285">
        <f t="shared" ref="V135" si="3">($J$126-182-(113.25*5))/6</f>
        <v>575.29166666666663</v>
      </c>
      <c r="W135" s="293">
        <f t="shared" si="2"/>
        <v>0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4140</v>
      </c>
      <c r="J136" s="131">
        <f t="shared" si="0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12</v>
      </c>
      <c r="U136" s="283" t="s">
        <v>64</v>
      </c>
      <c r="V136" s="288">
        <f>$J$123-242</f>
        <v>2758</v>
      </c>
      <c r="W136" s="286">
        <f>$J$121*T136</f>
        <v>0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3000</v>
      </c>
      <c r="J137" s="131">
        <f t="shared" si="0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12</v>
      </c>
      <c r="U137" s="129" t="s">
        <v>64</v>
      </c>
      <c r="V137" s="130">
        <f>$J$123-242</f>
        <v>2758</v>
      </c>
      <c r="W137" s="131">
        <f t="shared" ref="W137:W138" si="4">$J$121*T137</f>
        <v>0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505</v>
      </c>
      <c r="G138" s="143">
        <v>1</v>
      </c>
      <c r="H138" s="143" t="s">
        <v>61</v>
      </c>
      <c r="I138" s="130">
        <f>$J$123</f>
        <v>3000</v>
      </c>
      <c r="J138" s="131">
        <f t="shared" si="0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12</v>
      </c>
      <c r="U138" s="135" t="s">
        <v>64</v>
      </c>
      <c r="V138" s="136">
        <f>$J$123-242</f>
        <v>2758</v>
      </c>
      <c r="W138" s="293">
        <f t="shared" si="4"/>
        <v>0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2904</v>
      </c>
      <c r="J139" s="131">
        <f t="shared" si="0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2904</v>
      </c>
      <c r="J140" s="131">
        <f t="shared" ref="J140" si="5">$J$120*G140</f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6</v>
      </c>
      <c r="H141" s="143" t="s">
        <v>299</v>
      </c>
      <c r="I141" s="178">
        <f>($J$126-182-(113.25*5))/6</f>
        <v>575.29166666666663</v>
      </c>
      <c r="J141" s="131">
        <f t="shared" ref="J141:J146" si="6">$J$120*G141</f>
        <v>6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6</v>
      </c>
      <c r="H142" s="143" t="s">
        <v>299</v>
      </c>
      <c r="I142" s="178">
        <f>($J$126-182-(113.25*5))/6</f>
        <v>575.29166666666663</v>
      </c>
      <c r="J142" s="131">
        <f t="shared" si="6"/>
        <v>6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9</v>
      </c>
      <c r="H143" s="143" t="s">
        <v>63</v>
      </c>
      <c r="I143" s="130">
        <f>$J$123-92</f>
        <v>2908</v>
      </c>
      <c r="J143" s="131">
        <f t="shared" si="6"/>
        <v>9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3</v>
      </c>
      <c r="H144" s="143" t="s">
        <v>63</v>
      </c>
      <c r="I144" s="130">
        <f t="shared" ref="I144" si="7">$J$123-92</f>
        <v>2908</v>
      </c>
      <c r="J144" s="131">
        <f t="shared" si="6"/>
        <v>3</v>
      </c>
      <c r="N144" s="98"/>
    </row>
    <row r="145" spans="1:14" s="1" customFormat="1" ht="18" customHeight="1">
      <c r="A145" s="143">
        <f t="shared" si="1"/>
        <v>13</v>
      </c>
      <c r="B145" s="127" t="str">
        <f t="shared" ref="B145:I145" si="8">IF($D$127=5,O133,IF($D$127=6,O133,IF($D$127=8,O134,IF($D$127=10,O134,IF($D$127=12,O134,IF($D$127=14,O135,IF($D$127=18,O135,IF($D$127=20,O135,IF($D$127=22,O135,)))))))))</f>
        <v>5-6mm คิ้วตบกระจกแนวนอน</v>
      </c>
      <c r="C145" s="127" t="str">
        <f t="shared" si="8"/>
        <v>5-6mm GLAZING BEAD HORIZONTAL</v>
      </c>
      <c r="D145" s="127" t="str">
        <f t="shared" si="8"/>
        <v>B24008</v>
      </c>
      <c r="E145" s="127">
        <f t="shared" si="8"/>
        <v>0.23100000000000001</v>
      </c>
      <c r="F145" s="127" t="str">
        <f t="shared" si="8"/>
        <v>B24008-001</v>
      </c>
      <c r="G145" s="129">
        <f t="shared" si="8"/>
        <v>12</v>
      </c>
      <c r="H145" s="129" t="str">
        <f t="shared" si="8"/>
        <v>(W-182-(113.25 × 5))/6</v>
      </c>
      <c r="I145" s="178">
        <f t="shared" si="8"/>
        <v>575.29166666666663</v>
      </c>
      <c r="J145" s="131">
        <f t="shared" si="6"/>
        <v>12</v>
      </c>
      <c r="N145" s="98"/>
    </row>
    <row r="146" spans="1:14" s="1" customFormat="1" ht="18" customHeight="1">
      <c r="A146" s="143">
        <f t="shared" si="1"/>
        <v>14</v>
      </c>
      <c r="B146" s="127" t="str">
        <f t="shared" ref="B146:I146" si="9">IF($D$127=5,O136,IF($D$127=6,O136,IF($D$127=8,O137,IF($D$127=10,O137,IF($D$127=12,O137,IF($D$127=14,O138,IF($D$127=18,O138,IF($D$127=20,O138,IF($D$127=22,O138,)))))))))</f>
        <v>5-6mm คิ้วตบกระจกแนวตั้ง</v>
      </c>
      <c r="C146" s="127" t="str">
        <f t="shared" si="9"/>
        <v>5-6mm GLAZING BEAD VERTICAL</v>
      </c>
      <c r="D146" s="127" t="str">
        <f t="shared" si="9"/>
        <v>B24008</v>
      </c>
      <c r="E146" s="127">
        <f t="shared" si="9"/>
        <v>0.23100000000000001</v>
      </c>
      <c r="F146" s="127" t="str">
        <f t="shared" si="9"/>
        <v>B24008-002</v>
      </c>
      <c r="G146" s="129">
        <f t="shared" si="9"/>
        <v>12</v>
      </c>
      <c r="H146" s="129" t="str">
        <f t="shared" si="9"/>
        <v>H-242</v>
      </c>
      <c r="I146" s="144">
        <f t="shared" si="9"/>
        <v>2758</v>
      </c>
      <c r="J146" s="131">
        <f t="shared" si="6"/>
        <v>12</v>
      </c>
      <c r="N146" s="98"/>
    </row>
    <row r="147" spans="1:14" s="1" customFormat="1" ht="18" customHeight="1">
      <c r="A147" s="143" t="str">
        <f t="shared" si="1"/>
        <v/>
      </c>
      <c r="B147" s="140"/>
      <c r="C147" s="140"/>
      <c r="D147" s="139"/>
      <c r="E147" s="143"/>
      <c r="F147" s="139"/>
      <c r="G147" s="143"/>
      <c r="H147" s="143"/>
      <c r="I147" s="130"/>
      <c r="J147" s="131">
        <f t="shared" si="0"/>
        <v>0</v>
      </c>
      <c r="N147" s="98"/>
    </row>
    <row r="148" spans="1:14" s="1" customFormat="1" ht="18" customHeight="1">
      <c r="A148" s="143" t="str">
        <f t="shared" si="1"/>
        <v/>
      </c>
      <c r="B148" s="140"/>
      <c r="C148" s="140"/>
      <c r="D148" s="139"/>
      <c r="E148" s="143"/>
      <c r="F148" s="139"/>
      <c r="G148" s="143"/>
      <c r="H148" s="143"/>
      <c r="I148" s="130"/>
      <c r="J148" s="131">
        <f t="shared" si="0"/>
        <v>0</v>
      </c>
      <c r="N148" s="98"/>
    </row>
    <row r="149" spans="1:14" s="1" customFormat="1" ht="18" customHeight="1">
      <c r="A149" s="143" t="str">
        <f t="shared" si="1"/>
        <v/>
      </c>
      <c r="B149" s="140"/>
      <c r="C149" s="140"/>
      <c r="D149" s="139"/>
      <c r="E149" s="143"/>
      <c r="F149" s="139"/>
      <c r="G149" s="143"/>
      <c r="H149" s="143"/>
      <c r="I149" s="130"/>
      <c r="J149" s="131"/>
      <c r="N149" s="98"/>
    </row>
    <row r="150" spans="1:14" s="1" customFormat="1" ht="18" customHeight="1">
      <c r="A150" s="143" t="str">
        <f t="shared" si="1"/>
        <v/>
      </c>
      <c r="B150" s="140"/>
      <c r="C150" s="140"/>
      <c r="D150" s="139"/>
      <c r="E150" s="143"/>
      <c r="F150" s="139"/>
      <c r="G150" s="143"/>
      <c r="H150" s="143"/>
      <c r="I150" s="130"/>
      <c r="J150" s="131">
        <f t="shared" si="0"/>
        <v>0</v>
      </c>
      <c r="N150" s="98"/>
    </row>
    <row r="151" spans="1:14" s="1" customFormat="1" ht="18" customHeight="1">
      <c r="A151" s="143" t="str">
        <f t="shared" si="1"/>
        <v/>
      </c>
      <c r="B151" s="140"/>
      <c r="C151" s="140"/>
      <c r="D151" s="139"/>
      <c r="E151" s="143"/>
      <c r="F151" s="139"/>
      <c r="G151" s="143"/>
      <c r="H151" s="143"/>
      <c r="I151" s="130"/>
      <c r="J151" s="131">
        <f t="shared" si="0"/>
        <v>0</v>
      </c>
      <c r="N151" s="98"/>
    </row>
    <row r="152" spans="1:14" s="1" customFormat="1" ht="18" customHeight="1">
      <c r="A152" s="143" t="str">
        <f t="shared" si="1"/>
        <v/>
      </c>
      <c r="B152" s="127"/>
      <c r="C152" s="127"/>
      <c r="D152" s="128"/>
      <c r="E152" s="129"/>
      <c r="F152" s="128"/>
      <c r="G152" s="129"/>
      <c r="H152" s="129"/>
      <c r="I152" s="144"/>
      <c r="J152" s="131">
        <f t="shared" si="0"/>
        <v>0</v>
      </c>
      <c r="N152" s="98"/>
    </row>
    <row r="153" spans="1:14" s="1" customFormat="1" ht="18" customHeight="1" thickBot="1">
      <c r="A153" s="143" t="str">
        <f t="shared" si="1"/>
        <v/>
      </c>
      <c r="B153" s="167"/>
      <c r="C153" s="167"/>
      <c r="D153" s="168"/>
      <c r="E153" s="166"/>
      <c r="F153" s="168"/>
      <c r="G153" s="166"/>
      <c r="H153" s="166"/>
      <c r="I153" s="171"/>
      <c r="J153" s="172">
        <f t="shared" si="0"/>
        <v>0</v>
      </c>
    </row>
    <row r="154" spans="1:14" s="1" customFormat="1" ht="27" outlineLevel="1" thickBot="1">
      <c r="A154" s="169" t="s">
        <v>2</v>
      </c>
      <c r="B154" s="169" t="s">
        <v>29</v>
      </c>
      <c r="C154" s="169" t="s">
        <v>3</v>
      </c>
      <c r="D154" s="169" t="s">
        <v>4</v>
      </c>
      <c r="E154" s="169" t="s">
        <v>5</v>
      </c>
      <c r="F154" s="177" t="s">
        <v>85</v>
      </c>
      <c r="G154" s="169" t="s">
        <v>22</v>
      </c>
      <c r="H154" s="170" t="s">
        <v>23</v>
      </c>
      <c r="I154" s="540"/>
      <c r="J154" s="541"/>
    </row>
    <row r="155" spans="1:14" s="1" customFormat="1" ht="15" customHeight="1" outlineLevel="1">
      <c r="A155" s="21">
        <f>IF(B155="","",1)</f>
        <v>1</v>
      </c>
      <c r="B155" s="173" t="str">
        <f t="shared" ref="B155:C161" si="10">B133</f>
        <v>เฟรมบน</v>
      </c>
      <c r="C155" s="173" t="str">
        <f t="shared" si="10"/>
        <v>HEAD</v>
      </c>
      <c r="D155" s="174" t="str">
        <f>VLOOKUP(C155,$C$133:$H$153,2,0)</f>
        <v>B24001</v>
      </c>
      <c r="E155" s="175">
        <f t="shared" ref="E155:E161" si="11">VLOOKUP(C155,$C$133:$H$153,3,0)</f>
        <v>1.603</v>
      </c>
      <c r="F155" s="353">
        <f t="shared" ref="F155:F161" si="12">VLOOKUP(C155,$C$133:$J$153,7,0)</f>
        <v>4140</v>
      </c>
      <c r="G155" s="175">
        <f t="shared" ref="G155:G161" si="13">VLOOKUP(C155,$C$133:$J$153,8,0)</f>
        <v>1</v>
      </c>
      <c r="H155" s="191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ref="A156:A161" si="14">IF(B156="","",+A155+1)</f>
        <v>2</v>
      </c>
      <c r="B156" s="173" t="str">
        <f t="shared" si="10"/>
        <v>บังใบบน</v>
      </c>
      <c r="C156" s="173" t="str">
        <f t="shared" si="10"/>
        <v>DOOR STOP HEAD</v>
      </c>
      <c r="D156" s="174" t="str">
        <f>VLOOKUP(C156,$C$133:$H$153,2,0)</f>
        <v>B24002</v>
      </c>
      <c r="E156" s="175">
        <f t="shared" si="11"/>
        <v>0.27800000000000002</v>
      </c>
      <c r="F156" s="353">
        <f t="shared" si="12"/>
        <v>4114</v>
      </c>
      <c r="G156" s="175">
        <f t="shared" si="13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si="14"/>
        <v>3</v>
      </c>
      <c r="B157" s="173" t="str">
        <f t="shared" si="10"/>
        <v xml:space="preserve">เฟรมล่าง </v>
      </c>
      <c r="C157" s="173" t="str">
        <f t="shared" si="10"/>
        <v>SILL</v>
      </c>
      <c r="D157" s="174" t="str">
        <f>VLOOKUP(C157,$C$133:$H$153,2,0)</f>
        <v>B24003</v>
      </c>
      <c r="E157" s="175">
        <f t="shared" si="11"/>
        <v>1.603</v>
      </c>
      <c r="F157" s="353">
        <f t="shared" si="12"/>
        <v>4140</v>
      </c>
      <c r="G157" s="175">
        <f t="shared" si="13"/>
        <v>1</v>
      </c>
      <c r="H157" s="192">
        <f t="shared" ref="H157:H158" si="15">ROUNDUP((F157*G157)/6400,0)</f>
        <v>1</v>
      </c>
      <c r="I157" s="501"/>
      <c r="J157" s="501"/>
    </row>
    <row r="158" spans="1:14" s="1" customFormat="1" ht="15" customHeight="1" outlineLevel="1">
      <c r="A158" s="18">
        <f t="shared" si="14"/>
        <v>4</v>
      </c>
      <c r="B158" s="173" t="str">
        <f t="shared" si="10"/>
        <v>ตัวตับธรณี</v>
      </c>
      <c r="C158" s="173" t="str">
        <f t="shared" si="10"/>
        <v>DOOR STOP SILL</v>
      </c>
      <c r="D158" s="174" t="str">
        <f>VLOOKUP(C158,$C$133:$H$153,2,0)</f>
        <v>B24004</v>
      </c>
      <c r="E158" s="175">
        <f t="shared" si="11"/>
        <v>0.51600000000000001</v>
      </c>
      <c r="F158" s="353">
        <f t="shared" si="12"/>
        <v>4140</v>
      </c>
      <c r="G158" s="175">
        <f t="shared" si="13"/>
        <v>1</v>
      </c>
      <c r="H158" s="192">
        <f t="shared" si="15"/>
        <v>1</v>
      </c>
      <c r="I158" s="501"/>
      <c r="J158" s="501"/>
    </row>
    <row r="159" spans="1:14" s="1" customFormat="1" ht="15" customHeight="1" outlineLevel="1">
      <c r="A159" s="18">
        <f t="shared" si="14"/>
        <v>5</v>
      </c>
      <c r="B159" s="173" t="str">
        <f t="shared" si="10"/>
        <v>เฟรมข้าง (ซ้าย)</v>
      </c>
      <c r="C159" s="173" t="str">
        <f t="shared" si="10"/>
        <v>JAMB (L)</v>
      </c>
      <c r="D159" s="508" t="str">
        <f>VLOOKUP(C159,$C$133:$H$153,2,0)</f>
        <v>B24005</v>
      </c>
      <c r="E159" s="175">
        <f t="shared" si="11"/>
        <v>0.89300000000000002</v>
      </c>
      <c r="F159" s="353">
        <f t="shared" si="12"/>
        <v>3000</v>
      </c>
      <c r="G159" s="175">
        <f t="shared" si="13"/>
        <v>1</v>
      </c>
      <c r="H159" s="516">
        <f>ROUNDUP(((F159*G159)+(F160*G160))/6400,0)</f>
        <v>1</v>
      </c>
      <c r="I159" s="506"/>
      <c r="J159" s="506"/>
    </row>
    <row r="160" spans="1:14" s="1" customFormat="1" ht="15" customHeight="1" outlineLevel="1">
      <c r="A160" s="18">
        <f t="shared" si="14"/>
        <v>6</v>
      </c>
      <c r="B160" s="173" t="str">
        <f t="shared" si="10"/>
        <v>เฟรมข้าง (ขวา)</v>
      </c>
      <c r="C160" s="173" t="str">
        <f t="shared" si="10"/>
        <v>JAMB (R)</v>
      </c>
      <c r="D160" s="509"/>
      <c r="E160" s="175">
        <f t="shared" si="11"/>
        <v>0.89300000000000002</v>
      </c>
      <c r="F160" s="353">
        <f t="shared" si="12"/>
        <v>3000</v>
      </c>
      <c r="G160" s="175">
        <f t="shared" si="13"/>
        <v>1</v>
      </c>
      <c r="H160" s="516"/>
      <c r="I160" s="506"/>
      <c r="J160" s="506"/>
    </row>
    <row r="161" spans="1:23" s="1" customFormat="1" ht="15" customHeight="1" outlineLevel="1">
      <c r="A161" s="18">
        <f t="shared" si="14"/>
        <v>7</v>
      </c>
      <c r="B161" s="173" t="str">
        <f t="shared" si="10"/>
        <v>บังใบข้าง (ซ้าย)</v>
      </c>
      <c r="C161" s="173" t="str">
        <f t="shared" si="10"/>
        <v>DOOR STOP JAMB (L)</v>
      </c>
      <c r="D161" s="508" t="str">
        <f>VLOOKUP(C161,$C$133:$H$153,2,0)</f>
        <v>B24006</v>
      </c>
      <c r="E161" s="175">
        <f t="shared" si="11"/>
        <v>0.23499999999999999</v>
      </c>
      <c r="F161" s="353">
        <f t="shared" si="12"/>
        <v>2904</v>
      </c>
      <c r="G161" s="175">
        <f t="shared" si="13"/>
        <v>1</v>
      </c>
      <c r="H161" s="516">
        <f>ROUNDUP(((F161*G161)+(F162*G162))/6400,0)</f>
        <v>1</v>
      </c>
      <c r="I161" s="501"/>
      <c r="J161" s="501"/>
    </row>
    <row r="162" spans="1:23" s="1" customFormat="1" ht="15" customHeight="1" outlineLevel="1">
      <c r="A162" s="18">
        <f t="shared" ref="A162:A168" si="16">IF(B162="","",+A161+1)</f>
        <v>8</v>
      </c>
      <c r="B162" s="173" t="str">
        <f t="shared" ref="B162:C162" si="17">B140</f>
        <v>บังใบข้าง (ขวา)</v>
      </c>
      <c r="C162" s="173" t="str">
        <f t="shared" si="17"/>
        <v>DOOR STOP JAMB (R)</v>
      </c>
      <c r="D162" s="509"/>
      <c r="E162" s="175">
        <f t="shared" ref="E162:E168" si="18">VLOOKUP(C162,$C$133:$H$153,3,0)</f>
        <v>0.23499999999999999</v>
      </c>
      <c r="F162" s="353">
        <f t="shared" ref="F162:F168" si="19">VLOOKUP(C162,$C$133:$J$153,7,0)</f>
        <v>2904</v>
      </c>
      <c r="G162" s="175">
        <f t="shared" ref="G162:G168" si="20">VLOOKUP(C162,$C$133:$J$153,8,0)</f>
        <v>1</v>
      </c>
      <c r="H162" s="516"/>
      <c r="I162" s="506"/>
      <c r="J162" s="506"/>
    </row>
    <row r="163" spans="1:23" s="1" customFormat="1" ht="13.8" outlineLevel="1">
      <c r="A163" s="18">
        <f t="shared" si="16"/>
        <v>9</v>
      </c>
      <c r="B163" s="173" t="str">
        <f t="shared" ref="B163:C163" si="21">B141</f>
        <v>ขวางบน</v>
      </c>
      <c r="C163" s="173" t="str">
        <f t="shared" si="21"/>
        <v>SASH (Hor) (T)</v>
      </c>
      <c r="D163" s="508" t="str">
        <f t="shared" ref="D163:D167" si="22">VLOOKUP(C163,$C$133:$H$153,2,0)</f>
        <v>B24007</v>
      </c>
      <c r="E163" s="175">
        <f t="shared" si="18"/>
        <v>1.1060000000000001</v>
      </c>
      <c r="F163" s="353">
        <f t="shared" si="19"/>
        <v>575.29166666666663</v>
      </c>
      <c r="G163" s="175">
        <f t="shared" si="20"/>
        <v>6</v>
      </c>
      <c r="H163" s="512">
        <f>ROUNDUP(((F163*G163)+(F164*G164)+(F165*G165)+(F166*G166))/6400,0)</f>
        <v>7</v>
      </c>
      <c r="I163" s="506"/>
      <c r="J163" s="506"/>
    </row>
    <row r="164" spans="1:23" s="1" customFormat="1" ht="13.8" outlineLevel="1">
      <c r="A164" s="18">
        <f t="shared" si="16"/>
        <v>10</v>
      </c>
      <c r="B164" s="173" t="str">
        <f t="shared" ref="B164:C164" si="23">B142</f>
        <v>ขวางล่าง</v>
      </c>
      <c r="C164" s="173" t="str">
        <f t="shared" si="23"/>
        <v>SASH (Hor) (B)</v>
      </c>
      <c r="D164" s="510"/>
      <c r="E164" s="175">
        <f t="shared" si="18"/>
        <v>1.1060000000000001</v>
      </c>
      <c r="F164" s="353">
        <f t="shared" si="19"/>
        <v>575.29166666666663</v>
      </c>
      <c r="G164" s="175">
        <f t="shared" si="20"/>
        <v>6</v>
      </c>
      <c r="H164" s="514"/>
      <c r="I164" s="506"/>
      <c r="J164" s="506"/>
    </row>
    <row r="165" spans="1:23" s="1" customFormat="1" ht="13.8" outlineLevel="1">
      <c r="A165" s="18">
        <f t="shared" si="16"/>
        <v>11</v>
      </c>
      <c r="B165" s="173" t="str">
        <f t="shared" ref="B165:C165" si="24">B143</f>
        <v>เสา</v>
      </c>
      <c r="C165" s="173" t="str">
        <f t="shared" si="24"/>
        <v xml:space="preserve">SASH (Ver) </v>
      </c>
      <c r="D165" s="510"/>
      <c r="E165" s="175">
        <f t="shared" si="18"/>
        <v>1.1060000000000001</v>
      </c>
      <c r="F165" s="353">
        <f t="shared" si="19"/>
        <v>2908</v>
      </c>
      <c r="G165" s="175">
        <f t="shared" si="20"/>
        <v>9</v>
      </c>
      <c r="H165" s="514"/>
      <c r="I165" s="506"/>
      <c r="J165" s="506"/>
    </row>
    <row r="166" spans="1:23" s="1" customFormat="1" ht="15" customHeight="1" outlineLevel="1">
      <c r="A166" s="18">
        <f t="shared" si="16"/>
        <v>12</v>
      </c>
      <c r="B166" s="173" t="str">
        <f t="shared" ref="B166:C166" si="25">B144</f>
        <v>เสากุญแจ</v>
      </c>
      <c r="C166" s="173" t="str">
        <f t="shared" si="25"/>
        <v xml:space="preserve">SASH (Ver) LOCK </v>
      </c>
      <c r="D166" s="509"/>
      <c r="E166" s="175">
        <f t="shared" si="18"/>
        <v>1.1060000000000001</v>
      </c>
      <c r="F166" s="353">
        <f t="shared" si="19"/>
        <v>2908</v>
      </c>
      <c r="G166" s="175">
        <f t="shared" si="20"/>
        <v>3</v>
      </c>
      <c r="H166" s="515"/>
      <c r="I166" s="506"/>
      <c r="J166" s="506"/>
    </row>
    <row r="167" spans="1:23" s="1" customFormat="1" ht="15" customHeight="1" outlineLevel="1">
      <c r="A167" s="18">
        <f t="shared" si="16"/>
        <v>13</v>
      </c>
      <c r="B167" s="173" t="str">
        <f t="shared" ref="B167:C167" si="26">B145</f>
        <v>5-6mm คิ้วตบกระจกแนวนอน</v>
      </c>
      <c r="C167" s="173" t="str">
        <f t="shared" si="26"/>
        <v>5-6mm GLAZING BEAD HORIZONTAL</v>
      </c>
      <c r="D167" s="508" t="str">
        <f t="shared" si="22"/>
        <v>B24008</v>
      </c>
      <c r="E167" s="175">
        <f t="shared" si="18"/>
        <v>0.23100000000000001</v>
      </c>
      <c r="F167" s="353">
        <f t="shared" si="19"/>
        <v>575.29166666666663</v>
      </c>
      <c r="G167" s="175">
        <f t="shared" si="20"/>
        <v>12</v>
      </c>
      <c r="H167" s="516">
        <f>ROUNDUP(((F167*G167)+(F168*G168))/6400,0)</f>
        <v>7</v>
      </c>
      <c r="I167" s="506"/>
      <c r="J167" s="506"/>
    </row>
    <row r="168" spans="1:23" s="1" customFormat="1" outlineLevel="1" thickBot="1">
      <c r="A168" s="18">
        <f t="shared" si="16"/>
        <v>14</v>
      </c>
      <c r="B168" s="173" t="str">
        <f t="shared" ref="B168:C168" si="27">B146</f>
        <v>5-6mm คิ้วตบกระจกแนวตั้ง</v>
      </c>
      <c r="C168" s="173" t="str">
        <f t="shared" si="27"/>
        <v>5-6mm GLAZING BEAD VERTICAL</v>
      </c>
      <c r="D168" s="511"/>
      <c r="E168" s="175">
        <f t="shared" si="18"/>
        <v>0.23100000000000001</v>
      </c>
      <c r="F168" s="353">
        <f t="shared" si="19"/>
        <v>2758</v>
      </c>
      <c r="G168" s="175">
        <f t="shared" si="20"/>
        <v>12</v>
      </c>
      <c r="H168" s="516"/>
      <c r="I168" s="501"/>
      <c r="J168" s="501"/>
    </row>
    <row r="169" spans="1:23" s="1" customFormat="1" ht="24.9" customHeight="1" thickBot="1">
      <c r="A169" s="529" t="s">
        <v>9</v>
      </c>
      <c r="B169" s="530"/>
      <c r="C169" s="530"/>
      <c r="D169" s="530"/>
      <c r="E169" s="530"/>
      <c r="F169" s="530"/>
      <c r="G169" s="530"/>
      <c r="H169" s="530"/>
      <c r="I169" s="530"/>
      <c r="J169" s="531"/>
    </row>
    <row r="170" spans="1:23" s="1" customFormat="1" ht="35.1" customHeight="1" thickBot="1">
      <c r="A170" s="102" t="s">
        <v>2</v>
      </c>
      <c r="B170" s="103" t="s">
        <v>29</v>
      </c>
      <c r="C170" s="103" t="s">
        <v>3</v>
      </c>
      <c r="D170" s="103" t="s">
        <v>199</v>
      </c>
      <c r="E170" s="103" t="s">
        <v>5</v>
      </c>
      <c r="F170" s="104" t="s">
        <v>28</v>
      </c>
      <c r="G170" s="103" t="s">
        <v>19</v>
      </c>
      <c r="H170" s="104" t="s">
        <v>200</v>
      </c>
      <c r="I170" s="104" t="s">
        <v>20</v>
      </c>
      <c r="J170" s="115" t="s">
        <v>201</v>
      </c>
      <c r="N170" s="101" t="s">
        <v>191</v>
      </c>
      <c r="O170" s="246" t="s">
        <v>29</v>
      </c>
      <c r="P170" s="246" t="s">
        <v>3</v>
      </c>
      <c r="Q170" s="246" t="s">
        <v>199</v>
      </c>
      <c r="R170" s="246" t="s">
        <v>5</v>
      </c>
      <c r="S170" s="246" t="s">
        <v>28</v>
      </c>
      <c r="T170" s="246" t="s">
        <v>19</v>
      </c>
      <c r="U170" s="246" t="s">
        <v>200</v>
      </c>
      <c r="V170" s="246" t="s">
        <v>20</v>
      </c>
      <c r="W170" s="246" t="s">
        <v>201</v>
      </c>
    </row>
    <row r="171" spans="1:23" s="1" customFormat="1" ht="18" customHeight="1">
      <c r="A171" s="200">
        <f>IF(B171="","",1)</f>
        <v>1</v>
      </c>
      <c r="B171" s="140" t="s">
        <v>111</v>
      </c>
      <c r="C171" s="140" t="s">
        <v>67</v>
      </c>
      <c r="D171" s="139" t="s">
        <v>74</v>
      </c>
      <c r="E171" s="143"/>
      <c r="F171" s="143" t="s">
        <v>74</v>
      </c>
      <c r="G171" s="143" t="s">
        <v>202</v>
      </c>
      <c r="H171" s="143">
        <v>12</v>
      </c>
      <c r="I171" s="184"/>
      <c r="J171" s="131">
        <f t="shared" ref="J171:J183" si="28">$J$120*H171</f>
        <v>12</v>
      </c>
      <c r="N171" s="101" t="s">
        <v>226</v>
      </c>
      <c r="O171" s="280" t="s">
        <v>252</v>
      </c>
      <c r="P171" s="290" t="s">
        <v>248</v>
      </c>
      <c r="Q171" s="280" t="s">
        <v>69</v>
      </c>
      <c r="R171" s="213"/>
      <c r="S171" s="213" t="s">
        <v>69</v>
      </c>
      <c r="T171" s="213" t="s">
        <v>198</v>
      </c>
      <c r="U171" s="291">
        <f>((($I$141*$G$141)+($I$142*$G$142)+($I$143*$G$143)+($I$144*$G$144))/1000)*$J$120</f>
        <v>41.799500000000002</v>
      </c>
      <c r="V171" s="291">
        <v>100</v>
      </c>
      <c r="W171" s="292">
        <f>ROUNDUP((U171)/100,0)</f>
        <v>1</v>
      </c>
    </row>
    <row r="172" spans="1:23" s="1" customFormat="1" ht="18" customHeight="1">
      <c r="A172" s="201">
        <f>IF(B172="","",+A171+1)</f>
        <v>2</v>
      </c>
      <c r="B172" s="140" t="s">
        <v>106</v>
      </c>
      <c r="C172" s="140" t="s">
        <v>503</v>
      </c>
      <c r="D172" s="139" t="s">
        <v>75</v>
      </c>
      <c r="E172" s="143"/>
      <c r="F172" s="143" t="s">
        <v>75</v>
      </c>
      <c r="G172" s="143" t="s">
        <v>202</v>
      </c>
      <c r="H172" s="143">
        <v>2</v>
      </c>
      <c r="I172" s="184"/>
      <c r="J172" s="131">
        <f t="shared" si="28"/>
        <v>2</v>
      </c>
      <c r="N172" s="101" t="s">
        <v>230</v>
      </c>
      <c r="O172" s="280" t="s">
        <v>253</v>
      </c>
      <c r="P172" s="290" t="s">
        <v>249</v>
      </c>
      <c r="Q172" s="280" t="s">
        <v>188</v>
      </c>
      <c r="R172" s="213"/>
      <c r="S172" s="213" t="s">
        <v>188</v>
      </c>
      <c r="T172" s="213" t="s">
        <v>198</v>
      </c>
      <c r="U172" s="291">
        <f>((($I$141*$G$141)+($I$142*$G$142)+($I$143*$G$143)+($I$144*$G$144))/1000)*$J$120</f>
        <v>41.799500000000002</v>
      </c>
      <c r="V172" s="291">
        <v>100</v>
      </c>
      <c r="W172" s="292">
        <f t="shared" ref="W172:W174" si="29">ROUNDUP((U172)/100,0)</f>
        <v>1</v>
      </c>
    </row>
    <row r="173" spans="1:23" s="1" customFormat="1" ht="18" customHeight="1">
      <c r="A173" s="201">
        <f t="shared" ref="A173:A203" si="30">IF(B173="","",+A172+1)</f>
        <v>3</v>
      </c>
      <c r="B173" s="140" t="s">
        <v>107</v>
      </c>
      <c r="C173" s="140" t="s">
        <v>504</v>
      </c>
      <c r="D173" s="139" t="s">
        <v>76</v>
      </c>
      <c r="E173" s="143"/>
      <c r="F173" s="143" t="s">
        <v>76</v>
      </c>
      <c r="G173" s="143" t="s">
        <v>202</v>
      </c>
      <c r="H173" s="143">
        <v>2</v>
      </c>
      <c r="I173" s="130"/>
      <c r="J173" s="131">
        <f t="shared" si="28"/>
        <v>2</v>
      </c>
      <c r="N173" s="101" t="s">
        <v>229</v>
      </c>
      <c r="O173" s="290" t="s">
        <v>254</v>
      </c>
      <c r="P173" s="290" t="s">
        <v>250</v>
      </c>
      <c r="Q173" s="280" t="s">
        <v>70</v>
      </c>
      <c r="R173" s="213"/>
      <c r="S173" s="213" t="s">
        <v>70</v>
      </c>
      <c r="T173" s="213" t="s">
        <v>198</v>
      </c>
      <c r="U173" s="291">
        <f>((($I$141*$G$141)+($I$142*$G$142)+($I$143*$G$143)+($I$144*$G$144))/1000)*$J$120</f>
        <v>41.799500000000002</v>
      </c>
      <c r="V173" s="291">
        <v>100</v>
      </c>
      <c r="W173" s="292">
        <f t="shared" si="29"/>
        <v>1</v>
      </c>
    </row>
    <row r="174" spans="1:23" s="1" customFormat="1" ht="18" customHeight="1">
      <c r="A174" s="201">
        <f t="shared" si="30"/>
        <v>4</v>
      </c>
      <c r="B174" s="140" t="s">
        <v>108</v>
      </c>
      <c r="C174" s="140" t="s">
        <v>10</v>
      </c>
      <c r="D174" s="139">
        <v>9</v>
      </c>
      <c r="E174" s="143"/>
      <c r="F174" s="143">
        <v>9</v>
      </c>
      <c r="G174" s="143" t="s">
        <v>202</v>
      </c>
      <c r="H174" s="143">
        <v>8</v>
      </c>
      <c r="I174" s="130"/>
      <c r="J174" s="131">
        <f t="shared" si="28"/>
        <v>8</v>
      </c>
      <c r="N174" s="101" t="s">
        <v>231</v>
      </c>
      <c r="O174" s="290" t="s">
        <v>255</v>
      </c>
      <c r="P174" s="290" t="s">
        <v>251</v>
      </c>
      <c r="Q174" s="280" t="s">
        <v>189</v>
      </c>
      <c r="R174" s="213"/>
      <c r="S174" s="213" t="s">
        <v>189</v>
      </c>
      <c r="T174" s="213" t="s">
        <v>198</v>
      </c>
      <c r="U174" s="291">
        <f>((($I$141*$G$141)+($I$142*$G$142)+($I$143*$G$143)+($I$144*$G$144))/1000)*$J$120</f>
        <v>41.799500000000002</v>
      </c>
      <c r="V174" s="291">
        <v>100</v>
      </c>
      <c r="W174" s="292">
        <f t="shared" si="29"/>
        <v>1</v>
      </c>
    </row>
    <row r="175" spans="1:23" s="1" customFormat="1" ht="18" customHeight="1">
      <c r="A175" s="201">
        <f t="shared" si="30"/>
        <v>5</v>
      </c>
      <c r="B175" s="140" t="s">
        <v>109</v>
      </c>
      <c r="C175" s="140" t="s">
        <v>68</v>
      </c>
      <c r="D175" s="139">
        <v>9</v>
      </c>
      <c r="E175" s="143"/>
      <c r="F175" s="143">
        <v>9</v>
      </c>
      <c r="G175" s="143" t="s">
        <v>202</v>
      </c>
      <c r="H175" s="143">
        <v>110</v>
      </c>
      <c r="I175" s="130"/>
      <c r="J175" s="131">
        <f t="shared" si="28"/>
        <v>110</v>
      </c>
      <c r="N175" s="101" t="s">
        <v>232</v>
      </c>
      <c r="O175" s="290" t="s">
        <v>256</v>
      </c>
      <c r="P175" s="290" t="s">
        <v>247</v>
      </c>
      <c r="Q175" s="280" t="s">
        <v>233</v>
      </c>
      <c r="R175" s="213"/>
      <c r="S175" s="213" t="s">
        <v>233</v>
      </c>
      <c r="T175" s="213" t="s">
        <v>198</v>
      </c>
      <c r="U175" s="291">
        <f>((($I$141*$G$141)+($I$142*$G$142)+($I$143*$G$143)+($I$144*$G$144))/1000)*$J$120</f>
        <v>41.799500000000002</v>
      </c>
      <c r="V175" s="291">
        <v>100</v>
      </c>
      <c r="W175" s="292">
        <f>ROUNDUP((U175)/100,0)</f>
        <v>1</v>
      </c>
    </row>
    <row r="176" spans="1:23" s="1" customFormat="1" ht="18" customHeight="1">
      <c r="A176" s="201">
        <f t="shared" si="30"/>
        <v>6</v>
      </c>
      <c r="B176" s="140" t="s">
        <v>132</v>
      </c>
      <c r="C176" s="140" t="s">
        <v>79</v>
      </c>
      <c r="D176" s="139" t="s">
        <v>82</v>
      </c>
      <c r="E176" s="143"/>
      <c r="F176" s="143" t="s">
        <v>82</v>
      </c>
      <c r="G176" s="143" t="s">
        <v>185</v>
      </c>
      <c r="H176" s="143">
        <v>1</v>
      </c>
      <c r="I176" s="130"/>
      <c r="J176" s="131">
        <f>$J$120*H176</f>
        <v>1</v>
      </c>
    </row>
    <row r="177" spans="1:24" s="1" customFormat="1" ht="18" customHeight="1">
      <c r="A177" s="201">
        <f t="shared" si="30"/>
        <v>7</v>
      </c>
      <c r="B177" s="140" t="s">
        <v>143</v>
      </c>
      <c r="C177" s="140" t="s">
        <v>121</v>
      </c>
      <c r="D177" s="139" t="s">
        <v>103</v>
      </c>
      <c r="E177" s="143"/>
      <c r="F177" s="143" t="s">
        <v>103</v>
      </c>
      <c r="G177" s="143" t="s">
        <v>185</v>
      </c>
      <c r="H177" s="143">
        <v>2</v>
      </c>
      <c r="I177" s="130"/>
      <c r="J177" s="131">
        <f>$J$120*H177</f>
        <v>2</v>
      </c>
    </row>
    <row r="178" spans="1:24" s="1" customFormat="1" ht="18" customHeight="1">
      <c r="A178" s="201">
        <f t="shared" si="30"/>
        <v>8</v>
      </c>
      <c r="B178" s="140" t="s">
        <v>118</v>
      </c>
      <c r="C178" s="140" t="s">
        <v>77</v>
      </c>
      <c r="D178" s="139" t="s">
        <v>80</v>
      </c>
      <c r="E178" s="143"/>
      <c r="F178" s="143" t="s">
        <v>80</v>
      </c>
      <c r="G178" s="143" t="s">
        <v>185</v>
      </c>
      <c r="H178" s="143">
        <v>1</v>
      </c>
      <c r="I178" s="130"/>
      <c r="J178" s="131">
        <f t="shared" si="28"/>
        <v>1</v>
      </c>
    </row>
    <row r="179" spans="1:24" s="1" customFormat="1" ht="18" customHeight="1">
      <c r="A179" s="201">
        <f t="shared" si="30"/>
        <v>9</v>
      </c>
      <c r="B179" s="140" t="s">
        <v>142</v>
      </c>
      <c r="C179" s="140" t="s">
        <v>141</v>
      </c>
      <c r="D179" s="139" t="s">
        <v>81</v>
      </c>
      <c r="E179" s="143"/>
      <c r="F179" s="143" t="s">
        <v>81</v>
      </c>
      <c r="G179" s="143" t="s">
        <v>185</v>
      </c>
      <c r="H179" s="143">
        <v>1</v>
      </c>
      <c r="I179" s="130"/>
      <c r="J179" s="131">
        <f t="shared" si="28"/>
        <v>1</v>
      </c>
    </row>
    <row r="180" spans="1:24" s="1" customFormat="1" ht="18" customHeight="1">
      <c r="A180" s="201">
        <f t="shared" si="30"/>
        <v>10</v>
      </c>
      <c r="B180" s="140" t="s">
        <v>131</v>
      </c>
      <c r="C180" s="140" t="s">
        <v>100</v>
      </c>
      <c r="D180" s="139" t="s">
        <v>102</v>
      </c>
      <c r="E180" s="143"/>
      <c r="F180" s="143" t="s">
        <v>102</v>
      </c>
      <c r="G180" s="143" t="s">
        <v>185</v>
      </c>
      <c r="H180" s="143">
        <v>2</v>
      </c>
      <c r="I180" s="130"/>
      <c r="J180" s="131">
        <f t="shared" si="28"/>
        <v>2</v>
      </c>
      <c r="N180" s="56"/>
      <c r="O180" s="56"/>
      <c r="P180" s="56"/>
      <c r="Q180" s="289"/>
      <c r="R180" s="289"/>
      <c r="S180" s="289"/>
      <c r="T180" s="17"/>
      <c r="U180" s="17"/>
      <c r="V180" s="17"/>
      <c r="W180" s="56"/>
    </row>
    <row r="181" spans="1:24" s="1" customFormat="1" ht="18" customHeight="1">
      <c r="A181" s="201">
        <f t="shared" si="30"/>
        <v>11</v>
      </c>
      <c r="B181" s="140" t="s">
        <v>113</v>
      </c>
      <c r="C181" s="140" t="s">
        <v>502</v>
      </c>
      <c r="D181" s="139" t="s">
        <v>83</v>
      </c>
      <c r="E181" s="143"/>
      <c r="F181" s="143" t="s">
        <v>83</v>
      </c>
      <c r="G181" s="143" t="s">
        <v>185</v>
      </c>
      <c r="H181" s="143">
        <v>3</v>
      </c>
      <c r="I181" s="144"/>
      <c r="J181" s="131">
        <f t="shared" si="28"/>
        <v>3</v>
      </c>
      <c r="N181" s="101" t="s">
        <v>227</v>
      </c>
      <c r="O181" s="246" t="s">
        <v>29</v>
      </c>
      <c r="P181" s="246" t="s">
        <v>3</v>
      </c>
      <c r="Q181" s="246" t="s">
        <v>199</v>
      </c>
      <c r="R181" s="246" t="s">
        <v>5</v>
      </c>
      <c r="S181" s="246" t="s">
        <v>28</v>
      </c>
      <c r="T181" s="246" t="s">
        <v>19</v>
      </c>
      <c r="U181" s="246" t="s">
        <v>200</v>
      </c>
      <c r="V181" s="246" t="s">
        <v>20</v>
      </c>
      <c r="W181" s="246" t="s">
        <v>201</v>
      </c>
    </row>
    <row r="182" spans="1:24" s="1" customFormat="1" ht="18" customHeight="1">
      <c r="A182" s="201">
        <f t="shared" si="30"/>
        <v>12</v>
      </c>
      <c r="B182" s="140" t="s">
        <v>112</v>
      </c>
      <c r="C182" s="140" t="s">
        <v>114</v>
      </c>
      <c r="D182" s="128" t="s">
        <v>520</v>
      </c>
      <c r="E182" s="129"/>
      <c r="F182" s="129" t="s">
        <v>520</v>
      </c>
      <c r="G182" s="143" t="s">
        <v>202</v>
      </c>
      <c r="H182" s="143">
        <v>6</v>
      </c>
      <c r="I182" s="144"/>
      <c r="J182" s="131">
        <f t="shared" si="28"/>
        <v>6</v>
      </c>
      <c r="N182" s="101" t="s">
        <v>240</v>
      </c>
      <c r="O182" s="290" t="s">
        <v>234</v>
      </c>
      <c r="P182" s="290" t="s">
        <v>236</v>
      </c>
      <c r="Q182" s="280" t="s">
        <v>190</v>
      </c>
      <c r="R182" s="213"/>
      <c r="S182" s="213" t="s">
        <v>190</v>
      </c>
      <c r="T182" s="213" t="s">
        <v>198</v>
      </c>
      <c r="U182" s="291">
        <f>((($I$134*$G$134)+($I$136*$G$136)+($I$139*$G$139))/1000)*$J$120</f>
        <v>11.157999999999999</v>
      </c>
      <c r="V182" s="291">
        <v>300</v>
      </c>
      <c r="W182" s="292">
        <f>ROUNDUP((U182)/V182,0)</f>
        <v>1</v>
      </c>
    </row>
    <row r="183" spans="1:24" s="1" customFormat="1" ht="18" customHeight="1">
      <c r="A183" s="201">
        <f t="shared" si="30"/>
        <v>13</v>
      </c>
      <c r="B183" s="140" t="s">
        <v>115</v>
      </c>
      <c r="C183" s="140" t="s">
        <v>45</v>
      </c>
      <c r="D183" s="139" t="s">
        <v>84</v>
      </c>
      <c r="E183" s="143"/>
      <c r="F183" s="143" t="s">
        <v>84</v>
      </c>
      <c r="G183" s="143" t="s">
        <v>202</v>
      </c>
      <c r="H183" s="143">
        <v>1</v>
      </c>
      <c r="I183" s="144"/>
      <c r="J183" s="131">
        <f t="shared" si="28"/>
        <v>1</v>
      </c>
      <c r="N183" s="101" t="s">
        <v>241</v>
      </c>
      <c r="O183" s="290" t="s">
        <v>235</v>
      </c>
      <c r="P183" s="290" t="s">
        <v>238</v>
      </c>
      <c r="Q183" s="280" t="s">
        <v>71</v>
      </c>
      <c r="R183" s="213"/>
      <c r="S183" s="213" t="s">
        <v>71</v>
      </c>
      <c r="T183" s="213" t="s">
        <v>198</v>
      </c>
      <c r="U183" s="291">
        <f>((($I$134*$G$134)+($I$136*$G$136)+($I$139*$G$139))/1000)*$J$120</f>
        <v>11.157999999999999</v>
      </c>
      <c r="V183" s="291">
        <v>100</v>
      </c>
      <c r="W183" s="292">
        <f t="shared" ref="W183:W185" si="31">ROUNDUP((U183)/V183,0)</f>
        <v>1</v>
      </c>
    </row>
    <row r="184" spans="1:24" s="1" customFormat="1" ht="18" customHeight="1">
      <c r="A184" s="201">
        <f t="shared" si="30"/>
        <v>14</v>
      </c>
      <c r="B184" s="140" t="s">
        <v>110</v>
      </c>
      <c r="C184" s="140" t="s">
        <v>66</v>
      </c>
      <c r="D184" s="139" t="s">
        <v>73</v>
      </c>
      <c r="E184" s="143"/>
      <c r="F184" s="143" t="s">
        <v>73</v>
      </c>
      <c r="G184" s="143" t="s">
        <v>202</v>
      </c>
      <c r="H184" s="143">
        <v>3</v>
      </c>
      <c r="I184" s="130"/>
      <c r="J184" s="131">
        <f>$J$120*H184</f>
        <v>3</v>
      </c>
      <c r="N184" s="101" t="s">
        <v>240</v>
      </c>
      <c r="O184" s="290" t="s">
        <v>245</v>
      </c>
      <c r="P184" s="290" t="s">
        <v>237</v>
      </c>
      <c r="Q184" s="280" t="s">
        <v>72</v>
      </c>
      <c r="R184" s="213"/>
      <c r="S184" s="213" t="s">
        <v>72</v>
      </c>
      <c r="T184" s="213" t="s">
        <v>198</v>
      </c>
      <c r="U184" s="291">
        <f>((($I$141*$G$141*2)+($I$142*$G$142*2)+($I$143*$G$143*2)+($I$144*$G$144*2))/1000)*$J$120</f>
        <v>83.599000000000004</v>
      </c>
      <c r="V184" s="291">
        <v>350</v>
      </c>
      <c r="W184" s="292">
        <f t="shared" si="31"/>
        <v>1</v>
      </c>
    </row>
    <row r="185" spans="1:24" s="1" customFormat="1" ht="18" customHeight="1">
      <c r="A185" s="201">
        <f t="shared" si="30"/>
        <v>15</v>
      </c>
      <c r="B185" s="139" t="str">
        <f>IF($D$129="Standard",$O$182,IF($D$129="Soumdproof",$O$183,))</f>
        <v>ยางเฟรมกันน้ำ (ธรรมดา)</v>
      </c>
      <c r="C185" s="139" t="str">
        <f>IF($D$129="Standard",$P$182,IF($D$129="Soumdproof",$P$183,))</f>
        <v>FRAME SEAL (Standard)</v>
      </c>
      <c r="D185" s="139" t="str">
        <f>IF($D$129="Standard",$Q$182,IF($D$129="Soumdproof",$Q$183,))</f>
        <v>02-026</v>
      </c>
      <c r="E185" s="143">
        <f t="shared" ref="E185" si="32">IF($D$129="Standard",R183,IF($D$129="Soumdproof",R184,))</f>
        <v>0</v>
      </c>
      <c r="F185" s="143" t="str">
        <f>IF($D$129="Standard",$S$182,IF($D$129="Soumdproof",$S$183,))</f>
        <v>02-026</v>
      </c>
      <c r="G185" s="143" t="str">
        <f>IF($D$129="Standard",$T$182,IF($D$129="Soumdproof",$T$183,))</f>
        <v>M</v>
      </c>
      <c r="H185" s="261">
        <f>IF($D$129="Standard",$U$182,IF($D$129="Soumdproof",$U$183,))</f>
        <v>11.157999999999999</v>
      </c>
      <c r="I185" s="258">
        <f>IF($D$129="Standard",$V$182,IF($D$129="Soumdproof",$V$183,))</f>
        <v>300</v>
      </c>
      <c r="J185" s="267">
        <f>ROUNDUP((H185)/100,0)</f>
        <v>1</v>
      </c>
      <c r="N185" s="101" t="s">
        <v>241</v>
      </c>
      <c r="O185" s="290" t="s">
        <v>246</v>
      </c>
      <c r="P185" s="290" t="s">
        <v>239</v>
      </c>
      <c r="Q185" s="280" t="s">
        <v>193</v>
      </c>
      <c r="R185" s="213"/>
      <c r="S185" s="213" t="s">
        <v>193</v>
      </c>
      <c r="T185" s="213" t="s">
        <v>198</v>
      </c>
      <c r="U185" s="291">
        <f>((($I$141*$G$141*2)+($I$142*$G$142*2)+($I$143*$G$143*2)+($I$144*$G$144*2))/1000)*$J$120</f>
        <v>83.599000000000004</v>
      </c>
      <c r="V185" s="291">
        <v>100</v>
      </c>
      <c r="W185" s="292">
        <f t="shared" si="31"/>
        <v>1</v>
      </c>
    </row>
    <row r="186" spans="1:24" s="1" customFormat="1" ht="18" customHeight="1">
      <c r="A186" s="201">
        <f t="shared" si="30"/>
        <v>16</v>
      </c>
      <c r="B186" s="139" t="str">
        <f>IF($D$129="Standard",$O$184,IF($D$129="Soumdproof",$O$185,))</f>
        <v>ยางแซชกันน้ำ (ธรรมดา)</v>
      </c>
      <c r="C186" s="139" t="str">
        <f>IF($D$129="Standard",$P$184,IF($D$129="Soumdproof",$P$185,))</f>
        <v>SASH SEAL FOAM (Standard)</v>
      </c>
      <c r="D186" s="139" t="str">
        <f>IF($D$129="Standard",$Q$184,IF($D$129="Soumdproof",$Q$185,))</f>
        <v>02-031</v>
      </c>
      <c r="E186" s="143">
        <f t="shared" ref="E186" si="33">IF($D$129="Standard",R185,IF($D$129="Soumdproof",R186,))</f>
        <v>0</v>
      </c>
      <c r="F186" s="143" t="str">
        <f>IF($D$129="Standard",$S$184,IF($D$129="Soumdproof",$S$185,))</f>
        <v>02-031</v>
      </c>
      <c r="G186" s="143" t="str">
        <f>IF($D$129="Standard",$T$184,IF($D$129="Soumdproof",$T$185,))</f>
        <v>M</v>
      </c>
      <c r="H186" s="261">
        <f>IF($D$129="Standard",$U$184,IF($D$129="Soumdproof",$U$185,))</f>
        <v>83.599000000000004</v>
      </c>
      <c r="I186" s="258">
        <f>IF($D$129="Standard",$V$184,IF($D$129="Soumdproof",$V$185,))</f>
        <v>350</v>
      </c>
      <c r="J186" s="267">
        <f>ROUNDUP((H186)/100,0)</f>
        <v>1</v>
      </c>
    </row>
    <row r="187" spans="1:24" s="1" customFormat="1" ht="18" customHeight="1">
      <c r="A187" s="201">
        <f t="shared" si="30"/>
        <v>17</v>
      </c>
      <c r="B187" s="241" t="str">
        <f>IF($D$127=5,$O$173,IF($D$127=6,$O$174,IF($D$127=8,$O$175,IF($D$127=10,$O$173,IF($D$127=12,$O$173,IF($D$127=14,$O$175,IF($D$127=18,$O$173,IF($D$127=20,$O$174,IF($D$127=22,"")))))))))</f>
        <v>5,8,10,12,18 mmยางอัดกระจก</v>
      </c>
      <c r="C187" s="241" t="str">
        <f>IF($D$127=5,$P$173,IF($D$127=6,$P$174,IF($D$127=8,$P$175,IF($D$127=10,$P$173,IF($D$127=12,$P$173,IF($D$127=14,$P$175,IF($D$127=18,$P$173,IF($D$127=20,$P$174,IF($D$127=22,"")))))))))</f>
        <v>5,8,10,12,18 mm ROLL IN WEDGE</v>
      </c>
      <c r="D187" s="241" t="str">
        <f>IF($D$127=5,$Q$173,IF($D$127=6,$Q$174,IF($D$127=8,$Q$175,IF($D$127=10,$Q$173,IF($D$127=12,$Q$173,IF($D$127=14,$Q$175,IF($D$127=18,$Q$173,IF($D$127=20,$Q$174,IF($D$127=22,"")))))))))</f>
        <v>02-033</v>
      </c>
      <c r="E187" s="241">
        <f t="shared" ref="E187" si="34">IF($D$127=5,R174,IF($D$127=6,R175,IF($D$127=8,R176,IF($D$127=10,R174,IF($D$127=12,R174,IF($D$127=14,R176,IF($D$127=18,R174,IF($D$127=20,R175,IF($D$127=22,"",)))))))))</f>
        <v>0</v>
      </c>
      <c r="F187" s="242" t="str">
        <f>IF($D$127=5,$S$173,IF($D$127=6,$S$174,IF($D$127=8,$S$175,IF($D$127=10,$S$173,IF($D$127=12,$S$173,IF($D$127=14,$S$175,IF($D$127=18,$S$173,IF($D$127=20,$S$174,IF($D$127=22,"")))))))))</f>
        <v>02-033</v>
      </c>
      <c r="G187" s="242" t="str">
        <f>IF($D$127=5,$T$173,IF($D$127=6,$T$174,IF($D$127=8,$T$175,IF($D$127=10,$T$173,IF($D$127=12,$T$173,IF($D$127=14,$T$175,IF($D$127=18,$T$173,IF($D$127=20,$T$174,IF($D$127=22,"")))))))))</f>
        <v>M</v>
      </c>
      <c r="H187" s="261">
        <f>IF($D$127=5,$U$173,IF($D$127=6,$U$174,IF($D$127=8,$U$175,IF($D$127=10,$U$173*2,IF($D$127=12,$U$173,IF($D$127=14,$U$175*2,IF($D$127=18,$U$173,IF($D$127=20,$U$174,IF($D$127=22,"")))))))))</f>
        <v>41.799500000000002</v>
      </c>
      <c r="I187" s="258">
        <f>IF($D$127=5,$V$173,IF($D$127=6,$V$174,IF($D$127=8,$V$175,IF($D$127=10,$V$173,IF($D$127=12,$V$173,IF($D$127=14,$V$175,IF($D$127=18,$V$173,IF($D$127=20,$V$174,IF($D$127=22,"")))))))))</f>
        <v>100</v>
      </c>
      <c r="J187" s="267">
        <f>ROUNDUP((H187)/100,0)</f>
        <v>1</v>
      </c>
    </row>
    <row r="188" spans="1:24" s="1" customFormat="1" ht="18" customHeight="1">
      <c r="A188" s="201">
        <f t="shared" si="30"/>
        <v>18</v>
      </c>
      <c r="B188" s="241" t="str">
        <f>IF($D$127=5,$O$171,IF($D$127=6,$O$171,IF($D$127=8,$O$173,IF($D$127=10,"",IF($D$127=12,$O$172,IF($D$127=14,"",IF($D$127=18,$O$171,IF($D$127=20,$O$172,IF($D$127=22,"",)))))))))</f>
        <v>5,6,18 mm ยางรองกระจก</v>
      </c>
      <c r="C188" s="241" t="str">
        <f>IF($D$127=5,$P$171,IF($D$127=6,$P$171,IF($D$127=8,$P$173,IF($D$127=10,"",IF($D$127=12,$P$172,IF($D$127=14,"",IF($D$127=18,$P$171,IF($D$127=20,$P$172,IF($D$127=22,"",)))))))))</f>
        <v>5,6,18 mm CAPTIVE WEDGE</v>
      </c>
      <c r="D188" s="241" t="str">
        <f>IF($D$127=5,$Q$171,IF($D$127=6,$Q$171,IF($D$127=8,$Q$173,IF($D$127=10,"",IF($D$127=12,$Q$172,IF($D$127=14,"",IF($D$127=18,$Q$171,IF($D$127=20,$Q$172,IF($D$127=22,"",)))))))))</f>
        <v>02-022</v>
      </c>
      <c r="E188" s="241">
        <f t="shared" ref="E188" si="35">IF($D$127=5,R172,IF($D$127=6,R172,IF($D$127=8,R174,IF($D$127=10,"",IF($D$127=12,R173,IF($D$127=14,"",IF($D$127=18,R172,IF($D$127=20,R173,IF($D$127=22,"",)))))))))</f>
        <v>0</v>
      </c>
      <c r="F188" s="242" t="str">
        <f>IF($D$127=5,$S$171,IF($D$127=6,$S$171,IF($D$127=8,$S$173,IF($D$127=10,"",IF($D$127=12,$S$172,IF($D$127=14,"",IF($D$127=18,$S$171,IF($D$127=20,$S$172,IF($D$127=22,"",)))))))))</f>
        <v>02-022</v>
      </c>
      <c r="G188" s="242" t="str">
        <f>IF($D$127=5,$T$171,IF($D$127=6,$T$171,IF($D$127=8,$T$173,IF($D$127=10,"",IF($D$127=12,$T$172,IF($D$127=14,"",IF($D$127=18,$T$171,IF($D$127=20,$T$172,IF($D$127=22,"",)))))))))</f>
        <v>M</v>
      </c>
      <c r="H188" s="261">
        <f>IF($D$127=5,$U$171,IF($D$127=6,$U$171,IF($D$127=8,$U$173,IF($D$127=10,"",IF($D$127=12,$U$172,IF($D$127=14,"",IF($D$127=18,$U$171,IF($D$127=20,$U$172,IF($D$127=22,"")))))))))</f>
        <v>41.799500000000002</v>
      </c>
      <c r="I188" s="258">
        <f>IF($D$127=5,$V$171,IF($D$127=6,$V$171,IF($D$127=8,$V$173,IF($D$127=10,"",IF($D$127=12,$V$172,IF($D$127=14,"",IF($D$127=18,$V$171,IF($D$127=20,$V$172,IF($D$127=22,"",)))))))))</f>
        <v>100</v>
      </c>
      <c r="J188" s="267">
        <f t="shared" ref="J188" si="36">ROUNDUP((H188)/100,0)</f>
        <v>1</v>
      </c>
    </row>
    <row r="189" spans="1:24" s="1" customFormat="1" ht="18" customHeight="1">
      <c r="A189" s="201" t="str">
        <f t="shared" si="30"/>
        <v/>
      </c>
      <c r="B189" s="140"/>
      <c r="C189" s="140"/>
      <c r="D189" s="139"/>
      <c r="E189" s="143"/>
      <c r="F189" s="143"/>
      <c r="G189" s="143"/>
      <c r="H189" s="143"/>
      <c r="I189" s="144"/>
      <c r="J189" s="131">
        <f t="shared" ref="J189:J203" si="37">$J$120*H189</f>
        <v>0</v>
      </c>
    </row>
    <row r="190" spans="1:24" s="1" customFormat="1" ht="18" customHeight="1">
      <c r="A190" s="201" t="str">
        <f t="shared" si="30"/>
        <v/>
      </c>
      <c r="B190" s="140"/>
      <c r="C190" s="140"/>
      <c r="D190" s="139"/>
      <c r="E190" s="143"/>
      <c r="F190" s="143"/>
      <c r="G190" s="143"/>
      <c r="H190" s="143"/>
      <c r="I190" s="130"/>
      <c r="J190" s="131">
        <f t="shared" si="37"/>
        <v>0</v>
      </c>
    </row>
    <row r="191" spans="1:24" ht="18" customHeight="1">
      <c r="A191" s="201" t="str">
        <f t="shared" si="30"/>
        <v/>
      </c>
      <c r="B191" s="140"/>
      <c r="C191" s="140"/>
      <c r="D191" s="139"/>
      <c r="E191" s="143"/>
      <c r="F191" s="143"/>
      <c r="G191" s="143"/>
      <c r="H191" s="143"/>
      <c r="I191" s="130"/>
      <c r="J191" s="131">
        <f t="shared" ref="J191:J199" si="38">$J$120*H191</f>
        <v>0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s="1" customFormat="1" ht="18" customHeight="1">
      <c r="A192" s="201" t="str">
        <f t="shared" si="30"/>
        <v/>
      </c>
      <c r="B192" s="140"/>
      <c r="C192" s="140"/>
      <c r="D192" s="139"/>
      <c r="E192" s="143"/>
      <c r="F192" s="143"/>
      <c r="G192" s="143"/>
      <c r="H192" s="143"/>
      <c r="I192" s="130"/>
      <c r="J192" s="131">
        <f t="shared" si="38"/>
        <v>0</v>
      </c>
    </row>
    <row r="193" spans="1:14" s="1" customFormat="1" ht="18" customHeight="1">
      <c r="A193" s="201" t="str">
        <f t="shared" si="30"/>
        <v/>
      </c>
      <c r="B193" s="140"/>
      <c r="C193" s="140"/>
      <c r="D193" s="139"/>
      <c r="E193" s="143"/>
      <c r="F193" s="143"/>
      <c r="G193" s="143"/>
      <c r="H193" s="143"/>
      <c r="I193" s="130"/>
      <c r="J193" s="131">
        <f t="shared" si="38"/>
        <v>0</v>
      </c>
    </row>
    <row r="194" spans="1:14" s="1" customFormat="1" ht="18" customHeight="1">
      <c r="A194" s="201" t="str">
        <f t="shared" si="30"/>
        <v/>
      </c>
      <c r="B194" s="140"/>
      <c r="C194" s="140"/>
      <c r="D194" s="139"/>
      <c r="E194" s="143"/>
      <c r="F194" s="143"/>
      <c r="G194" s="143"/>
      <c r="H194" s="143"/>
      <c r="I194" s="130"/>
      <c r="J194" s="131">
        <f t="shared" si="38"/>
        <v>0</v>
      </c>
    </row>
    <row r="195" spans="1:14" s="1" customFormat="1" ht="18" customHeight="1">
      <c r="A195" s="201" t="str">
        <f t="shared" si="30"/>
        <v/>
      </c>
      <c r="B195" s="140"/>
      <c r="C195" s="140"/>
      <c r="D195" s="139"/>
      <c r="E195" s="143"/>
      <c r="F195" s="143"/>
      <c r="G195" s="143"/>
      <c r="H195" s="143"/>
      <c r="I195" s="130"/>
      <c r="J195" s="131">
        <f t="shared" si="38"/>
        <v>0</v>
      </c>
    </row>
    <row r="196" spans="1:14" s="1" customFormat="1" ht="18" customHeight="1">
      <c r="A196" s="201" t="str">
        <f t="shared" si="30"/>
        <v/>
      </c>
      <c r="B196" s="140"/>
      <c r="C196" s="140"/>
      <c r="D196" s="139"/>
      <c r="E196" s="143"/>
      <c r="F196" s="143"/>
      <c r="G196" s="143"/>
      <c r="H196" s="143"/>
      <c r="I196" s="130"/>
      <c r="J196" s="131">
        <f t="shared" si="38"/>
        <v>0</v>
      </c>
    </row>
    <row r="197" spans="1:14" s="1" customFormat="1" ht="18" customHeight="1">
      <c r="A197" s="201" t="str">
        <f t="shared" si="30"/>
        <v/>
      </c>
      <c r="B197" s="140"/>
      <c r="C197" s="140"/>
      <c r="D197" s="139"/>
      <c r="E197" s="143"/>
      <c r="F197" s="143"/>
      <c r="G197" s="143"/>
      <c r="H197" s="143"/>
      <c r="I197" s="130"/>
      <c r="J197" s="131">
        <f t="shared" si="38"/>
        <v>0</v>
      </c>
    </row>
    <row r="198" spans="1:14" s="1" customFormat="1" ht="18" customHeight="1">
      <c r="A198" s="201" t="str">
        <f t="shared" si="30"/>
        <v/>
      </c>
      <c r="B198" s="140"/>
      <c r="C198" s="140"/>
      <c r="D198" s="139"/>
      <c r="E198" s="143"/>
      <c r="F198" s="143"/>
      <c r="G198" s="143"/>
      <c r="H198" s="143"/>
      <c r="I198" s="130"/>
      <c r="J198" s="131">
        <f t="shared" si="38"/>
        <v>0</v>
      </c>
    </row>
    <row r="199" spans="1:14" s="1" customFormat="1" ht="18" customHeight="1">
      <c r="A199" s="201" t="str">
        <f t="shared" si="30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 t="shared" si="38"/>
        <v>0</v>
      </c>
    </row>
    <row r="200" spans="1:14" s="1" customFormat="1" ht="18" customHeight="1">
      <c r="A200" s="201" t="str">
        <f>IF(B200="","",+A199+1)</f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si="37"/>
        <v>0</v>
      </c>
    </row>
    <row r="201" spans="1:14" s="1" customFormat="1" ht="18" customHeight="1">
      <c r="A201" s="201" t="str">
        <f t="shared" si="30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si="37"/>
        <v>0</v>
      </c>
    </row>
    <row r="202" spans="1:14" s="1" customFormat="1" ht="18" customHeight="1">
      <c r="A202" s="201" t="str">
        <f t="shared" si="30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si="37"/>
        <v>0</v>
      </c>
    </row>
    <row r="203" spans="1:14" s="1" customFormat="1" ht="18" customHeight="1">
      <c r="A203" s="201" t="str">
        <f t="shared" si="30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si="37"/>
        <v>0</v>
      </c>
    </row>
    <row r="204" spans="1:14" s="1" customFormat="1" ht="18" customHeight="1">
      <c r="A204" s="317" t="str">
        <f>IF(B204="","",+A203+1)</f>
        <v/>
      </c>
      <c r="B204" s="142"/>
      <c r="C204" s="142"/>
      <c r="D204" s="141"/>
      <c r="E204" s="240"/>
      <c r="F204" s="240"/>
      <c r="G204" s="240"/>
      <c r="H204" s="240"/>
      <c r="I204" s="136"/>
      <c r="J204" s="293">
        <f t="shared" ref="J204" si="39">$J$120*G204</f>
        <v>0</v>
      </c>
    </row>
    <row r="205" spans="1:14" s="1" customFormat="1" ht="18" customHeight="1">
      <c r="A205" s="25"/>
      <c r="B205" s="161"/>
      <c r="C205" s="33"/>
      <c r="D205" s="30"/>
      <c r="E205" s="17"/>
      <c r="F205" s="30"/>
      <c r="G205" s="30"/>
      <c r="H205" s="161"/>
      <c r="I205" s="24"/>
      <c r="J205" s="24"/>
    </row>
    <row r="206" spans="1:14" ht="18" customHeight="1">
      <c r="A206" s="17"/>
      <c r="J206" s="99" t="str">
        <f>LEFT($J$111,11)&amp;"-02"</f>
        <v>FG-240-6P6L-02</v>
      </c>
    </row>
    <row r="207" spans="1:14" ht="12.75" customHeight="1">
      <c r="B207" s="56"/>
      <c r="C207" s="56"/>
      <c r="D207" s="30"/>
      <c r="E207" s="17"/>
      <c r="F207" s="17"/>
      <c r="G207" s="17"/>
      <c r="H207" s="17"/>
      <c r="K207" s="7"/>
      <c r="L207" s="7"/>
      <c r="M207" s="2"/>
      <c r="N207" s="2"/>
    </row>
    <row r="208" spans="1:14" ht="30" customHeight="1">
      <c r="I208" s="95"/>
      <c r="J208" s="90" t="str">
        <f>$J$2</f>
        <v>HOMELIFE</v>
      </c>
      <c r="K208" s="11"/>
      <c r="L208" s="11"/>
      <c r="M208" s="2"/>
      <c r="N208" s="2"/>
    </row>
    <row r="209" spans="1:14" ht="24.9" customHeight="1">
      <c r="B209" s="217"/>
      <c r="C209" s="5"/>
      <c r="D209" s="95"/>
      <c r="E209" s="95"/>
      <c r="F209" s="95"/>
      <c r="G209" s="95"/>
      <c r="H209" s="95"/>
      <c r="I209" s="28"/>
      <c r="J209" s="91" t="str">
        <f>$J$3</f>
        <v>Fabricators Guide</v>
      </c>
      <c r="K209" s="11"/>
      <c r="L209" s="11"/>
      <c r="M209" s="2"/>
      <c r="N209" s="2"/>
    </row>
    <row r="210" spans="1:14" ht="24.9" customHeight="1">
      <c r="B210" s="217"/>
      <c r="C210" s="28"/>
      <c r="D210" s="28"/>
      <c r="E210" s="28"/>
      <c r="F210" s="28"/>
      <c r="G210" s="28"/>
      <c r="H210" s="28"/>
      <c r="I210" s="28"/>
      <c r="J210" s="91" t="str">
        <f>$J$4</f>
        <v xml:space="preserve">240 Series Bi Fold Door </v>
      </c>
      <c r="K210" s="48"/>
      <c r="L210" s="48"/>
      <c r="M210" s="4"/>
      <c r="N210" s="4"/>
    </row>
    <row r="211" spans="1:14" s="1" customFormat="1" ht="15" customHeight="1" thickBot="1">
      <c r="A211" s="78"/>
      <c r="B211" s="8"/>
      <c r="C211" s="28"/>
      <c r="D211" s="28"/>
      <c r="E211" s="28"/>
      <c r="F211" s="28"/>
      <c r="G211" s="28"/>
      <c r="H211" s="28"/>
      <c r="I211" s="78"/>
      <c r="J211" s="113"/>
      <c r="K211" s="4"/>
      <c r="L211" s="4"/>
      <c r="M211" s="4"/>
      <c r="N211" s="4"/>
    </row>
    <row r="212" spans="1:14" s="1" customFormat="1" ht="24.9" customHeight="1" thickBot="1">
      <c r="A212" s="502" t="s">
        <v>30</v>
      </c>
      <c r="B212" s="503"/>
      <c r="C212" s="503"/>
      <c r="D212" s="503"/>
      <c r="E212" s="503"/>
      <c r="F212" s="503"/>
      <c r="G212" s="503"/>
      <c r="H212" s="503"/>
      <c r="I212" s="503"/>
      <c r="J212" s="504"/>
      <c r="K212" s="56"/>
      <c r="L212" s="56"/>
      <c r="M212" s="56"/>
      <c r="N212" s="56"/>
    </row>
    <row r="214" spans="1:14" s="1" customFormat="1" ht="15" customHeight="1">
      <c r="A214" s="93"/>
      <c r="B214"/>
      <c r="C214"/>
      <c r="D214" s="81"/>
      <c r="E214"/>
      <c r="F214"/>
      <c r="G214"/>
      <c r="H214"/>
      <c r="I214" s="160"/>
      <c r="J214" s="116"/>
    </row>
    <row r="215" spans="1:14" s="1" customFormat="1" ht="15" customHeight="1">
      <c r="A215" s="17"/>
      <c r="B215" s="93"/>
      <c r="C215" s="56"/>
      <c r="D215" s="30"/>
      <c r="E215" s="29"/>
      <c r="F215" s="160"/>
      <c r="G215" s="160"/>
      <c r="H215" s="160"/>
      <c r="J215" s="17"/>
    </row>
    <row r="216" spans="1:14" s="1" customFormat="1" ht="15" customHeight="1">
      <c r="A216" s="17"/>
      <c r="B216" s="56"/>
      <c r="C216" s="328"/>
      <c r="D216" s="30"/>
      <c r="E216" s="29"/>
      <c r="F216" s="30"/>
      <c r="J216" s="17"/>
    </row>
    <row r="217" spans="1:14" s="1" customFormat="1" ht="15.6">
      <c r="A217" s="109"/>
      <c r="B217" s="33"/>
      <c r="C217" s="327"/>
      <c r="D217" s="161"/>
      <c r="E217" s="109"/>
      <c r="F217" s="161"/>
      <c r="H217" s="328"/>
      <c r="J217" s="109"/>
    </row>
    <row r="218" spans="1:14" s="1" customFormat="1" ht="15" customHeight="1">
      <c r="A218" s="93"/>
      <c r="B218" s="93"/>
      <c r="C218" s="56"/>
      <c r="D218" s="30"/>
      <c r="E218" s="29"/>
      <c r="F218" s="160"/>
      <c r="H218" s="328"/>
      <c r="I218" s="109"/>
      <c r="J218" s="109"/>
    </row>
    <row r="219" spans="1:14" s="1" customFormat="1" ht="15" customHeight="1">
      <c r="A219" s="17"/>
      <c r="B219" s="56"/>
      <c r="C219" s="89" t="s">
        <v>378</v>
      </c>
      <c r="D219" s="30"/>
      <c r="E219" s="29"/>
      <c r="F219" s="30"/>
      <c r="I219" s="109"/>
      <c r="J219" s="109"/>
    </row>
    <row r="220" spans="1:14" s="1" customFormat="1" ht="15" customHeight="1">
      <c r="A220" s="17"/>
      <c r="B220" s="56"/>
      <c r="C220" s="328" t="s">
        <v>275</v>
      </c>
      <c r="D220" s="30"/>
      <c r="E220" s="29"/>
      <c r="F220" s="30"/>
      <c r="H220" s="89"/>
      <c r="J220" s="12"/>
    </row>
    <row r="221" spans="1:14" s="1" customFormat="1" ht="15" customHeight="1">
      <c r="A221" s="109"/>
      <c r="B221" s="33"/>
      <c r="C221" s="327" t="s">
        <v>273</v>
      </c>
      <c r="D221" s="161"/>
      <c r="E221" s="109"/>
      <c r="F221" s="161"/>
      <c r="J221" s="12"/>
    </row>
    <row r="222" spans="1:14" s="1" customFormat="1" ht="15" customHeight="1">
      <c r="A222" s="109"/>
      <c r="B222" s="33"/>
      <c r="C222" s="374">
        <f>$I$133</f>
        <v>4140</v>
      </c>
      <c r="D222" s="161"/>
      <c r="E222" s="35"/>
      <c r="F222" s="161"/>
      <c r="G222" s="68"/>
      <c r="J222" s="12"/>
    </row>
    <row r="223" spans="1:14" s="1" customFormat="1" ht="15" customHeight="1">
      <c r="A223" s="109"/>
      <c r="B223" s="33"/>
      <c r="C223" s="363">
        <f>$J$133</f>
        <v>1</v>
      </c>
      <c r="D223" s="161"/>
      <c r="E223" s="35"/>
      <c r="F223" s="161"/>
      <c r="G223" s="326"/>
      <c r="I223" s="109"/>
      <c r="J223" s="109"/>
    </row>
    <row r="224" spans="1:14" s="1" customFormat="1" ht="15" customHeight="1">
      <c r="A224" s="109"/>
      <c r="B224" s="33"/>
      <c r="D224" s="161"/>
      <c r="E224" s="109"/>
      <c r="F224" s="161"/>
      <c r="G224" s="326"/>
      <c r="I224" s="109"/>
      <c r="J224" s="109"/>
    </row>
    <row r="225" spans="1:10" s="1" customFormat="1" ht="15.9" customHeight="1">
      <c r="A225" s="92"/>
      <c r="B225" s="92"/>
      <c r="C225" s="13"/>
      <c r="D225" s="161"/>
      <c r="E225" s="109"/>
      <c r="F225" s="161"/>
      <c r="G225" s="68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H226" s="109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32"/>
      <c r="J227" s="40"/>
    </row>
    <row r="228" spans="1:10" s="1" customFormat="1" ht="15.9" customHeight="1">
      <c r="A228" s="92"/>
      <c r="B228" s="92"/>
      <c r="C228" s="327"/>
      <c r="D228" s="161"/>
      <c r="E228" s="109"/>
      <c r="F228" s="161"/>
      <c r="H228" s="109"/>
      <c r="I228" s="216"/>
      <c r="J228" s="117"/>
    </row>
    <row r="229" spans="1:10" s="1" customFormat="1" ht="15.9" customHeight="1">
      <c r="A229" s="45"/>
      <c r="B229" s="45"/>
      <c r="D229" s="161"/>
      <c r="E229" s="109"/>
      <c r="F229" s="161"/>
      <c r="I229" s="216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328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216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216"/>
      <c r="J232" s="117"/>
    </row>
    <row r="233" spans="1:10" s="1" customFormat="1" ht="15.9" customHeight="1">
      <c r="A233" s="44"/>
      <c r="B233" s="44"/>
      <c r="C233" s="89" t="s">
        <v>381</v>
      </c>
      <c r="D233" s="84"/>
      <c r="E233" s="44"/>
      <c r="F233" s="44"/>
      <c r="G233" s="109"/>
      <c r="H233" s="109"/>
      <c r="I233" s="216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4114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216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16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328"/>
      <c r="J240" s="117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109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36"/>
      <c r="I242" s="24"/>
      <c r="J242" s="24"/>
    </row>
    <row r="243" spans="1:10" s="1" customFormat="1" ht="15.9" customHeight="1">
      <c r="A243" s="109"/>
      <c r="B243" s="33"/>
      <c r="D243" s="161"/>
      <c r="E243" s="109"/>
      <c r="F243" s="161"/>
      <c r="G243" s="109"/>
      <c r="H243" s="109"/>
      <c r="I243" s="109"/>
      <c r="J243" s="24"/>
    </row>
    <row r="244" spans="1:10" s="1" customFormat="1" ht="15.9" customHeight="1">
      <c r="A244" s="109"/>
      <c r="B244" s="33"/>
      <c r="C244" s="89" t="s">
        <v>370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.9" customHeight="1">
      <c r="A245" s="109"/>
      <c r="B245" s="33"/>
      <c r="C245" s="328" t="s">
        <v>275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" customHeight="1">
      <c r="A246" s="109"/>
      <c r="B246" s="33"/>
      <c r="C246" s="327" t="s">
        <v>273</v>
      </c>
      <c r="D246" s="161"/>
      <c r="E246" s="109"/>
      <c r="F246" s="161"/>
      <c r="G246" s="109"/>
      <c r="H246" s="109"/>
      <c r="I246" s="24"/>
      <c r="J246" s="24"/>
    </row>
    <row r="247" spans="1:10" s="1" customFormat="1" ht="15.9" customHeight="1">
      <c r="A247" s="109"/>
      <c r="B247" s="33"/>
      <c r="C247" s="374">
        <f>$I$135</f>
        <v>4140</v>
      </c>
      <c r="D247" s="161"/>
      <c r="E247" s="109"/>
      <c r="F247" s="161"/>
      <c r="G247" s="109"/>
      <c r="H247" s="109"/>
      <c r="I247" s="44"/>
      <c r="J247" s="119"/>
    </row>
    <row r="248" spans="1:10" s="1" customFormat="1" ht="15.9" customHeight="1">
      <c r="A248" s="109"/>
      <c r="B248" s="33"/>
      <c r="C248" s="363">
        <f>$J$135</f>
        <v>1</v>
      </c>
      <c r="D248" s="161"/>
      <c r="E248" s="109"/>
      <c r="F248" s="161"/>
      <c r="G248" s="109"/>
      <c r="H248" s="109"/>
      <c r="I248" s="32"/>
      <c r="J248" s="40"/>
    </row>
    <row r="249" spans="1:10" s="1" customFormat="1" ht="15.9" customHeight="1">
      <c r="A249" s="109"/>
      <c r="B249" s="33"/>
      <c r="C249" s="161"/>
      <c r="D249" s="161"/>
      <c r="E249" s="109"/>
      <c r="F249" s="161"/>
      <c r="G249" s="109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4"/>
      <c r="H251" s="109"/>
      <c r="J251" s="12"/>
    </row>
    <row r="252" spans="1:10" s="1" customFormat="1" ht="15.9" customHeight="1">
      <c r="A252" s="109"/>
      <c r="B252" s="33"/>
      <c r="C252" s="33"/>
      <c r="D252" s="161"/>
      <c r="E252" s="109"/>
      <c r="F252" s="109"/>
      <c r="G252" s="44"/>
      <c r="H252" s="109"/>
      <c r="J252" s="12"/>
    </row>
    <row r="253" spans="1:10" s="1" customFormat="1" ht="15.9" customHeight="1">
      <c r="A253" s="109"/>
      <c r="B253" s="33"/>
      <c r="C253" s="33"/>
      <c r="D253" s="161"/>
      <c r="E253" s="109"/>
      <c r="F253" s="109"/>
      <c r="G253" s="40"/>
      <c r="H253" s="109"/>
      <c r="I253" s="24"/>
      <c r="J253" s="24"/>
    </row>
    <row r="254" spans="1:10" s="1" customFormat="1" ht="15.9" customHeight="1">
      <c r="A254" s="109"/>
      <c r="B254" s="33"/>
      <c r="D254" s="161"/>
      <c r="E254" s="109"/>
      <c r="F254" s="109"/>
      <c r="G254" s="109"/>
      <c r="H254" s="109"/>
      <c r="I254" s="24"/>
      <c r="J254" s="24"/>
    </row>
    <row r="255" spans="1:10" s="1" customFormat="1" ht="15.9" customHeight="1">
      <c r="A255" s="44"/>
      <c r="B255" s="44"/>
      <c r="D255" s="84"/>
      <c r="E255" s="44"/>
      <c r="F255" s="44"/>
      <c r="G255" s="109"/>
      <c r="H255" s="109"/>
      <c r="I255" s="24"/>
      <c r="J255" s="24"/>
    </row>
    <row r="256" spans="1:10" s="1" customFormat="1" ht="15.9" customHeight="1">
      <c r="A256" s="40"/>
      <c r="B256" s="40"/>
      <c r="C256" s="89" t="s">
        <v>371</v>
      </c>
      <c r="D256" s="85"/>
      <c r="E256" s="40"/>
      <c r="F256" s="32"/>
      <c r="G256" s="109"/>
      <c r="I256" s="24"/>
      <c r="J256" s="24"/>
    </row>
    <row r="257" spans="1:10" s="1" customFormat="1" ht="15.9" customHeight="1">
      <c r="A257" s="27"/>
      <c r="B257" s="33"/>
      <c r="C257" s="328" t="s">
        <v>275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27" t="s">
        <v>273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74">
        <f>$I$136</f>
        <v>4140</v>
      </c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63">
        <f>$J$136</f>
        <v>1</v>
      </c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33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33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46"/>
      <c r="D264" s="161"/>
      <c r="E264" s="109"/>
      <c r="F264" s="109"/>
      <c r="G264" s="109"/>
      <c r="I264" s="24"/>
      <c r="J264" s="24"/>
    </row>
    <row r="265" spans="1:10" s="1" customFormat="1" ht="15.9" customHeight="1">
      <c r="A265" s="27"/>
      <c r="B265" s="33"/>
      <c r="C265" s="161"/>
      <c r="D265" s="161"/>
      <c r="E265" s="109"/>
      <c r="F265" s="109"/>
      <c r="G265" s="109"/>
      <c r="I265" s="24"/>
      <c r="J265" s="24"/>
    </row>
    <row r="266" spans="1:10" s="1" customFormat="1" ht="15.9" customHeight="1">
      <c r="A266" s="27"/>
      <c r="B266" s="33"/>
      <c r="C266" s="33"/>
      <c r="D266" s="161"/>
      <c r="E266" s="109"/>
      <c r="F266" s="109"/>
      <c r="G266" s="109"/>
      <c r="I266" s="24"/>
      <c r="J266" s="24"/>
    </row>
    <row r="267" spans="1:10" s="1" customFormat="1" ht="15.9" customHeight="1">
      <c r="A267" s="27"/>
      <c r="B267" s="33"/>
      <c r="C267" s="89" t="s">
        <v>373</v>
      </c>
      <c r="D267" s="161"/>
      <c r="E267" s="109"/>
      <c r="F267" s="109"/>
      <c r="G267" s="109"/>
      <c r="H267" s="109"/>
      <c r="I267" s="24"/>
      <c r="J267" s="24"/>
    </row>
    <row r="268" spans="1:10" s="1" customFormat="1" ht="15.9" customHeight="1">
      <c r="A268" s="27"/>
      <c r="B268" s="33"/>
      <c r="C268" s="328" t="s">
        <v>379</v>
      </c>
      <c r="D268" s="328"/>
      <c r="E268" s="328"/>
      <c r="F268" s="109"/>
      <c r="G268" s="109"/>
      <c r="H268" s="109"/>
      <c r="I268" s="24"/>
      <c r="J268" s="24"/>
    </row>
    <row r="269" spans="1:10" s="1" customFormat="1" ht="15.9" customHeight="1">
      <c r="A269" s="27"/>
      <c r="B269" s="33"/>
      <c r="C269" s="327" t="s">
        <v>279</v>
      </c>
      <c r="D269" s="327"/>
      <c r="E269" s="327"/>
      <c r="F269" s="109"/>
      <c r="G269" s="109"/>
      <c r="H269" s="109"/>
      <c r="J269" s="12"/>
    </row>
    <row r="270" spans="1:10" s="1" customFormat="1" ht="15.9" customHeight="1">
      <c r="A270" s="27"/>
      <c r="B270" s="33"/>
      <c r="C270" s="374">
        <f>$I$137</f>
        <v>3000</v>
      </c>
      <c r="D270" s="161"/>
      <c r="E270" s="109"/>
      <c r="F270" s="109"/>
      <c r="G270" s="33"/>
      <c r="H270" s="33"/>
      <c r="J270" s="12"/>
    </row>
    <row r="271" spans="1:10" s="1" customFormat="1" ht="15.9" customHeight="1">
      <c r="A271" s="27"/>
      <c r="B271" s="33"/>
      <c r="C271" s="363">
        <f>$J$137+$J$138</f>
        <v>2</v>
      </c>
      <c r="D271" s="161"/>
      <c r="E271" s="109"/>
      <c r="F271" s="109"/>
      <c r="G271" s="109"/>
      <c r="H271" s="109"/>
      <c r="J271" s="12"/>
    </row>
    <row r="272" spans="1:10" s="1" customFormat="1" ht="15.9" customHeight="1">
      <c r="A272" s="27"/>
      <c r="B272" s="33"/>
      <c r="D272" s="89"/>
      <c r="E272" s="89"/>
      <c r="F272" s="109"/>
      <c r="G272" s="109"/>
      <c r="H272" s="109"/>
      <c r="J272" s="12"/>
    </row>
    <row r="273" spans="1:10" s="1" customFormat="1" ht="15.9" customHeight="1">
      <c r="A273" s="27"/>
      <c r="B273" s="33"/>
      <c r="D273" s="89"/>
      <c r="E273" s="89"/>
      <c r="F273" s="109"/>
      <c r="G273" s="109"/>
      <c r="H273" s="109"/>
      <c r="J273" s="12"/>
    </row>
    <row r="274" spans="1:10" s="1" customFormat="1" ht="15.9" customHeight="1">
      <c r="A274" s="27"/>
      <c r="B274" s="33"/>
      <c r="D274" s="89"/>
      <c r="E274" s="89"/>
      <c r="F274" s="109"/>
      <c r="G274" s="109"/>
      <c r="H274" s="109"/>
      <c r="J274" s="12"/>
    </row>
    <row r="275" spans="1:10" s="1" customFormat="1" ht="15.9" customHeight="1">
      <c r="A275" s="27"/>
      <c r="D275" s="328"/>
      <c r="E275" s="328"/>
      <c r="F275" s="109"/>
      <c r="G275" s="109"/>
      <c r="H275" s="109"/>
      <c r="J275" s="12"/>
    </row>
    <row r="276" spans="1:10" s="1" customFormat="1" ht="15.9" customHeight="1">
      <c r="A276" s="27"/>
      <c r="B276" s="33"/>
      <c r="D276" s="328"/>
      <c r="E276" s="328"/>
      <c r="F276" s="109"/>
      <c r="G276" s="109"/>
      <c r="I276" s="24"/>
      <c r="J276" s="24"/>
    </row>
    <row r="277" spans="1:10" s="1" customFormat="1" ht="15.9" customHeight="1">
      <c r="A277" s="27"/>
      <c r="B277" s="33"/>
      <c r="C277" s="33"/>
      <c r="D277" s="161"/>
      <c r="E277" s="109"/>
      <c r="F277" s="109"/>
      <c r="G277" s="109"/>
      <c r="I277" s="24"/>
      <c r="J277" s="24"/>
    </row>
    <row r="278" spans="1:10" s="1" customFormat="1" ht="15.9" customHeight="1">
      <c r="A278" s="27"/>
      <c r="B278" s="33"/>
      <c r="C278" s="89" t="s">
        <v>374</v>
      </c>
      <c r="D278" s="162"/>
      <c r="E278" s="24"/>
      <c r="F278" s="109"/>
      <c r="G278" s="109"/>
      <c r="I278" s="24"/>
      <c r="J278" s="24"/>
    </row>
    <row r="279" spans="1:10" s="1" customFormat="1" ht="15.9" customHeight="1">
      <c r="A279" s="27"/>
      <c r="B279" s="33"/>
      <c r="C279" s="328" t="s">
        <v>649</v>
      </c>
      <c r="D279" s="328"/>
      <c r="E279" s="328"/>
      <c r="F279" s="109"/>
      <c r="G279" s="109"/>
      <c r="I279" s="109"/>
      <c r="J279" s="24"/>
    </row>
    <row r="280" spans="1:10" s="1" customFormat="1" ht="15.9" customHeight="1">
      <c r="A280" s="27"/>
      <c r="B280" s="33"/>
      <c r="C280" s="433" t="s">
        <v>650</v>
      </c>
      <c r="D280" s="327"/>
      <c r="E280" s="327"/>
      <c r="F280" s="109"/>
      <c r="G280" s="109"/>
      <c r="I280" s="109"/>
      <c r="J280" s="24"/>
    </row>
    <row r="281" spans="1:10" s="1" customFormat="1" ht="15.9" customHeight="1">
      <c r="A281" s="27"/>
      <c r="B281" s="33"/>
      <c r="C281" s="374">
        <f>$I$139</f>
        <v>2904</v>
      </c>
      <c r="F281" s="109"/>
      <c r="G281" s="109"/>
      <c r="I281" s="109"/>
      <c r="J281" s="24"/>
    </row>
    <row r="282" spans="1:10" s="1" customFormat="1" ht="15.9" customHeight="1">
      <c r="A282" s="27"/>
      <c r="B282" s="33"/>
      <c r="C282" s="363">
        <f>$J$139+$J$140</f>
        <v>2</v>
      </c>
      <c r="F282" s="109"/>
      <c r="G282" s="109"/>
      <c r="I282" s="109"/>
      <c r="J282" s="24"/>
    </row>
    <row r="283" spans="1:10" s="1" customFormat="1" ht="15.9" customHeight="1">
      <c r="A283" s="27"/>
      <c r="B283" s="33"/>
      <c r="F283" s="109"/>
      <c r="G283" s="109"/>
      <c r="H283" s="109"/>
      <c r="J283" s="12"/>
    </row>
    <row r="284" spans="1:10" s="1" customFormat="1" ht="15.9" customHeight="1">
      <c r="A284" s="27"/>
      <c r="B284" s="33"/>
      <c r="F284" s="109"/>
      <c r="G284" s="109"/>
      <c r="H284" s="109"/>
      <c r="J284" s="12"/>
    </row>
    <row r="285" spans="1:10" s="1" customFormat="1" ht="15.9" customHeight="1">
      <c r="A285" s="27"/>
      <c r="B285" s="33"/>
      <c r="C285" s="33"/>
      <c r="D285" s="161"/>
      <c r="E285" s="109"/>
      <c r="F285" s="109"/>
      <c r="G285" s="109"/>
      <c r="H285" s="109"/>
      <c r="J285" s="12"/>
    </row>
    <row r="286" spans="1:10" s="1" customFormat="1" ht="15.9" customHeight="1">
      <c r="A286" s="27"/>
      <c r="B286" s="33"/>
      <c r="F286" s="109"/>
      <c r="G286" s="109"/>
      <c r="H286" s="109"/>
      <c r="J286" s="12"/>
    </row>
    <row r="287" spans="1:10" s="1" customFormat="1" ht="15.9" customHeight="1">
      <c r="A287" s="27"/>
      <c r="B287" s="33"/>
      <c r="F287" s="109"/>
      <c r="G287" s="109"/>
      <c r="H287" s="109"/>
      <c r="I287" s="162"/>
      <c r="J287" s="24"/>
    </row>
    <row r="288" spans="1:10" s="1" customFormat="1" ht="15.9" customHeight="1">
      <c r="A288" s="27"/>
      <c r="B288" s="33"/>
      <c r="C288" s="89" t="s">
        <v>375</v>
      </c>
      <c r="F288" s="109"/>
      <c r="G288" s="109"/>
      <c r="H288" s="109"/>
      <c r="I288" s="109"/>
      <c r="J288" s="24"/>
    </row>
    <row r="289" spans="1:10" s="1" customFormat="1" ht="15.9" customHeight="1">
      <c r="A289" s="27"/>
      <c r="B289" s="33"/>
      <c r="C289" s="94" t="s">
        <v>448</v>
      </c>
      <c r="D289" s="161"/>
      <c r="E289" s="109"/>
      <c r="F289" s="109"/>
      <c r="G289" s="109"/>
      <c r="H289" s="109"/>
      <c r="I289" s="24"/>
      <c r="J289" s="24"/>
    </row>
    <row r="290" spans="1:10" s="1" customFormat="1" ht="15.9" customHeight="1">
      <c r="A290" s="27"/>
      <c r="B290" s="33"/>
      <c r="C290" s="327" t="s">
        <v>450</v>
      </c>
      <c r="D290" s="161"/>
      <c r="E290" s="109"/>
      <c r="F290" s="109"/>
      <c r="G290" s="109"/>
      <c r="H290" s="109"/>
      <c r="I290" s="24"/>
      <c r="J290" s="24"/>
    </row>
    <row r="291" spans="1:10" s="1" customFormat="1" ht="15.9" customHeight="1">
      <c r="A291" s="27"/>
      <c r="B291" s="33"/>
      <c r="C291" s="328" t="s">
        <v>281</v>
      </c>
      <c r="D291" s="328"/>
      <c r="E291" s="328"/>
      <c r="F291" s="109"/>
      <c r="G291" s="109"/>
      <c r="I291" s="24"/>
      <c r="J291" s="24"/>
    </row>
    <row r="292" spans="1:10" s="23" customFormat="1" ht="15.9" customHeight="1">
      <c r="A292" s="27"/>
      <c r="B292" s="33"/>
      <c r="C292" s="327" t="s">
        <v>282</v>
      </c>
      <c r="D292" s="327"/>
      <c r="E292" s="327"/>
      <c r="F292" s="109"/>
      <c r="G292" s="109"/>
      <c r="H292" s="1"/>
      <c r="I292" s="109"/>
      <c r="J292" s="109"/>
    </row>
    <row r="293" spans="1:10" s="1" customFormat="1" ht="15.9" customHeight="1">
      <c r="A293" s="27"/>
      <c r="B293" s="33"/>
      <c r="C293" s="374">
        <f>$I$141</f>
        <v>575.29166666666663</v>
      </c>
      <c r="F293" s="109"/>
      <c r="G293" s="109"/>
      <c r="I293" s="44"/>
      <c r="J293" s="119"/>
    </row>
    <row r="294" spans="1:10" s="1" customFormat="1" ht="15.9" customHeight="1">
      <c r="A294" s="27"/>
      <c r="B294" s="33"/>
      <c r="C294" s="363">
        <f>$J$141+$J$142</f>
        <v>12</v>
      </c>
      <c r="D294" s="161"/>
      <c r="E294" s="109"/>
      <c r="F294" s="109"/>
      <c r="G294" s="109"/>
      <c r="H294" s="161"/>
      <c r="I294" s="32"/>
      <c r="J294" s="40"/>
    </row>
    <row r="295" spans="1:10" s="1" customFormat="1" ht="15.9" customHeight="1">
      <c r="A295" s="27"/>
      <c r="B295" s="33"/>
      <c r="C295" s="374">
        <f>$I$143</f>
        <v>2908</v>
      </c>
      <c r="D295" s="161"/>
      <c r="E295" s="109"/>
      <c r="F295" s="109"/>
      <c r="G295" s="109"/>
      <c r="H295" s="109"/>
      <c r="I295" s="24"/>
      <c r="J295" s="24"/>
    </row>
    <row r="296" spans="1:10" s="1" customFormat="1" ht="15.9" customHeight="1">
      <c r="A296" s="27"/>
      <c r="B296" s="33"/>
      <c r="C296" s="363">
        <f>$J$143+$J$144</f>
        <v>12</v>
      </c>
      <c r="D296" s="161"/>
      <c r="E296" s="109"/>
      <c r="F296" s="109"/>
      <c r="G296" s="109"/>
      <c r="H296" s="109"/>
      <c r="I296" s="24"/>
      <c r="J296" s="24"/>
    </row>
    <row r="297" spans="1:10" s="1" customFormat="1" ht="15.9" customHeight="1">
      <c r="A297" s="27"/>
      <c r="B297" s="33"/>
      <c r="D297" s="161"/>
      <c r="E297" s="109"/>
      <c r="F297" s="109"/>
      <c r="G297" s="109"/>
      <c r="H297" s="109"/>
      <c r="I297" s="24"/>
      <c r="J297" s="24"/>
    </row>
    <row r="298" spans="1:10" s="1" customFormat="1" ht="15.9" customHeight="1">
      <c r="A298" s="27"/>
      <c r="B298" s="33"/>
      <c r="D298" s="161"/>
      <c r="E298" s="109"/>
      <c r="F298" s="109"/>
      <c r="G298" s="109"/>
      <c r="H298" s="109"/>
      <c r="I298" s="24"/>
      <c r="J298" s="24"/>
    </row>
    <row r="299" spans="1:10" s="1" customFormat="1" ht="15.9" customHeight="1">
      <c r="A299" s="27"/>
      <c r="B299" s="33"/>
      <c r="C299" s="33"/>
      <c r="D299" s="161"/>
      <c r="E299" s="109"/>
      <c r="F299" s="109"/>
      <c r="G299" s="109"/>
      <c r="H299" s="109"/>
      <c r="I299" s="109"/>
      <c r="J299" s="24"/>
    </row>
    <row r="300" spans="1:10" s="1" customFormat="1" ht="15.9" customHeight="1">
      <c r="A300" s="27"/>
      <c r="B300" s="33"/>
      <c r="C300" s="23"/>
      <c r="D300" s="161"/>
      <c r="E300" s="109"/>
      <c r="F300" s="109"/>
      <c r="G300" s="109"/>
      <c r="H300" s="109"/>
      <c r="I300" s="109"/>
      <c r="J300" s="24"/>
    </row>
    <row r="301" spans="1:10" s="1" customFormat="1" ht="15.9" customHeight="1">
      <c r="A301" s="27"/>
      <c r="B301" s="33"/>
      <c r="C301" s="89" t="s">
        <v>376</v>
      </c>
      <c r="D301" s="161"/>
      <c r="E301" s="109"/>
      <c r="F301" s="109"/>
      <c r="G301" s="109"/>
      <c r="H301" s="109"/>
      <c r="I301" s="109"/>
      <c r="J301" s="24"/>
    </row>
    <row r="302" spans="1:10" s="1" customFormat="1" ht="15.9" customHeight="1">
      <c r="A302" s="27"/>
      <c r="B302" s="33"/>
      <c r="C302" s="94" t="s">
        <v>448</v>
      </c>
      <c r="D302" s="161"/>
      <c r="E302" s="109"/>
      <c r="F302" s="109"/>
      <c r="G302" s="44"/>
      <c r="H302" s="44"/>
      <c r="I302" s="109"/>
      <c r="J302" s="24"/>
    </row>
    <row r="303" spans="1:10" s="1" customFormat="1" ht="15.9" customHeight="1">
      <c r="A303" s="27"/>
      <c r="B303" s="33"/>
      <c r="C303" s="327" t="s">
        <v>450</v>
      </c>
      <c r="D303" s="328"/>
      <c r="E303" s="328"/>
      <c r="F303" s="109"/>
      <c r="G303" s="40"/>
      <c r="H303" s="32"/>
      <c r="I303" s="109"/>
      <c r="J303" s="24"/>
    </row>
    <row r="304" spans="1:10" s="1" customFormat="1" ht="15.9" customHeight="1">
      <c r="A304" s="41"/>
      <c r="B304" s="33"/>
      <c r="C304" s="328" t="s">
        <v>286</v>
      </c>
      <c r="D304" s="327"/>
      <c r="E304" s="327"/>
      <c r="F304" s="109"/>
      <c r="G304" s="109"/>
      <c r="H304" s="109"/>
      <c r="I304" s="109"/>
      <c r="J304" s="24"/>
    </row>
    <row r="305" spans="1:14" s="1" customFormat="1" ht="15.9" customHeight="1">
      <c r="A305" s="44"/>
      <c r="B305" s="44"/>
      <c r="C305" s="327" t="s">
        <v>285</v>
      </c>
      <c r="D305" s="86"/>
      <c r="E305" s="79"/>
      <c r="F305" s="44"/>
      <c r="G305" s="109"/>
      <c r="H305" s="109"/>
      <c r="I305" s="109"/>
      <c r="J305" s="24"/>
    </row>
    <row r="306" spans="1:14" s="1" customFormat="1" ht="15.9" customHeight="1">
      <c r="A306" s="40"/>
      <c r="B306" s="40"/>
      <c r="C306" s="374">
        <f>$I$145</f>
        <v>575.29166666666663</v>
      </c>
      <c r="D306" s="87"/>
      <c r="E306" s="80"/>
      <c r="F306" s="32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363">
        <f>$J$145</f>
        <v>12</v>
      </c>
      <c r="D307" s="15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374">
        <f>$I$146</f>
        <v>2758</v>
      </c>
      <c r="D308" s="15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63">
        <f>$J$146</f>
        <v>12</v>
      </c>
      <c r="D309" s="15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D310" s="15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C311" s="89"/>
      <c r="D311" s="161"/>
      <c r="E311" s="109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C312" s="328"/>
      <c r="D312" s="328"/>
      <c r="E312" s="328"/>
      <c r="F312" s="109"/>
      <c r="G312" s="109"/>
      <c r="H312" s="109"/>
      <c r="I312" s="109"/>
      <c r="J312" s="24"/>
    </row>
    <row r="313" spans="1:14" s="1" customFormat="1" ht="15.9" customHeight="1">
      <c r="A313" s="25"/>
      <c r="B313" s="33"/>
      <c r="D313" s="162"/>
      <c r="E313" s="24"/>
      <c r="F313" s="109"/>
      <c r="G313" s="109"/>
      <c r="H313" s="109"/>
      <c r="I313" s="27"/>
      <c r="J313" s="99" t="str">
        <f>LEFT($J$111,11)&amp;"-03"</f>
        <v>FG-240-6P6L-03</v>
      </c>
    </row>
    <row r="314" spans="1:14" ht="12.75" customHeight="1">
      <c r="A314" s="17"/>
      <c r="B314" s="26"/>
      <c r="C314" s="26"/>
      <c r="D314" s="83"/>
      <c r="E314" s="25"/>
      <c r="F314" s="25"/>
      <c r="G314" s="25"/>
      <c r="H314" s="25"/>
      <c r="I314" s="179"/>
      <c r="J314" s="179"/>
    </row>
    <row r="315" spans="1:14" ht="30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90" t="str">
        <f>$J$2</f>
        <v>HOMELIFE</v>
      </c>
    </row>
    <row r="316" spans="1:14" ht="24.9" customHeight="1">
      <c r="B316" s="217"/>
      <c r="C316" s="5"/>
      <c r="D316" s="95"/>
      <c r="E316" s="95"/>
      <c r="F316" s="95"/>
      <c r="G316" s="95"/>
      <c r="H316" s="95"/>
      <c r="I316" s="28"/>
      <c r="J316" s="91" t="str">
        <f>$J$3</f>
        <v>Fabricators Guide</v>
      </c>
      <c r="K316" s="11"/>
      <c r="L316" s="11"/>
      <c r="M316" s="2"/>
      <c r="N316" s="2"/>
    </row>
    <row r="317" spans="1:14" ht="24.9" customHeight="1">
      <c r="B317" s="217"/>
      <c r="C317" s="28"/>
      <c r="D317" s="28"/>
      <c r="E317" s="28"/>
      <c r="F317" s="28"/>
      <c r="G317" s="28"/>
      <c r="H317" s="28"/>
      <c r="I317" s="28"/>
      <c r="J317" s="91" t="str">
        <f>$J$4</f>
        <v xml:space="preserve">240 Series Bi Fold Door </v>
      </c>
      <c r="K317" s="48"/>
      <c r="L317" s="48"/>
      <c r="M317" s="4"/>
      <c r="N317" s="4"/>
    </row>
    <row r="318" spans="1:14" s="1" customFormat="1" ht="15" customHeight="1" thickBot="1">
      <c r="A318" s="78"/>
      <c r="B318" s="8"/>
      <c r="C318" s="28"/>
      <c r="D318" s="28"/>
      <c r="E318" s="28"/>
      <c r="F318" s="28"/>
      <c r="G318" s="28"/>
      <c r="H318" s="28"/>
      <c r="I318" s="78"/>
      <c r="J318" s="113"/>
      <c r="K318" s="4"/>
      <c r="L318" s="4"/>
      <c r="M318" s="4"/>
      <c r="N318" s="4"/>
    </row>
    <row r="319" spans="1:14" ht="24.9" customHeight="1" thickBot="1">
      <c r="A319" s="502" t="s">
        <v>33</v>
      </c>
      <c r="B319" s="503"/>
      <c r="C319" s="503"/>
      <c r="D319" s="503"/>
      <c r="E319" s="503"/>
      <c r="F319" s="503"/>
      <c r="G319" s="503"/>
      <c r="H319" s="503"/>
      <c r="I319" s="503"/>
      <c r="J319" s="504"/>
      <c r="K319" s="4"/>
      <c r="L319" s="4"/>
      <c r="M319" s="4"/>
      <c r="N319" s="4"/>
    </row>
    <row r="321" spans="1:10" s="1" customFormat="1" ht="15" customHeight="1">
      <c r="A321" s="63"/>
      <c r="B321"/>
      <c r="C321"/>
      <c r="D321" s="81"/>
      <c r="E321"/>
      <c r="F321"/>
      <c r="G321"/>
      <c r="H321"/>
      <c r="I321" s="160"/>
      <c r="J321" s="116"/>
    </row>
    <row r="322" spans="1:10" s="1" customFormat="1" ht="15" customHeight="1">
      <c r="A322" s="17"/>
      <c r="B322" s="72"/>
      <c r="C322" s="56"/>
      <c r="D322" s="30"/>
      <c r="E322" s="29"/>
      <c r="F322" s="160"/>
      <c r="G322" s="160"/>
      <c r="H322" s="160"/>
      <c r="I322" s="31"/>
      <c r="J322" s="17"/>
    </row>
    <row r="323" spans="1:10" s="1" customFormat="1" ht="15" customHeight="1">
      <c r="A323" s="17"/>
      <c r="B323" s="56"/>
      <c r="C323" s="56"/>
      <c r="D323" s="30"/>
      <c r="E323" s="29"/>
      <c r="F323" s="30"/>
      <c r="G323" s="31"/>
      <c r="H323" s="31"/>
      <c r="I323" s="17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09"/>
      <c r="B325" s="56"/>
      <c r="C325" s="30"/>
      <c r="D325" s="30"/>
      <c r="E325" s="29"/>
      <c r="F325" s="30"/>
      <c r="G325" s="17"/>
      <c r="H325" s="31"/>
      <c r="I325" s="109"/>
      <c r="J325" s="109"/>
    </row>
    <row r="326" spans="1:10" s="1" customFormat="1" ht="15" customHeight="1">
      <c r="A326" s="109"/>
      <c r="B326" s="33"/>
      <c r="C326" s="161"/>
      <c r="D326" s="161"/>
      <c r="E326" s="109"/>
      <c r="F326" s="161"/>
      <c r="G326" s="109"/>
      <c r="H326" s="34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35"/>
      <c r="F327" s="163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1"/>
      <c r="G328" s="109"/>
      <c r="H328" s="34"/>
      <c r="I328" s="42"/>
      <c r="J328" s="109"/>
    </row>
    <row r="329" spans="1:10" s="1" customFormat="1" ht="15" customHeight="1">
      <c r="A329" s="39"/>
      <c r="B329" s="33"/>
      <c r="C329" s="42"/>
      <c r="D329" s="161"/>
      <c r="E329" s="109"/>
      <c r="F329" s="505"/>
      <c r="G329" s="505"/>
      <c r="H329" s="218"/>
      <c r="I329" s="163"/>
      <c r="J329" s="109"/>
    </row>
    <row r="330" spans="1:10" s="1" customFormat="1" ht="15" customHeight="1">
      <c r="A330" s="92"/>
      <c r="B330" s="39"/>
      <c r="C330" s="163"/>
      <c r="D330" s="161"/>
      <c r="E330" s="109"/>
      <c r="F330" s="507"/>
      <c r="G330" s="507"/>
      <c r="H330" s="218"/>
      <c r="I330" s="161"/>
      <c r="J330" s="109"/>
    </row>
    <row r="331" spans="1:10" s="1" customFormat="1" ht="15" customHeight="1">
      <c r="A331" s="64" t="str">
        <f>A18</f>
        <v>240-6 Panel (6L)</v>
      </c>
      <c r="B331" s="92"/>
      <c r="C331" s="161"/>
      <c r="D331" s="161"/>
      <c r="E331" s="109"/>
      <c r="F331" s="218"/>
      <c r="G331" s="218"/>
      <c r="H331" s="218"/>
      <c r="I331" s="109"/>
      <c r="J331" s="109"/>
    </row>
    <row r="332" spans="1:10" s="1" customFormat="1" ht="15" customHeight="1">
      <c r="A332" s="76" t="str">
        <f>A19</f>
        <v xml:space="preserve">Outside Bi Fold Door </v>
      </c>
      <c r="B332" s="92"/>
      <c r="C332" s="161"/>
      <c r="D332" s="161"/>
      <c r="E332" s="109"/>
      <c r="F332" s="218"/>
      <c r="G332" s="218"/>
      <c r="H332" s="218"/>
      <c r="I332" s="109"/>
      <c r="J332" s="109"/>
    </row>
    <row r="333" spans="1:10" s="1" customFormat="1" ht="15.9" customHeight="1">
      <c r="A333" s="109"/>
      <c r="B333" s="45"/>
      <c r="C333" s="42"/>
      <c r="D333" s="161"/>
      <c r="E333" s="109"/>
      <c r="F333" s="507"/>
      <c r="G333" s="507"/>
      <c r="H333" s="218"/>
      <c r="I333" s="109"/>
      <c r="J333" s="109"/>
    </row>
    <row r="334" spans="1:10" s="1" customFormat="1" ht="15.9" customHeight="1">
      <c r="A334" s="39"/>
      <c r="B334" s="109"/>
      <c r="C334" s="161"/>
      <c r="D334" s="161"/>
      <c r="E334" s="109"/>
      <c r="F334" s="37"/>
      <c r="G334" s="38"/>
      <c r="H334" s="109"/>
      <c r="I334" s="109"/>
      <c r="J334" s="109"/>
    </row>
    <row r="335" spans="1:10" s="1" customFormat="1" ht="15.9" customHeight="1">
      <c r="A335" s="44"/>
      <c r="C335" s="43"/>
      <c r="D335" s="161"/>
      <c r="E335" s="109"/>
      <c r="F335" s="109"/>
      <c r="G335" s="109"/>
      <c r="H335" s="109"/>
      <c r="I335" s="44"/>
      <c r="J335" s="119"/>
    </row>
    <row r="336" spans="1:10" s="1" customFormat="1" ht="15.9" customHeight="1">
      <c r="A336" s="40"/>
      <c r="C336" s="44"/>
      <c r="D336" s="84"/>
      <c r="E336" s="44"/>
      <c r="F336" s="44"/>
      <c r="G336" s="44"/>
      <c r="H336" s="44"/>
      <c r="I336" s="32"/>
      <c r="J336" s="40"/>
    </row>
    <row r="337" spans="1:10" s="1" customFormat="1" ht="15.9" customHeight="1">
      <c r="A337" s="109"/>
      <c r="C337" s="161"/>
      <c r="D337" s="85"/>
      <c r="E337" s="40"/>
      <c r="F337" s="32"/>
      <c r="G337" s="40"/>
      <c r="H337" s="32"/>
      <c r="I337" s="24"/>
      <c r="J337" s="24"/>
    </row>
    <row r="338" spans="1:10" s="1" customFormat="1" ht="15.9" customHeight="1">
      <c r="A338" s="109"/>
      <c r="C338" s="163"/>
      <c r="D338" s="161"/>
      <c r="E338" s="109"/>
      <c r="F338" s="161"/>
      <c r="G338" s="109"/>
      <c r="H338" s="109"/>
      <c r="I338" s="24"/>
      <c r="J338" s="24"/>
    </row>
    <row r="339" spans="1:10" s="1" customFormat="1" ht="15.9" customHeight="1">
      <c r="A339" s="109"/>
      <c r="B339" s="33"/>
      <c r="C339" s="161"/>
      <c r="D339" s="161"/>
      <c r="E339" s="109"/>
      <c r="F339" s="161"/>
      <c r="G339" s="109"/>
      <c r="H339" s="109"/>
      <c r="I339" s="162"/>
      <c r="J339" s="162"/>
    </row>
    <row r="340" spans="1:10" s="1" customFormat="1" ht="15.9" customHeight="1">
      <c r="A340" s="109"/>
      <c r="B340" s="33"/>
      <c r="C340" s="44"/>
      <c r="D340" s="161"/>
      <c r="E340" s="109"/>
      <c r="F340" s="161"/>
      <c r="G340" s="109"/>
      <c r="H340" s="162"/>
      <c r="I340" s="161"/>
      <c r="J340" s="161"/>
    </row>
    <row r="341" spans="1:10" s="1" customFormat="1" ht="15.9" customHeight="1">
      <c r="A341" s="109"/>
      <c r="B341" s="33"/>
      <c r="C341" s="42"/>
      <c r="D341" s="161"/>
      <c r="E341" s="109"/>
      <c r="F341" s="161"/>
      <c r="G341" s="109"/>
      <c r="H341" s="161"/>
      <c r="I341" s="161"/>
      <c r="J341" s="161"/>
    </row>
    <row r="342" spans="1:10" s="1" customFormat="1" ht="15.9" customHeight="1">
      <c r="A342" s="109"/>
      <c r="B342" s="33"/>
      <c r="C342" s="163"/>
      <c r="D342" s="161"/>
      <c r="E342" s="109"/>
      <c r="F342" s="161"/>
      <c r="G342" s="109"/>
      <c r="H342" s="161"/>
      <c r="I342" s="109"/>
      <c r="J342" s="24"/>
    </row>
    <row r="343" spans="1:10" s="1" customFormat="1" ht="15.9" customHeight="1">
      <c r="A343" s="109"/>
      <c r="B343" s="33"/>
      <c r="C343" s="161"/>
      <c r="D343" s="161"/>
      <c r="E343" s="109"/>
      <c r="F343" s="161"/>
      <c r="G343" s="109"/>
      <c r="H343" s="109"/>
      <c r="I343" s="24"/>
      <c r="J343" s="24"/>
    </row>
    <row r="344" spans="1:10" s="1" customFormat="1" ht="15.9" customHeight="1">
      <c r="A344" s="109"/>
      <c r="B344" s="33"/>
      <c r="C344" s="33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44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161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3"/>
      <c r="D349" s="161"/>
      <c r="E349" s="109"/>
      <c r="F349" s="161"/>
      <c r="G349" s="109"/>
      <c r="H349" s="109"/>
      <c r="I349" s="109"/>
      <c r="J349" s="24"/>
    </row>
    <row r="350" spans="1:10" s="1" customFormat="1" ht="15.9" customHeight="1">
      <c r="A350" s="109"/>
      <c r="B350" s="33"/>
      <c r="C350" s="161"/>
      <c r="D350" s="161"/>
      <c r="E350" s="109"/>
      <c r="F350" s="161"/>
      <c r="G350" s="109"/>
      <c r="H350" s="109"/>
      <c r="I350" s="24"/>
      <c r="J350" s="24"/>
    </row>
    <row r="351" spans="1:10" s="1" customFormat="1" ht="15.9" customHeight="1">
      <c r="A351" s="109"/>
      <c r="B351" s="33"/>
      <c r="C351" s="33"/>
      <c r="D351" s="161"/>
      <c r="E351" s="109"/>
      <c r="F351" s="109"/>
      <c r="G351" s="109"/>
      <c r="H351" s="109"/>
      <c r="I351" s="24"/>
      <c r="J351" s="24"/>
    </row>
    <row r="352" spans="1:10" s="1" customFormat="1" ht="15" customHeight="1">
      <c r="A352" s="109"/>
      <c r="B352" s="33"/>
      <c r="C352" s="33"/>
      <c r="D352" s="161"/>
      <c r="E352" s="109"/>
      <c r="F352" s="109"/>
      <c r="G352" s="109"/>
      <c r="H352" s="107"/>
      <c r="I352" s="24"/>
      <c r="J352" s="24"/>
    </row>
    <row r="353" spans="1:10" s="23" customFormat="1" ht="15.9" customHeight="1">
      <c r="A353" s="109"/>
      <c r="B353" s="33"/>
      <c r="C353" s="33"/>
      <c r="D353" s="161"/>
      <c r="E353" s="109"/>
      <c r="F353" s="109"/>
      <c r="G353" s="109"/>
      <c r="H353" s="109"/>
      <c r="I353" s="109"/>
      <c r="J353" s="109"/>
    </row>
    <row r="354" spans="1:10" s="1" customFormat="1" ht="15.9" customHeight="1">
      <c r="A354" s="44"/>
      <c r="B354" s="33"/>
      <c r="C354" s="33"/>
      <c r="D354" s="161"/>
      <c r="E354" s="109"/>
      <c r="F354" s="109"/>
      <c r="G354" s="109"/>
      <c r="H354" s="109"/>
      <c r="I354" s="44"/>
      <c r="J354" s="119"/>
    </row>
    <row r="355" spans="1:10" s="1" customFormat="1" ht="15.9" customHeight="1">
      <c r="A355" s="40"/>
      <c r="B355" s="44"/>
      <c r="C355" s="44"/>
      <c r="D355" s="84"/>
      <c r="E355" s="44"/>
      <c r="F355" s="44"/>
      <c r="G355" s="44"/>
      <c r="H355" s="44"/>
      <c r="I355" s="32"/>
      <c r="J355" s="40"/>
    </row>
    <row r="356" spans="1:10" s="1" customFormat="1" ht="15.9" customHeight="1">
      <c r="A356" s="27"/>
      <c r="B356" s="40"/>
      <c r="C356" s="44"/>
      <c r="D356" s="85"/>
      <c r="E356" s="40"/>
      <c r="F356" s="32"/>
      <c r="G356" s="40"/>
      <c r="H356" s="32"/>
      <c r="I356" s="24"/>
      <c r="J356" s="24"/>
    </row>
    <row r="357" spans="1:10" s="1" customFormat="1" ht="15.9" customHeight="1">
      <c r="A357" s="27"/>
      <c r="B357" s="33"/>
      <c r="C357" s="42"/>
      <c r="D357" s="161"/>
      <c r="E357" s="109"/>
      <c r="F357" s="109"/>
      <c r="G357" s="109"/>
      <c r="H357" s="42"/>
      <c r="I357" s="163"/>
      <c r="J357" s="163"/>
    </row>
    <row r="358" spans="1:10" s="1" customFormat="1" ht="15.9" customHeight="1">
      <c r="A358" s="27"/>
      <c r="B358" s="33"/>
      <c r="C358" s="163"/>
      <c r="D358" s="161"/>
      <c r="E358" s="109"/>
      <c r="F358" s="109"/>
      <c r="G358" s="109"/>
      <c r="H358" s="163"/>
      <c r="I358" s="161"/>
      <c r="J358" s="161"/>
    </row>
    <row r="359" spans="1:10" s="1" customFormat="1" ht="15.9" customHeight="1">
      <c r="A359" s="27"/>
      <c r="B359" s="33"/>
      <c r="C359" s="161"/>
      <c r="D359" s="161"/>
      <c r="E359" s="109"/>
      <c r="F359" s="109"/>
      <c r="G359" s="109"/>
      <c r="H359" s="161"/>
      <c r="I359" s="24"/>
      <c r="J359" s="24"/>
    </row>
    <row r="360" spans="1:10" s="1" customFormat="1" ht="15.9" customHeight="1">
      <c r="A360" s="27"/>
      <c r="B360" s="33"/>
      <c r="C360" s="33"/>
      <c r="D360" s="161"/>
      <c r="E360" s="109"/>
      <c r="F360" s="109"/>
      <c r="G360" s="109"/>
      <c r="H360" s="109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46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161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33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B369" s="33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D371" s="161"/>
      <c r="E371" s="109"/>
      <c r="F371" s="109"/>
      <c r="G371" s="33"/>
      <c r="H371" s="33"/>
      <c r="I371" s="24"/>
      <c r="J371" s="24"/>
    </row>
    <row r="372" spans="1:10" s="1" customFormat="1" ht="15.9" customHeight="1">
      <c r="A372" s="27"/>
      <c r="B372" s="33"/>
      <c r="C372" s="33"/>
      <c r="D372" s="161"/>
      <c r="E372" s="109"/>
      <c r="F372" s="109"/>
      <c r="G372" s="109"/>
      <c r="H372" s="109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42"/>
      <c r="I375" s="163"/>
      <c r="J375" s="163"/>
    </row>
    <row r="376" spans="1:10" s="1" customFormat="1" ht="15.9" customHeight="1">
      <c r="A376" s="27"/>
      <c r="B376" s="33"/>
      <c r="C376" s="47"/>
      <c r="D376" s="161"/>
      <c r="E376" s="109"/>
      <c r="F376" s="109"/>
      <c r="G376" s="109"/>
      <c r="H376" s="163"/>
      <c r="I376" s="161"/>
      <c r="J376" s="161"/>
    </row>
    <row r="377" spans="1:10" s="1" customFormat="1" ht="15.9" customHeight="1">
      <c r="A377" s="27"/>
      <c r="B377" s="33"/>
      <c r="C377" s="46"/>
      <c r="D377" s="161"/>
      <c r="E377" s="109"/>
      <c r="F377" s="109"/>
      <c r="G377" s="109"/>
      <c r="H377" s="161"/>
      <c r="I377" s="24"/>
      <c r="J377" s="24"/>
    </row>
    <row r="378" spans="1:10" s="1" customFormat="1" ht="15.9" customHeight="1">
      <c r="A378" s="27"/>
      <c r="B378" s="33"/>
      <c r="C378" s="161"/>
      <c r="D378" s="161"/>
      <c r="E378" s="109"/>
      <c r="F378" s="109"/>
      <c r="G378" s="109"/>
      <c r="H378" s="42"/>
      <c r="I378" s="163"/>
      <c r="J378" s="163"/>
    </row>
    <row r="379" spans="1:10" s="1" customFormat="1" ht="15.9" customHeight="1">
      <c r="A379" s="27"/>
      <c r="B379" s="33"/>
      <c r="C379" s="33"/>
      <c r="D379" s="161"/>
      <c r="E379" s="109"/>
      <c r="F379" s="109"/>
      <c r="G379" s="109"/>
      <c r="H379" s="163"/>
      <c r="I379" s="161"/>
      <c r="J379" s="161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1"/>
      <c r="I380" s="24"/>
      <c r="J380" s="24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09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109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64"/>
      <c r="J387" s="16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64"/>
      <c r="I388" s="165"/>
      <c r="J388" s="165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5"/>
      <c r="I389" s="161"/>
      <c r="J389" s="161"/>
    </row>
    <row r="390" spans="1:10" s="1" customFormat="1" ht="15.9" customHeight="1">
      <c r="A390" s="27"/>
      <c r="B390" s="33"/>
      <c r="C390" s="47"/>
      <c r="D390" s="161"/>
      <c r="E390" s="109"/>
      <c r="F390" s="109"/>
      <c r="G390" s="109"/>
      <c r="H390" s="161"/>
      <c r="I390" s="24"/>
      <c r="J390" s="24"/>
    </row>
    <row r="391" spans="1:10" s="1" customFormat="1" ht="15.9" customHeight="1">
      <c r="A391" s="27"/>
      <c r="B391" s="33"/>
      <c r="C391" s="46"/>
      <c r="D391" s="161"/>
      <c r="E391" s="109"/>
      <c r="F391" s="109"/>
      <c r="G391" s="109"/>
      <c r="H391" s="109"/>
      <c r="I391" s="109"/>
      <c r="J391" s="24"/>
    </row>
    <row r="392" spans="1:10" s="1" customFormat="1" ht="15.9" customHeight="1">
      <c r="A392" s="27"/>
      <c r="B392" s="33"/>
      <c r="C392" s="161"/>
      <c r="D392" s="161"/>
      <c r="E392" s="109"/>
      <c r="F392" s="109"/>
      <c r="G392" s="109"/>
      <c r="H392" s="109"/>
      <c r="I392" s="24"/>
      <c r="J392" s="24"/>
    </row>
    <row r="393" spans="1:10" s="1" customFormat="1" ht="15.9" customHeight="1">
      <c r="A393" s="27"/>
      <c r="B393" s="33"/>
      <c r="C393" s="33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41"/>
      <c r="B395" s="33"/>
      <c r="C395" s="33"/>
      <c r="D395" s="161"/>
      <c r="E395" s="109"/>
      <c r="F395" s="109"/>
      <c r="G395" s="109"/>
      <c r="H395" s="109"/>
      <c r="I395" s="109"/>
      <c r="J395" s="109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23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1" customFormat="1" ht="15.9" customHeight="1">
      <c r="A404" s="44"/>
      <c r="B404" s="33"/>
      <c r="C404" s="33"/>
      <c r="D404" s="161"/>
      <c r="E404" s="109"/>
      <c r="F404" s="109"/>
      <c r="G404" s="109"/>
      <c r="H404" s="109"/>
      <c r="I404" s="44"/>
      <c r="J404" s="119"/>
    </row>
    <row r="405" spans="1:10" s="1" customFormat="1" ht="15.9" customHeight="1">
      <c r="A405" s="44"/>
      <c r="B405" s="44"/>
      <c r="C405" s="44"/>
      <c r="D405" s="84"/>
      <c r="E405" s="44"/>
      <c r="F405" s="44"/>
      <c r="G405" s="44"/>
      <c r="H405" s="44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109"/>
      <c r="B418" s="44"/>
      <c r="C418" s="44"/>
      <c r="D418" s="84"/>
      <c r="E418" s="44"/>
      <c r="F418" s="44"/>
      <c r="G418" s="44"/>
      <c r="H418" s="44"/>
      <c r="I418" s="24"/>
      <c r="J418" s="24"/>
      <c r="K418" s="71"/>
    </row>
    <row r="419" spans="1:14" s="1" customFormat="1" ht="15.9" customHeight="1">
      <c r="A419" s="109"/>
      <c r="B419" s="33"/>
      <c r="C419" s="33"/>
      <c r="D419" s="161"/>
      <c r="E419" s="109"/>
      <c r="F419" s="109"/>
      <c r="G419" s="109"/>
      <c r="H419" s="109"/>
      <c r="I419" s="24"/>
    </row>
    <row r="420" spans="1:14" ht="18">
      <c r="A420" s="109"/>
      <c r="B420" s="33"/>
      <c r="C420" s="33"/>
      <c r="D420" s="161"/>
      <c r="E420" s="109"/>
      <c r="F420" s="109"/>
      <c r="G420" s="109"/>
      <c r="H420" s="109"/>
      <c r="I420" s="109"/>
      <c r="J420" s="99" t="str">
        <f>LEFT($J$111,11)&amp;"-04"</f>
        <v>FG-240-6P6L-04</v>
      </c>
      <c r="K420" s="7"/>
      <c r="L420" s="7"/>
      <c r="M420" s="2"/>
      <c r="N420" s="2"/>
    </row>
    <row r="421" spans="1:14" ht="12.75" customHeight="1">
      <c r="A421" s="109"/>
      <c r="B421" s="33"/>
      <c r="C421" s="33"/>
      <c r="D421" s="161"/>
      <c r="E421" s="109"/>
      <c r="F421" s="109"/>
      <c r="G421" s="109"/>
      <c r="H421" s="109"/>
      <c r="I421" s="109"/>
      <c r="J421" s="114"/>
      <c r="K421" s="7"/>
      <c r="L421" s="7"/>
      <c r="M421" s="2"/>
      <c r="N421" s="2"/>
    </row>
    <row r="422" spans="1:14" ht="30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90" t="str">
        <f>$J$2</f>
        <v>HOMELIFE</v>
      </c>
      <c r="K422" s="7"/>
      <c r="L422" s="7"/>
      <c r="M422" s="2"/>
      <c r="N422" s="2"/>
    </row>
    <row r="423" spans="1:14" ht="24.9" customHeight="1">
      <c r="A423" s="109"/>
      <c r="B423" s="33"/>
      <c r="C423" s="33"/>
      <c r="D423" s="161"/>
      <c r="E423" s="109"/>
      <c r="F423" s="109"/>
      <c r="G423" s="109"/>
      <c r="H423" s="109"/>
      <c r="I423" s="109"/>
      <c r="J423" s="91" t="str">
        <f>$J$3</f>
        <v>Fabricators Guide</v>
      </c>
      <c r="K423" s="7"/>
      <c r="L423" s="7"/>
      <c r="M423" s="2"/>
      <c r="N423" s="2"/>
    </row>
    <row r="424" spans="1:14" ht="24.9" customHeight="1">
      <c r="B424" s="217"/>
      <c r="C424" s="28"/>
      <c r="D424" s="28"/>
      <c r="E424" s="28"/>
      <c r="F424" s="28"/>
      <c r="G424" s="28"/>
      <c r="H424" s="28"/>
      <c r="I424" s="28"/>
      <c r="J424" s="91" t="str">
        <f>$J$4</f>
        <v xml:space="preserve">240 Series Bi Fold Door </v>
      </c>
      <c r="K424" s="48"/>
      <c r="L424" s="48"/>
      <c r="M424" s="4"/>
      <c r="N424" s="4"/>
    </row>
    <row r="425" spans="1:14" s="1" customFormat="1" ht="15" customHeight="1" thickBot="1">
      <c r="A425" s="78"/>
      <c r="B425" s="8"/>
      <c r="C425" s="28"/>
      <c r="D425" s="28"/>
      <c r="E425" s="28"/>
      <c r="F425" s="28"/>
      <c r="G425" s="28"/>
      <c r="H425" s="28"/>
      <c r="I425" s="78"/>
      <c r="J425" s="100"/>
      <c r="K425" s="4"/>
      <c r="L425" s="4"/>
      <c r="M425" s="4"/>
      <c r="N425" s="4"/>
    </row>
    <row r="426" spans="1:14" s="1" customFormat="1" ht="24.9" customHeight="1" thickBot="1">
      <c r="A426" s="502" t="s">
        <v>34</v>
      </c>
      <c r="B426" s="503"/>
      <c r="C426" s="503"/>
      <c r="D426" s="503"/>
      <c r="E426" s="503"/>
      <c r="F426" s="503"/>
      <c r="G426" s="503"/>
      <c r="H426" s="503"/>
      <c r="I426" s="503"/>
      <c r="J426" s="504"/>
      <c r="K426" s="4"/>
      <c r="L426" s="4"/>
      <c r="M426" s="4"/>
      <c r="N426" s="4"/>
    </row>
    <row r="427" spans="1:14" s="1" customFormat="1" ht="15" customHeight="1">
      <c r="A427" s="193"/>
      <c r="B427" s="194"/>
      <c r="C427" s="194"/>
      <c r="D427" s="194"/>
      <c r="E427" s="194"/>
      <c r="F427" s="194"/>
      <c r="G427" s="194"/>
      <c r="H427" s="194"/>
      <c r="I427" s="193"/>
      <c r="K427" s="56"/>
      <c r="L427" s="56"/>
      <c r="M427" s="56"/>
      <c r="N427" s="56"/>
    </row>
    <row r="428" spans="1:14" s="1" customFormat="1" ht="15" customHeight="1">
      <c r="A428" s="45"/>
      <c r="B428" s="193"/>
      <c r="C428" s="193"/>
      <c r="D428" s="193"/>
      <c r="E428" s="193"/>
      <c r="F428" s="193"/>
      <c r="G428" s="193"/>
      <c r="H428" s="193"/>
      <c r="I428" s="44"/>
      <c r="J428" s="119"/>
    </row>
    <row r="429" spans="1:14" s="1" customFormat="1" ht="15" customHeight="1">
      <c r="A429" s="109"/>
      <c r="B429" s="39"/>
      <c r="C429" s="33"/>
      <c r="D429" s="161"/>
      <c r="E429" s="35"/>
      <c r="F429" s="39"/>
      <c r="G429" s="193"/>
      <c r="H429" s="44"/>
      <c r="I429" s="44"/>
      <c r="J429" s="119"/>
    </row>
    <row r="430" spans="1:14" s="1" customFormat="1" ht="15" customHeight="1">
      <c r="A430" s="109"/>
      <c r="B430" s="33"/>
      <c r="C430" s="33"/>
      <c r="D430" s="161"/>
      <c r="E430" s="35"/>
      <c r="F430" s="161"/>
      <c r="G430" s="193"/>
      <c r="H430" s="44"/>
      <c r="I430" s="44"/>
      <c r="J430" s="119"/>
    </row>
    <row r="431" spans="1:14" s="1" customFormat="1" ht="15" customHeight="1">
      <c r="A431" s="109"/>
      <c r="B431" s="56"/>
      <c r="C431" s="56"/>
      <c r="D431" s="30"/>
      <c r="E431" s="29"/>
      <c r="F431" s="30"/>
      <c r="H431" s="44"/>
      <c r="I431" s="44"/>
      <c r="J431" s="119"/>
    </row>
    <row r="432" spans="1:14" s="1" customFormat="1" ht="15" customHeight="1">
      <c r="A432" s="109"/>
      <c r="B432" s="33"/>
      <c r="C432" s="161"/>
      <c r="D432" s="161"/>
      <c r="E432" s="109"/>
      <c r="F432" s="161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35"/>
      <c r="F433" s="163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1"/>
      <c r="H434" s="44"/>
      <c r="I434" s="44"/>
      <c r="J434" s="119"/>
    </row>
    <row r="435" spans="1:10" s="1" customFormat="1" ht="15" customHeight="1">
      <c r="A435" s="39"/>
      <c r="B435" s="33"/>
      <c r="C435" s="42"/>
      <c r="D435" s="161"/>
      <c r="E435" s="109"/>
      <c r="F435" s="69"/>
      <c r="H435" s="44"/>
      <c r="I435" s="44"/>
      <c r="J435" s="119"/>
    </row>
    <row r="436" spans="1:10" s="1" customFormat="1" ht="15" customHeight="1">
      <c r="A436" s="92"/>
      <c r="B436" s="39"/>
      <c r="C436" s="163"/>
      <c r="D436" s="161"/>
      <c r="E436" s="109"/>
      <c r="F436" s="68"/>
      <c r="H436" s="44"/>
      <c r="I436" s="44"/>
      <c r="J436" s="119"/>
    </row>
    <row r="437" spans="1:10" s="1" customFormat="1" ht="15" customHeight="1">
      <c r="B437" s="92"/>
      <c r="C437" s="161"/>
      <c r="D437" s="161"/>
      <c r="E437" s="109"/>
      <c r="F437" s="218"/>
      <c r="H437" s="44"/>
      <c r="I437" s="44"/>
      <c r="J437" s="119"/>
    </row>
    <row r="438" spans="1:10" s="1" customFormat="1" ht="15" customHeight="1">
      <c r="A438" s="64" t="str">
        <f>A18</f>
        <v>240-6 Panel (6L)</v>
      </c>
      <c r="B438" s="92"/>
      <c r="C438" s="161"/>
      <c r="D438" s="161"/>
      <c r="E438" s="109"/>
      <c r="F438" s="218"/>
      <c r="H438" s="44"/>
      <c r="I438" s="44"/>
      <c r="J438" s="119"/>
    </row>
    <row r="439" spans="1:10" s="1" customFormat="1" ht="15.9" customHeight="1">
      <c r="A439" s="76" t="str">
        <f>A19</f>
        <v xml:space="preserve">Outside Bi Fold Door </v>
      </c>
      <c r="C439" s="42"/>
      <c r="D439" s="161"/>
      <c r="E439" s="109"/>
      <c r="F439" s="68"/>
      <c r="H439" s="44"/>
      <c r="I439" s="44"/>
      <c r="J439" s="119"/>
    </row>
    <row r="440" spans="1:10" s="1" customFormat="1" ht="15.9" customHeight="1">
      <c r="A440" s="39"/>
      <c r="C440" s="161"/>
      <c r="D440" s="161"/>
      <c r="E440" s="109"/>
      <c r="F440" s="37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39"/>
      <c r="C442" s="161"/>
      <c r="D442" s="161"/>
      <c r="E442" s="109"/>
      <c r="F442" s="37"/>
      <c r="H442" s="44"/>
      <c r="I442" s="44"/>
      <c r="J442" s="119"/>
    </row>
    <row r="443" spans="1:10" s="1" customFormat="1" ht="15.9" customHeight="1">
      <c r="A443" s="44"/>
      <c r="B443" s="38"/>
      <c r="C443" s="43"/>
      <c r="D443" s="161"/>
      <c r="E443" s="109"/>
      <c r="F443" s="109"/>
      <c r="H443" s="44"/>
      <c r="I443" s="44"/>
      <c r="J443" s="119"/>
    </row>
    <row r="444" spans="1:10" s="1" customFormat="1" ht="15.9" customHeight="1">
      <c r="A444" s="40"/>
      <c r="C444" s="44"/>
      <c r="D444" s="84"/>
      <c r="E444" s="44"/>
      <c r="F444" s="44"/>
      <c r="H444" s="44"/>
      <c r="I444" s="44"/>
      <c r="J444" s="119"/>
    </row>
    <row r="445" spans="1:10" ht="15.6">
      <c r="B445" s="64"/>
      <c r="C445" s="163"/>
      <c r="D445" s="161"/>
      <c r="E445" s="109"/>
      <c r="F445" s="161"/>
      <c r="G445" s="109"/>
      <c r="H445" s="109"/>
    </row>
    <row r="450" spans="1:10" s="1" customFormat="1" ht="15.9" customHeight="1">
      <c r="A450" s="109"/>
      <c r="B450"/>
      <c r="C450"/>
      <c r="D450" s="81"/>
      <c r="E450"/>
      <c r="F450"/>
      <c r="G450"/>
      <c r="H450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44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1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163"/>
      <c r="D456" s="161"/>
      <c r="E456" s="109"/>
      <c r="F456" s="161"/>
      <c r="G456" s="109"/>
      <c r="H456" s="109"/>
      <c r="I456" s="109"/>
      <c r="J456" s="24"/>
    </row>
    <row r="457" spans="1:10" s="1" customFormat="1" ht="15.9" customHeight="1">
      <c r="A457" s="109"/>
      <c r="B457" s="33"/>
      <c r="C457" s="161"/>
      <c r="D457" s="161"/>
      <c r="E457" s="109"/>
      <c r="F457" s="161"/>
      <c r="G457" s="109"/>
      <c r="H457" s="109"/>
      <c r="I457" s="24"/>
      <c r="J457" s="24"/>
    </row>
    <row r="458" spans="1:10" s="1" customFormat="1" ht="15.9" customHeight="1">
      <c r="A458" s="109"/>
      <c r="B458" s="33"/>
      <c r="C458" s="33"/>
      <c r="D458" s="161"/>
      <c r="E458" s="109"/>
      <c r="F458" s="109"/>
      <c r="G458" s="109"/>
      <c r="H458" s="109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7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" customHeight="1">
      <c r="A476" s="109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23" customFormat="1" ht="15.9" customHeight="1">
      <c r="A477" s="109"/>
      <c r="B477" s="33"/>
      <c r="C477" s="33"/>
      <c r="D477" s="161"/>
      <c r="E477" s="109"/>
      <c r="F477" s="109"/>
      <c r="G477" s="109"/>
      <c r="H477" s="109"/>
      <c r="I477" s="109"/>
      <c r="J477" s="109"/>
    </row>
    <row r="478" spans="1:10" s="1" customFormat="1" ht="15.9" customHeight="1">
      <c r="A478" s="44"/>
      <c r="B478" s="33"/>
      <c r="C478" s="33"/>
      <c r="D478" s="161"/>
      <c r="E478" s="109"/>
      <c r="F478" s="109"/>
      <c r="G478" s="109"/>
      <c r="H478" s="109"/>
      <c r="I478" s="44"/>
      <c r="J478" s="119"/>
    </row>
    <row r="479" spans="1:10" s="1" customFormat="1" ht="15.9" customHeight="1">
      <c r="A479" s="40"/>
      <c r="B479" s="44"/>
      <c r="C479" s="44"/>
      <c r="D479" s="84"/>
      <c r="E479" s="44"/>
      <c r="F479" s="44"/>
      <c r="G479" s="44"/>
      <c r="H479" s="44"/>
      <c r="I479" s="32"/>
      <c r="J479" s="40"/>
    </row>
    <row r="480" spans="1:10" s="1" customFormat="1" ht="15.9" customHeight="1">
      <c r="A480" s="27"/>
      <c r="B480" s="40"/>
      <c r="C480" s="44"/>
      <c r="D480" s="85"/>
      <c r="E480" s="40"/>
      <c r="F480" s="32"/>
      <c r="G480" s="40"/>
      <c r="H480" s="32"/>
      <c r="I480" s="24"/>
      <c r="J480" s="24"/>
    </row>
    <row r="481" spans="1:10" s="1" customFormat="1" ht="15.9" customHeight="1">
      <c r="A481" s="27"/>
      <c r="B481" s="33"/>
      <c r="C481" s="42"/>
      <c r="D481" s="161"/>
      <c r="E481" s="109"/>
      <c r="F481" s="109"/>
      <c r="G481" s="109"/>
      <c r="H481" s="42"/>
      <c r="I481" s="67"/>
      <c r="J481" s="165"/>
    </row>
    <row r="482" spans="1:10" s="1" customFormat="1" ht="15.9" customHeight="1">
      <c r="A482" s="27"/>
      <c r="B482" s="33"/>
      <c r="C482" s="163"/>
      <c r="D482" s="161"/>
      <c r="E482" s="109"/>
      <c r="F482" s="109"/>
      <c r="G482" s="109"/>
      <c r="H482" s="67"/>
      <c r="I482" s="38"/>
      <c r="J482" s="109"/>
    </row>
    <row r="483" spans="1:10" s="1" customFormat="1" ht="15.9" customHeight="1">
      <c r="A483" s="27"/>
      <c r="B483" s="33"/>
      <c r="C483" s="161"/>
      <c r="D483" s="161"/>
      <c r="E483" s="109"/>
      <c r="F483" s="109"/>
      <c r="G483" s="109"/>
      <c r="H483" s="38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46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161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D495" s="161"/>
      <c r="E495" s="109"/>
      <c r="F495" s="109"/>
      <c r="G495" s="33"/>
      <c r="H495" s="33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42"/>
      <c r="I499" s="67"/>
      <c r="J499" s="165"/>
    </row>
    <row r="500" spans="1:10" s="1" customFormat="1" ht="15.9" customHeight="1">
      <c r="A500" s="27"/>
      <c r="B500" s="33"/>
      <c r="C500" s="47"/>
      <c r="D500" s="161"/>
      <c r="E500" s="109"/>
      <c r="F500" s="109"/>
      <c r="G500" s="109"/>
      <c r="H500" s="67"/>
      <c r="I500" s="38"/>
      <c r="J500" s="109"/>
    </row>
    <row r="501" spans="1:10" s="1" customFormat="1" ht="15.9" customHeight="1">
      <c r="A501" s="27"/>
      <c r="B501" s="33"/>
      <c r="C501" s="46"/>
      <c r="D501" s="161"/>
      <c r="E501" s="109"/>
      <c r="F501" s="109"/>
      <c r="G501" s="109"/>
      <c r="H501" s="38"/>
      <c r="I501" s="24"/>
      <c r="J501" s="24"/>
    </row>
    <row r="502" spans="1:10" s="1" customFormat="1" ht="15.9" customHeight="1">
      <c r="A502" s="27"/>
      <c r="B502" s="33"/>
      <c r="C502" s="161"/>
      <c r="D502" s="161"/>
      <c r="E502" s="109"/>
      <c r="F502" s="109"/>
      <c r="G502" s="109"/>
      <c r="H502" s="42"/>
      <c r="I502" s="67"/>
      <c r="J502" s="165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67"/>
      <c r="I503" s="38"/>
      <c r="J503" s="109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38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43"/>
      <c r="J511" s="107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66"/>
      <c r="I512" s="38"/>
      <c r="J512" s="109"/>
    </row>
    <row r="513" spans="1:15" s="1" customFormat="1" ht="15.9" customHeight="1">
      <c r="A513" s="44"/>
      <c r="B513" s="33"/>
      <c r="C513" s="33"/>
      <c r="D513" s="161"/>
      <c r="E513" s="109"/>
      <c r="F513" s="109"/>
      <c r="G513" s="109"/>
      <c r="H513" s="67"/>
      <c r="I513" s="44"/>
      <c r="J513" s="119"/>
    </row>
    <row r="514" spans="1:15" s="1" customFormat="1" ht="15.9" customHeight="1">
      <c r="A514" s="44"/>
      <c r="B514" s="44"/>
      <c r="C514" s="44"/>
      <c r="D514" s="84"/>
      <c r="E514" s="44"/>
      <c r="F514" s="44"/>
      <c r="G514" s="44"/>
      <c r="H514" s="44"/>
      <c r="I514" s="44"/>
      <c r="J514" s="119"/>
    </row>
    <row r="515" spans="1:15" s="1" customFormat="1" ht="15.9" customHeight="1">
      <c r="A515" s="44"/>
      <c r="B515" s="44"/>
      <c r="C515" s="44"/>
      <c r="D515" s="84"/>
      <c r="E515" s="44"/>
      <c r="F515" s="44"/>
      <c r="G515" s="44"/>
      <c r="H515" s="44"/>
      <c r="I515" s="44"/>
      <c r="J515" s="119"/>
    </row>
    <row r="516" spans="1:15" s="1" customFormat="1" ht="15.9" customHeight="1">
      <c r="B516" s="44"/>
      <c r="C516" s="44"/>
      <c r="D516" s="84"/>
      <c r="E516" s="44"/>
      <c r="F516" s="44"/>
      <c r="G516" s="44"/>
      <c r="H516" s="44"/>
    </row>
    <row r="517" spans="1:15" s="1" customFormat="1" ht="15.9" customHeight="1" thickBot="1"/>
    <row r="518" spans="1:15" s="1" customFormat="1" ht="24.9" customHeight="1" thickBot="1">
      <c r="A518" s="502" t="s">
        <v>401</v>
      </c>
      <c r="B518" s="503"/>
      <c r="C518" s="503"/>
      <c r="D518" s="503"/>
      <c r="E518" s="503"/>
      <c r="F518" s="503"/>
      <c r="G518" s="503"/>
      <c r="H518" s="503"/>
      <c r="I518" s="503"/>
      <c r="J518" s="504"/>
    </row>
    <row r="519" spans="1:15" s="1" customFormat="1" ht="35.1" customHeight="1" thickBot="1">
      <c r="A519" s="102" t="s">
        <v>2</v>
      </c>
      <c r="B519" s="103" t="s">
        <v>3</v>
      </c>
      <c r="C519" s="103" t="s">
        <v>3</v>
      </c>
      <c r="D519" s="104" t="s">
        <v>35</v>
      </c>
      <c r="E519" s="103" t="s">
        <v>5</v>
      </c>
      <c r="F519" s="339" t="s">
        <v>27</v>
      </c>
      <c r="G519" s="305"/>
      <c r="H519" s="104" t="s">
        <v>27</v>
      </c>
      <c r="I519" s="104" t="s">
        <v>26</v>
      </c>
      <c r="J519" s="115" t="s">
        <v>6</v>
      </c>
      <c r="N519" s="249" t="s">
        <v>3</v>
      </c>
      <c r="O519" s="249" t="s">
        <v>3</v>
      </c>
    </row>
    <row r="520" spans="1:15" s="1" customFormat="1" ht="15.9" customHeight="1">
      <c r="A520" s="123">
        <f>IF(C520="","",1)</f>
        <v>1</v>
      </c>
      <c r="B520" s="121" t="str">
        <f>IF($D$127=5,N520,IF($D$127=6,N521,IF($D$127=8,N522,IF($D$127=10,N523,IF($D$127=12,N524,IF($D$127=14,N525,IF($D$127=N18526,IF($D$127=20,N527,IF($D$127=22,N528,)))))))))</f>
        <v>กระจก 5 mm (สูง) (กว้าง)</v>
      </c>
      <c r="C520" s="121" t="str">
        <f>IF($D$127=5,O520,IF($D$127=6,O521,IF($D$127=8,O522,IF($D$127=10,O523,IF($D$127=12,O524,IF($D$127=14,O525,IF($D$127=O18526,IF($D$127=20,O527,IF($D$127=22,O528,)))))))))</f>
        <v>GLASS thk.5 mm (H) (W)</v>
      </c>
      <c r="D520" s="124">
        <f>$J$123-215</f>
        <v>2785</v>
      </c>
      <c r="E520" s="123" t="s">
        <v>11</v>
      </c>
      <c r="F520" s="527" t="s">
        <v>271</v>
      </c>
      <c r="G520" s="528"/>
      <c r="H520" s="123" t="s">
        <v>408</v>
      </c>
      <c r="I520" s="124">
        <f>(($J$126-182-(113.25*5))/6)-13</f>
        <v>562.29166666666663</v>
      </c>
      <c r="J520" s="151">
        <f>$J$120*6</f>
        <v>6</v>
      </c>
      <c r="M520" s="1">
        <f>ROW()</f>
        <v>520</v>
      </c>
      <c r="N520" s="19" t="s">
        <v>194</v>
      </c>
      <c r="O520" s="19" t="s">
        <v>195</v>
      </c>
    </row>
    <row r="521" spans="1:15" s="1" customFormat="1" ht="15.9" customHeight="1">
      <c r="A521" s="346"/>
      <c r="B521" s="295"/>
      <c r="C521" s="295"/>
      <c r="D521" s="296"/>
      <c r="E521" s="238"/>
      <c r="F521" s="251"/>
      <c r="G521" s="297"/>
      <c r="H521" s="238"/>
      <c r="I521" s="298"/>
      <c r="J521" s="299"/>
      <c r="M521" s="1">
        <f>ROW()</f>
        <v>521</v>
      </c>
      <c r="N521" s="19" t="s">
        <v>53</v>
      </c>
      <c r="O521" s="19" t="s">
        <v>54</v>
      </c>
    </row>
    <row r="522" spans="1:15" s="1" customFormat="1" ht="15.9" customHeight="1">
      <c r="A522" s="346"/>
      <c r="B522" s="295"/>
      <c r="C522" s="295"/>
      <c r="D522" s="296"/>
      <c r="E522" s="238"/>
      <c r="F522" s="251"/>
      <c r="G522" s="297"/>
      <c r="H522" s="238"/>
      <c r="I522" s="298"/>
      <c r="J522" s="299"/>
      <c r="M522" s="1">
        <f>ROW()</f>
        <v>522</v>
      </c>
      <c r="N522" s="19" t="s">
        <v>257</v>
      </c>
      <c r="O522" s="19" t="s">
        <v>258</v>
      </c>
    </row>
    <row r="523" spans="1:15" s="1" customFormat="1" ht="15.9" customHeight="1">
      <c r="A523" s="129" t="str">
        <f>IF(B523="","",+#REF!+1)</f>
        <v/>
      </c>
      <c r="B523" s="127"/>
      <c r="C523" s="127"/>
      <c r="D523" s="128"/>
      <c r="E523" s="129"/>
      <c r="F523" s="155"/>
      <c r="G523" s="157"/>
      <c r="H523" s="129"/>
      <c r="I523" s="144"/>
      <c r="J523" s="130"/>
      <c r="M523" s="1">
        <f>ROW()</f>
        <v>523</v>
      </c>
      <c r="N523" s="19" t="s">
        <v>259</v>
      </c>
      <c r="O523" s="19" t="s">
        <v>265</v>
      </c>
    </row>
    <row r="524" spans="1:15" s="1" customFormat="1" ht="15.9" customHeight="1">
      <c r="A524" s="135" t="str">
        <f>IF(B524="","",+A523+1)</f>
        <v/>
      </c>
      <c r="B524" s="133"/>
      <c r="C524" s="133"/>
      <c r="D524" s="134"/>
      <c r="E524" s="135"/>
      <c r="F524" s="158"/>
      <c r="G524" s="159"/>
      <c r="H524" s="135"/>
      <c r="I524" s="145"/>
      <c r="J524" s="136"/>
      <c r="M524" s="1">
        <f>ROW()</f>
        <v>524</v>
      </c>
      <c r="N524" s="19" t="s">
        <v>260</v>
      </c>
      <c r="O524" s="19" t="s">
        <v>266</v>
      </c>
    </row>
    <row r="525" spans="1:15" s="1" customFormat="1" ht="15.9" customHeight="1">
      <c r="A525" s="17"/>
      <c r="B525" s="56"/>
      <c r="C525" s="56"/>
      <c r="D525" s="30"/>
      <c r="E525" s="17"/>
      <c r="F525" s="17"/>
      <c r="G525" s="17"/>
      <c r="H525" s="109"/>
      <c r="I525" s="109"/>
      <c r="J525" s="24"/>
      <c r="M525" s="1">
        <f>ROW()</f>
        <v>525</v>
      </c>
      <c r="N525" s="19" t="s">
        <v>261</v>
      </c>
      <c r="O525" s="19" t="s">
        <v>267</v>
      </c>
    </row>
    <row r="526" spans="1:15">
      <c r="H526" s="294"/>
      <c r="I526" s="294"/>
      <c r="J526" s="99" t="str">
        <f>LEFT($J$111,11)&amp;"-05"</f>
        <v>FG-240-6P6L-05</v>
      </c>
      <c r="M526" s="1">
        <f>ROW()</f>
        <v>526</v>
      </c>
      <c r="N526" s="19" t="s">
        <v>262</v>
      </c>
      <c r="O526" s="19" t="s">
        <v>268</v>
      </c>
    </row>
    <row r="527" spans="1:15">
      <c r="M527" s="1">
        <f>ROW()</f>
        <v>527</v>
      </c>
      <c r="N527" s="19" t="s">
        <v>263</v>
      </c>
      <c r="O527" s="19" t="s">
        <v>269</v>
      </c>
    </row>
    <row r="528" spans="1:15">
      <c r="M528" s="1">
        <f>ROW()</f>
        <v>528</v>
      </c>
      <c r="N528" s="19" t="s">
        <v>264</v>
      </c>
      <c r="O528" s="19" t="s">
        <v>270</v>
      </c>
    </row>
  </sheetData>
  <dataConsolidate function="product">
    <dataRefs count="1">
      <dataRef ref="O154:O162" sheet="240_2Panel(L)" r:id="rId1"/>
    </dataRefs>
  </dataConsolidate>
  <mergeCells count="43">
    <mergeCell ref="H163:H166"/>
    <mergeCell ref="H167:H168"/>
    <mergeCell ref="H161:H162"/>
    <mergeCell ref="I168:J168"/>
    <mergeCell ref="A169:J169"/>
    <mergeCell ref="I162:J165"/>
    <mergeCell ref="I166:J167"/>
    <mergeCell ref="D163:D166"/>
    <mergeCell ref="D167:D168"/>
    <mergeCell ref="I158:J158"/>
    <mergeCell ref="D159:D160"/>
    <mergeCell ref="H159:H160"/>
    <mergeCell ref="I159:J160"/>
    <mergeCell ref="I161:J161"/>
    <mergeCell ref="D161:D162"/>
    <mergeCell ref="I157:J157"/>
    <mergeCell ref="H123:I124"/>
    <mergeCell ref="J123:J124"/>
    <mergeCell ref="A125:B125"/>
    <mergeCell ref="H126:I127"/>
    <mergeCell ref="J126:J127"/>
    <mergeCell ref="D127:G127"/>
    <mergeCell ref="A131:J131"/>
    <mergeCell ref="I154:J154"/>
    <mergeCell ref="I155:J155"/>
    <mergeCell ref="I156:J156"/>
    <mergeCell ref="D123:G123"/>
    <mergeCell ref="D125:G125"/>
    <mergeCell ref="D129:G129"/>
    <mergeCell ref="A6:J6"/>
    <mergeCell ref="H120:I121"/>
    <mergeCell ref="J120:J121"/>
    <mergeCell ref="A117:J117"/>
    <mergeCell ref="D121:G121"/>
    <mergeCell ref="D119:G119"/>
    <mergeCell ref="F520:G520"/>
    <mergeCell ref="A518:J518"/>
    <mergeCell ref="A426:J426"/>
    <mergeCell ref="A319:J319"/>
    <mergeCell ref="A212:J212"/>
    <mergeCell ref="F329:G329"/>
    <mergeCell ref="F330:G330"/>
    <mergeCell ref="F333:G333"/>
  </mergeCells>
  <dataValidations count="4">
    <dataValidation type="list" allowBlank="1" showInputMessage="1" showErrorMessage="1" sqref="D127:G127">
      <formula1>$N$120:$N$128</formula1>
    </dataValidation>
    <dataValidation type="list" allowBlank="1" showInputMessage="1" showErrorMessage="1" sqref="C205">
      <formula1>$O$171:$O$189</formula1>
    </dataValidation>
    <dataValidation type="list" allowBlank="1" showInputMessage="1" showErrorMessage="1" sqref="D129:G129">
      <formula1>$O$120</formula1>
    </dataValidation>
    <dataValidation type="list" allowBlank="1" showInputMessage="1" showErrorMessage="1" sqref="D123:G123">
      <formula1>$P$119:$P$128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4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6" max="9" man="1"/>
    <brk id="313" max="16383" man="1"/>
    <brk id="420" max="9" man="1"/>
  </rowBreaks>
  <drawing r:id="rId3"/>
  <legacyDrawing r:id="rId4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1">
    <tabColor theme="5" tint="-0.249977111117893"/>
  </sheetPr>
  <dimension ref="A1:X528"/>
  <sheetViews>
    <sheetView showGridLines="0" view="pageBreakPreview" topLeftCell="A115" zoomScale="75" zoomScaleNormal="75" zoomScaleSheetLayoutView="75" workbookViewId="0">
      <selection activeCell="D119" sqref="D119:G119"/>
    </sheetView>
  </sheetViews>
  <sheetFormatPr defaultRowHeight="14.4" outlineLevelRow="1" outlineLevelCol="1"/>
  <cols>
    <col min="1" max="1" width="7" customWidth="1"/>
    <col min="2" max="2" width="40.6640625" customWidth="1"/>
    <col min="3" max="3" width="61.3320312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7.88671875" bestFit="1" customWidth="1"/>
    <col min="9" max="9" width="11.109375" bestFit="1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3.4414062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17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17"/>
      <c r="E3" s="217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170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>
      <c r="G45" s="10"/>
    </row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/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343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17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17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5.6">
      <c r="A118" s="12"/>
      <c r="C118" s="8"/>
      <c r="D118" s="15"/>
      <c r="E118" s="13"/>
      <c r="J118" s="219"/>
      <c r="K118" s="11"/>
      <c r="L118" s="56"/>
      <c r="M118" s="56"/>
      <c r="N118" s="56"/>
    </row>
    <row r="119" spans="1:16" s="1" customFormat="1" ht="15" customHeight="1">
      <c r="A119" s="12"/>
      <c r="C119" s="110" t="s">
        <v>635</v>
      </c>
      <c r="D119" s="524"/>
      <c r="E119" s="525"/>
      <c r="F119" s="525"/>
      <c r="G119" s="526"/>
      <c r="I119" s="16"/>
      <c r="J119" s="12"/>
      <c r="N119" s="243" t="s">
        <v>191</v>
      </c>
      <c r="O119" s="12" t="s">
        <v>227</v>
      </c>
      <c r="P119" s="247" t="s">
        <v>16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4">
        <v>5</v>
      </c>
      <c r="O120" s="12" t="s">
        <v>243</v>
      </c>
      <c r="P120" s="335" t="s">
        <v>389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6</v>
      </c>
      <c r="O121" s="12" t="s">
        <v>244</v>
      </c>
      <c r="P121" s="336" t="s">
        <v>390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8</v>
      </c>
      <c r="P122" s="336" t="s">
        <v>391</v>
      </c>
    </row>
    <row r="123" spans="1:16" s="1" customFormat="1" ht="15" customHeight="1">
      <c r="A123" s="12"/>
      <c r="C123" s="110" t="s">
        <v>629</v>
      </c>
      <c r="D123" s="524" t="s">
        <v>15</v>
      </c>
      <c r="E123" s="525"/>
      <c r="F123" s="525"/>
      <c r="G123" s="526"/>
      <c r="H123" s="519" t="s">
        <v>638</v>
      </c>
      <c r="I123" s="520"/>
      <c r="J123" s="517">
        <v>2500</v>
      </c>
      <c r="N123" s="245">
        <v>10</v>
      </c>
      <c r="P123" s="336" t="s">
        <v>392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12</v>
      </c>
      <c r="P124" s="335" t="s">
        <v>393</v>
      </c>
    </row>
    <row r="125" spans="1:16" s="1" customFormat="1" ht="15" customHeight="1">
      <c r="A125" s="532"/>
      <c r="B125" s="532"/>
      <c r="C125" s="111" t="s">
        <v>630</v>
      </c>
      <c r="D125" s="524" t="s">
        <v>663</v>
      </c>
      <c r="E125" s="525"/>
      <c r="F125" s="525"/>
      <c r="G125" s="526"/>
      <c r="H125" s="41"/>
      <c r="I125" s="41"/>
      <c r="J125" s="12"/>
      <c r="K125" s="218"/>
      <c r="L125" s="77"/>
      <c r="N125" s="245">
        <v>14</v>
      </c>
      <c r="P125" s="335" t="s">
        <v>394</v>
      </c>
    </row>
    <row r="126" spans="1:16" s="1" customFormat="1" ht="15" customHeight="1">
      <c r="A126" s="219"/>
      <c r="B126" s="219"/>
      <c r="C126" s="423" t="s">
        <v>631</v>
      </c>
      <c r="D126" s="15"/>
      <c r="H126" s="519" t="s">
        <v>639</v>
      </c>
      <c r="I126" s="520"/>
      <c r="J126" s="517">
        <v>3500</v>
      </c>
      <c r="K126" s="218"/>
      <c r="L126" s="77"/>
      <c r="N126" s="245">
        <v>18</v>
      </c>
      <c r="P126" s="335" t="s">
        <v>395</v>
      </c>
    </row>
    <row r="127" spans="1:16" s="1" customFormat="1" ht="15" customHeight="1">
      <c r="A127" s="219"/>
      <c r="B127" s="219"/>
      <c r="C127" s="110" t="s">
        <v>633</v>
      </c>
      <c r="D127" s="534">
        <v>6</v>
      </c>
      <c r="E127" s="535"/>
      <c r="F127" s="535"/>
      <c r="G127" s="536"/>
      <c r="H127" s="520"/>
      <c r="I127" s="520"/>
      <c r="J127" s="518"/>
      <c r="N127" s="245">
        <v>20</v>
      </c>
      <c r="P127" s="335" t="s">
        <v>396</v>
      </c>
    </row>
    <row r="128" spans="1:16" s="1" customFormat="1" ht="18.75" customHeight="1">
      <c r="C128" s="423" t="s">
        <v>632</v>
      </c>
      <c r="I128" s="12"/>
      <c r="J128" s="12"/>
      <c r="N128" s="245">
        <v>22</v>
      </c>
      <c r="P128" s="335" t="s">
        <v>397</v>
      </c>
    </row>
    <row r="129" spans="1:23" s="1" customFormat="1" ht="15" customHeight="1">
      <c r="A129" s="88" t="str">
        <f>A18</f>
        <v>240-6 Panel (6R)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3440</v>
      </c>
      <c r="J133" s="125">
        <f t="shared" ref="J133:J153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12</v>
      </c>
      <c r="U133" s="283" t="s">
        <v>299</v>
      </c>
      <c r="V133" s="307">
        <f>($J$126-182-(113.25*5))/6</f>
        <v>458.625</v>
      </c>
      <c r="W133" s="286">
        <f>$J$121*T133</f>
        <v>0</v>
      </c>
    </row>
    <row r="134" spans="1:23" s="1" customFormat="1" ht="18" customHeight="1">
      <c r="A134" s="143">
        <f t="shared" ref="A134:A153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3414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12</v>
      </c>
      <c r="U134" s="283" t="s">
        <v>299</v>
      </c>
      <c r="V134" s="307">
        <f t="shared" ref="V134:V135" si="2">($J$126-182-(113.25*5))/6</f>
        <v>458.625</v>
      </c>
      <c r="W134" s="131">
        <f t="shared" ref="W134:W135" si="3">$J$121*T134</f>
        <v>0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3440</v>
      </c>
      <c r="J135" s="131">
        <f t="shared" si="0"/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12</v>
      </c>
      <c r="U135" s="283" t="s">
        <v>299</v>
      </c>
      <c r="V135" s="307">
        <f t="shared" si="2"/>
        <v>458.625</v>
      </c>
      <c r="W135" s="293">
        <f t="shared" si="3"/>
        <v>0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3440</v>
      </c>
      <c r="J136" s="131">
        <f t="shared" si="0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12</v>
      </c>
      <c r="U136" s="283" t="s">
        <v>64</v>
      </c>
      <c r="V136" s="288">
        <f>$J$123-242</f>
        <v>2258</v>
      </c>
      <c r="W136" s="286">
        <f>$J$121*T136</f>
        <v>0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508</v>
      </c>
      <c r="G137" s="143">
        <v>1</v>
      </c>
      <c r="H137" s="143" t="s">
        <v>61</v>
      </c>
      <c r="I137" s="130">
        <f>$J$123</f>
        <v>2500</v>
      </c>
      <c r="J137" s="131">
        <f t="shared" si="0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12</v>
      </c>
      <c r="U137" s="129" t="s">
        <v>64</v>
      </c>
      <c r="V137" s="130">
        <f>$J$123-242</f>
        <v>2258</v>
      </c>
      <c r="W137" s="131">
        <f t="shared" ref="W137:W138" si="4">$J$121*T137</f>
        <v>0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2500</v>
      </c>
      <c r="J138" s="131">
        <f t="shared" si="0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12</v>
      </c>
      <c r="U138" s="135" t="s">
        <v>64</v>
      </c>
      <c r="V138" s="136">
        <f>$J$123-242</f>
        <v>2258</v>
      </c>
      <c r="W138" s="293">
        <f t="shared" si="4"/>
        <v>0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2404</v>
      </c>
      <c r="J139" s="131">
        <f t="shared" si="0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2404</v>
      </c>
      <c r="J140" s="131">
        <f t="shared" ref="J140" si="5">$J$120*G140</f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6</v>
      </c>
      <c r="H141" s="143" t="s">
        <v>299</v>
      </c>
      <c r="I141" s="178">
        <f>($J$126-182-(113.25*5))/6</f>
        <v>458.625</v>
      </c>
      <c r="J141" s="131">
        <f t="shared" ref="J141:J146" si="6">$J$120*G141</f>
        <v>6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6</v>
      </c>
      <c r="H142" s="143" t="s">
        <v>299</v>
      </c>
      <c r="I142" s="178">
        <f>($J$126-182-(113.25*5))/6</f>
        <v>458.625</v>
      </c>
      <c r="J142" s="131">
        <f t="shared" si="6"/>
        <v>6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9</v>
      </c>
      <c r="H143" s="143" t="s">
        <v>63</v>
      </c>
      <c r="I143" s="130">
        <f>$J$123-92</f>
        <v>2408</v>
      </c>
      <c r="J143" s="131">
        <f t="shared" si="6"/>
        <v>9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496</v>
      </c>
      <c r="G144" s="143">
        <v>3</v>
      </c>
      <c r="H144" s="143" t="s">
        <v>63</v>
      </c>
      <c r="I144" s="130">
        <f t="shared" ref="I144" si="7">$J$123-92</f>
        <v>2408</v>
      </c>
      <c r="J144" s="131">
        <f t="shared" si="6"/>
        <v>3</v>
      </c>
      <c r="N144" s="98"/>
    </row>
    <row r="145" spans="1:14" s="1" customFormat="1" ht="18" customHeight="1">
      <c r="A145" s="143">
        <f t="shared" si="1"/>
        <v>13</v>
      </c>
      <c r="B145" s="140" t="str">
        <f t="shared" ref="B145:I145" si="8">IF($D$127=5,O133,IF($D$127=6,O133,IF($D$127=8,O134,IF($D$127=10,O134,IF($D$127=12,O134,IF($D$127=14,O135,IF($D$127=18,O135,IF($D$127=20,O135,IF($D$127=22,O135,)))))))))</f>
        <v>5-6mm คิ้วตบกระจกแนวนอน</v>
      </c>
      <c r="C145" s="140" t="str">
        <f t="shared" si="8"/>
        <v>5-6mm GLAZING BEAD HORIZONTAL</v>
      </c>
      <c r="D145" s="140" t="str">
        <f t="shared" si="8"/>
        <v>B24008</v>
      </c>
      <c r="E145" s="140">
        <f t="shared" si="8"/>
        <v>0.23100000000000001</v>
      </c>
      <c r="F145" s="140" t="str">
        <f t="shared" si="8"/>
        <v>B24008-001</v>
      </c>
      <c r="G145" s="143">
        <f t="shared" si="8"/>
        <v>12</v>
      </c>
      <c r="H145" s="129" t="str">
        <f t="shared" si="8"/>
        <v>(W-182-(113.25 × 5))/6</v>
      </c>
      <c r="I145" s="178">
        <f t="shared" si="8"/>
        <v>458.625</v>
      </c>
      <c r="J145" s="131">
        <f t="shared" si="6"/>
        <v>12</v>
      </c>
      <c r="N145" s="98"/>
    </row>
    <row r="146" spans="1:14" s="1" customFormat="1" ht="18" customHeight="1">
      <c r="A146" s="143">
        <f t="shared" si="1"/>
        <v>14</v>
      </c>
      <c r="B146" s="140" t="str">
        <f t="shared" ref="B146:I146" si="9">IF($D$127=5,O136,IF($D$127=6,O136,IF($D$127=8,O137,IF($D$127=10,O137,IF($D$127=12,O137,IF($D$127=14,O138,IF($D$127=18,O138,IF($D$127=20,O138,IF($D$127=22,O138,)))))))))</f>
        <v>5-6mm คิ้วตบกระจกแนวตั้ง</v>
      </c>
      <c r="C146" s="140" t="str">
        <f t="shared" si="9"/>
        <v>5-6mm GLAZING BEAD VERTICAL</v>
      </c>
      <c r="D146" s="140" t="str">
        <f t="shared" si="9"/>
        <v>B24008</v>
      </c>
      <c r="E146" s="140">
        <f t="shared" si="9"/>
        <v>0.23100000000000001</v>
      </c>
      <c r="F146" s="140" t="str">
        <f t="shared" si="9"/>
        <v>B24008-002</v>
      </c>
      <c r="G146" s="143">
        <f t="shared" si="9"/>
        <v>12</v>
      </c>
      <c r="H146" s="129" t="str">
        <f t="shared" si="9"/>
        <v>H-242</v>
      </c>
      <c r="I146" s="144">
        <f t="shared" si="9"/>
        <v>2258</v>
      </c>
      <c r="J146" s="131">
        <f t="shared" si="6"/>
        <v>12</v>
      </c>
      <c r="N146" s="98"/>
    </row>
    <row r="147" spans="1:14" s="1" customFormat="1" ht="18" customHeight="1">
      <c r="A147" s="143" t="str">
        <f t="shared" si="1"/>
        <v/>
      </c>
      <c r="B147" s="140"/>
      <c r="C147" s="140"/>
      <c r="D147" s="139"/>
      <c r="E147" s="143"/>
      <c r="F147" s="139"/>
      <c r="G147" s="143"/>
      <c r="H147" s="143"/>
      <c r="I147" s="130"/>
      <c r="J147" s="131">
        <f t="shared" si="0"/>
        <v>0</v>
      </c>
      <c r="N147" s="98"/>
    </row>
    <row r="148" spans="1:14" s="1" customFormat="1" ht="18" customHeight="1">
      <c r="A148" s="143" t="str">
        <f t="shared" si="1"/>
        <v/>
      </c>
      <c r="B148" s="140"/>
      <c r="C148" s="140"/>
      <c r="D148" s="139"/>
      <c r="E148" s="143"/>
      <c r="F148" s="139"/>
      <c r="G148" s="143"/>
      <c r="H148" s="143"/>
      <c r="I148" s="130"/>
      <c r="J148" s="131">
        <f t="shared" si="0"/>
        <v>0</v>
      </c>
      <c r="N148" s="98"/>
    </row>
    <row r="149" spans="1:14" s="1" customFormat="1" ht="18" customHeight="1">
      <c r="A149" s="143" t="str">
        <f t="shared" si="1"/>
        <v/>
      </c>
      <c r="B149" s="140"/>
      <c r="C149" s="140"/>
      <c r="D149" s="139"/>
      <c r="E149" s="143"/>
      <c r="F149" s="139"/>
      <c r="G149" s="143"/>
      <c r="H149" s="143"/>
      <c r="I149" s="130"/>
      <c r="J149" s="131">
        <f t="shared" si="0"/>
        <v>0</v>
      </c>
      <c r="N149" s="98"/>
    </row>
    <row r="150" spans="1:14" s="1" customFormat="1" ht="18" customHeight="1">
      <c r="A150" s="143" t="str">
        <f t="shared" si="1"/>
        <v/>
      </c>
      <c r="B150" s="140"/>
      <c r="C150" s="140"/>
      <c r="D150" s="139"/>
      <c r="E150" s="143"/>
      <c r="F150" s="139"/>
      <c r="G150" s="143"/>
      <c r="H150" s="143"/>
      <c r="I150" s="130"/>
      <c r="J150" s="131"/>
      <c r="N150" s="98"/>
    </row>
    <row r="151" spans="1:14" s="1" customFormat="1" ht="18" customHeight="1">
      <c r="A151" s="143" t="str">
        <f t="shared" si="1"/>
        <v/>
      </c>
      <c r="B151" s="140"/>
      <c r="C151" s="140"/>
      <c r="D151" s="139"/>
      <c r="E151" s="143"/>
      <c r="F151" s="139"/>
      <c r="G151" s="143"/>
      <c r="H151" s="143"/>
      <c r="I151" s="130"/>
      <c r="J151" s="131">
        <f t="shared" si="0"/>
        <v>0</v>
      </c>
      <c r="N151" s="98"/>
    </row>
    <row r="152" spans="1:14" s="1" customFormat="1" ht="18" customHeight="1">
      <c r="A152" s="143" t="str">
        <f t="shared" si="1"/>
        <v/>
      </c>
      <c r="B152" s="127"/>
      <c r="C152" s="127"/>
      <c r="D152" s="128"/>
      <c r="E152" s="129"/>
      <c r="F152" s="128"/>
      <c r="G152" s="129"/>
      <c r="H152" s="129"/>
      <c r="I152" s="144"/>
      <c r="J152" s="131">
        <f t="shared" si="0"/>
        <v>0</v>
      </c>
      <c r="N152" s="98"/>
    </row>
    <row r="153" spans="1:14" s="1" customFormat="1" ht="18" customHeight="1" thickBot="1">
      <c r="A153" s="143" t="str">
        <f t="shared" si="1"/>
        <v/>
      </c>
      <c r="B153" s="167"/>
      <c r="C153" s="167"/>
      <c r="D153" s="168"/>
      <c r="E153" s="166"/>
      <c r="F153" s="168"/>
      <c r="G153" s="166"/>
      <c r="H153" s="166"/>
      <c r="I153" s="171"/>
      <c r="J153" s="172">
        <f t="shared" si="0"/>
        <v>0</v>
      </c>
    </row>
    <row r="154" spans="1:14" s="1" customFormat="1" ht="27" outlineLevel="1" thickBot="1">
      <c r="A154" s="169" t="s">
        <v>2</v>
      </c>
      <c r="B154" s="169" t="s">
        <v>29</v>
      </c>
      <c r="C154" s="169" t="s">
        <v>3</v>
      </c>
      <c r="D154" s="169" t="s">
        <v>4</v>
      </c>
      <c r="E154" s="169" t="s">
        <v>5</v>
      </c>
      <c r="F154" s="177" t="s">
        <v>85</v>
      </c>
      <c r="G154" s="169" t="s">
        <v>22</v>
      </c>
      <c r="H154" s="170" t="s">
        <v>23</v>
      </c>
      <c r="I154" s="540"/>
      <c r="J154" s="541"/>
    </row>
    <row r="155" spans="1:14" s="1" customFormat="1" ht="15" customHeight="1" outlineLevel="1">
      <c r="A155" s="21">
        <f>IF(B155="","",1)</f>
        <v>1</v>
      </c>
      <c r="B155" s="173" t="str">
        <f t="shared" ref="B155:C161" si="10">B133</f>
        <v>เฟรมบน</v>
      </c>
      <c r="C155" s="173" t="str">
        <f t="shared" si="10"/>
        <v>HEAD</v>
      </c>
      <c r="D155" s="174" t="str">
        <f>VLOOKUP(C155,$C$133:$H$153,2,0)</f>
        <v>B24001</v>
      </c>
      <c r="E155" s="175">
        <f t="shared" ref="E155:E161" si="11">VLOOKUP(C155,$C$133:$H$153,3,0)</f>
        <v>1.603</v>
      </c>
      <c r="F155" s="353">
        <f t="shared" ref="F155:F161" si="12">VLOOKUP(C155,$C$133:$J$153,7,0)</f>
        <v>3440</v>
      </c>
      <c r="G155" s="175">
        <f t="shared" ref="G155:G161" si="13">VLOOKUP(C155,$C$133:$J$153,8,0)</f>
        <v>1</v>
      </c>
      <c r="H155" s="191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ref="A156:A161" si="14">IF(B156="","",+A155+1)</f>
        <v>2</v>
      </c>
      <c r="B156" s="173" t="str">
        <f t="shared" si="10"/>
        <v>บังใบบน</v>
      </c>
      <c r="C156" s="173" t="str">
        <f t="shared" si="10"/>
        <v>DOOR STOP HEAD</v>
      </c>
      <c r="D156" s="174" t="str">
        <f>VLOOKUP(C156,$C$133:$H$153,2,0)</f>
        <v>B24002</v>
      </c>
      <c r="E156" s="175">
        <f t="shared" si="11"/>
        <v>0.27800000000000002</v>
      </c>
      <c r="F156" s="353">
        <f t="shared" si="12"/>
        <v>3414</v>
      </c>
      <c r="G156" s="175">
        <f t="shared" si="13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si="14"/>
        <v>3</v>
      </c>
      <c r="B157" s="173" t="str">
        <f t="shared" si="10"/>
        <v xml:space="preserve">เฟรมล่าง </v>
      </c>
      <c r="C157" s="173" t="str">
        <f t="shared" si="10"/>
        <v>SILL</v>
      </c>
      <c r="D157" s="174" t="str">
        <f>VLOOKUP(C157,$C$133:$H$153,2,0)</f>
        <v>B24003</v>
      </c>
      <c r="E157" s="175">
        <f t="shared" si="11"/>
        <v>1.603</v>
      </c>
      <c r="F157" s="353">
        <f t="shared" si="12"/>
        <v>3440</v>
      </c>
      <c r="G157" s="175">
        <f t="shared" si="13"/>
        <v>1</v>
      </c>
      <c r="H157" s="192">
        <f t="shared" ref="H157:H158" si="15">ROUNDUP((F157*G157)/6400,0)</f>
        <v>1</v>
      </c>
      <c r="I157" s="501"/>
      <c r="J157" s="501"/>
    </row>
    <row r="158" spans="1:14" s="1" customFormat="1" ht="15" customHeight="1" outlineLevel="1">
      <c r="A158" s="18">
        <f t="shared" si="14"/>
        <v>4</v>
      </c>
      <c r="B158" s="173" t="str">
        <f t="shared" si="10"/>
        <v>ตัวตับธรณี</v>
      </c>
      <c r="C158" s="173" t="str">
        <f t="shared" si="10"/>
        <v>DOOR STOP SILL</v>
      </c>
      <c r="D158" s="174" t="str">
        <f>VLOOKUP(C158,$C$133:$H$153,2,0)</f>
        <v>B24004</v>
      </c>
      <c r="E158" s="175">
        <f t="shared" si="11"/>
        <v>0.51600000000000001</v>
      </c>
      <c r="F158" s="353">
        <f t="shared" si="12"/>
        <v>3440</v>
      </c>
      <c r="G158" s="175">
        <f t="shared" si="13"/>
        <v>1</v>
      </c>
      <c r="H158" s="192">
        <f t="shared" si="15"/>
        <v>1</v>
      </c>
      <c r="I158" s="501"/>
      <c r="J158" s="501"/>
    </row>
    <row r="159" spans="1:14" s="1" customFormat="1" ht="15" customHeight="1" outlineLevel="1">
      <c r="A159" s="18">
        <f t="shared" si="14"/>
        <v>5</v>
      </c>
      <c r="B159" s="173" t="str">
        <f t="shared" si="10"/>
        <v>เฟรมข้าง (ซ้าย)</v>
      </c>
      <c r="C159" s="173" t="str">
        <f t="shared" si="10"/>
        <v>JAMB (L)</v>
      </c>
      <c r="D159" s="508" t="str">
        <f>VLOOKUP(C159,$C$133:$H$153,2,0)</f>
        <v>B24005</v>
      </c>
      <c r="E159" s="175">
        <f t="shared" si="11"/>
        <v>0.89300000000000002</v>
      </c>
      <c r="F159" s="353">
        <f t="shared" si="12"/>
        <v>2500</v>
      </c>
      <c r="G159" s="175">
        <f t="shared" si="13"/>
        <v>1</v>
      </c>
      <c r="H159" s="516">
        <f>ROUNDUP(((F159*G159)+(F160*G160))/6400,0)</f>
        <v>1</v>
      </c>
      <c r="I159" s="506"/>
      <c r="J159" s="506"/>
    </row>
    <row r="160" spans="1:14" s="1" customFormat="1" ht="15" customHeight="1" outlineLevel="1">
      <c r="A160" s="18">
        <f t="shared" si="14"/>
        <v>6</v>
      </c>
      <c r="B160" s="173" t="str">
        <f t="shared" si="10"/>
        <v>เฟรมข้าง (ขวา)</v>
      </c>
      <c r="C160" s="173" t="str">
        <f t="shared" si="10"/>
        <v>JAMB (R)</v>
      </c>
      <c r="D160" s="509"/>
      <c r="E160" s="175">
        <f t="shared" si="11"/>
        <v>0.89300000000000002</v>
      </c>
      <c r="F160" s="353">
        <f t="shared" si="12"/>
        <v>2500</v>
      </c>
      <c r="G160" s="175">
        <f t="shared" si="13"/>
        <v>1</v>
      </c>
      <c r="H160" s="516"/>
      <c r="I160" s="506"/>
      <c r="J160" s="506"/>
    </row>
    <row r="161" spans="1:23" s="1" customFormat="1" ht="15" customHeight="1" outlineLevel="1">
      <c r="A161" s="18">
        <f t="shared" si="14"/>
        <v>7</v>
      </c>
      <c r="B161" s="173" t="str">
        <f t="shared" si="10"/>
        <v>บังใบข้าง (ซ้าย)</v>
      </c>
      <c r="C161" s="173" t="str">
        <f t="shared" si="10"/>
        <v>DOOR STOP JAMB (L)</v>
      </c>
      <c r="D161" s="508" t="str">
        <f>VLOOKUP(C161,$C$133:$H$153,2,0)</f>
        <v>B24006</v>
      </c>
      <c r="E161" s="175">
        <f t="shared" si="11"/>
        <v>0.23499999999999999</v>
      </c>
      <c r="F161" s="353">
        <f t="shared" si="12"/>
        <v>2404</v>
      </c>
      <c r="G161" s="175">
        <f t="shared" si="13"/>
        <v>1</v>
      </c>
      <c r="H161" s="516">
        <f>ROUNDUP(((F161*G161)+(F162*G162))/6400,0)</f>
        <v>1</v>
      </c>
      <c r="I161" s="501"/>
      <c r="J161" s="501"/>
    </row>
    <row r="162" spans="1:23" s="1" customFormat="1" ht="15" customHeight="1" outlineLevel="1">
      <c r="A162" s="18">
        <f t="shared" ref="A162:A168" si="16">IF(B162="","",+A161+1)</f>
        <v>8</v>
      </c>
      <c r="B162" s="173" t="str">
        <f t="shared" ref="B162:C162" si="17">B140</f>
        <v>บังใบข้าง (ขวา)</v>
      </c>
      <c r="C162" s="173" t="str">
        <f t="shared" si="17"/>
        <v>DOOR STOP JAMB (R)</v>
      </c>
      <c r="D162" s="509"/>
      <c r="E162" s="175">
        <f t="shared" ref="E162:E168" si="18">VLOOKUP(C162,$C$133:$H$153,3,0)</f>
        <v>0.23499999999999999</v>
      </c>
      <c r="F162" s="353">
        <f t="shared" ref="F162:F168" si="19">VLOOKUP(C162,$C$133:$J$153,7,0)</f>
        <v>2404</v>
      </c>
      <c r="G162" s="175">
        <f t="shared" ref="G162:G168" si="20">VLOOKUP(C162,$C$133:$J$153,8,0)</f>
        <v>1</v>
      </c>
      <c r="H162" s="516"/>
      <c r="I162" s="506"/>
      <c r="J162" s="506"/>
    </row>
    <row r="163" spans="1:23" s="1" customFormat="1" ht="13.8" outlineLevel="1">
      <c r="A163" s="18">
        <f t="shared" si="16"/>
        <v>9</v>
      </c>
      <c r="B163" s="173" t="str">
        <f t="shared" ref="B163:C163" si="21">B141</f>
        <v>ขวางบน</v>
      </c>
      <c r="C163" s="173" t="str">
        <f t="shared" si="21"/>
        <v>SASH (Hor) (T)</v>
      </c>
      <c r="D163" s="508" t="str">
        <f t="shared" ref="D163:D167" si="22">VLOOKUP(C163,$C$133:$H$153,2,0)</f>
        <v>B24007</v>
      </c>
      <c r="E163" s="175">
        <f t="shared" si="18"/>
        <v>1.1060000000000001</v>
      </c>
      <c r="F163" s="353">
        <f t="shared" si="19"/>
        <v>458.625</v>
      </c>
      <c r="G163" s="175">
        <f t="shared" si="20"/>
        <v>6</v>
      </c>
      <c r="H163" s="512">
        <f>ROUNDUP(((F163*G163)+(F164*G164)+(F165*G165)+(F166*G166))/6400,0)</f>
        <v>6</v>
      </c>
      <c r="I163" s="506"/>
      <c r="J163" s="506"/>
    </row>
    <row r="164" spans="1:23" s="1" customFormat="1" ht="13.8" outlineLevel="1">
      <c r="A164" s="18">
        <f t="shared" si="16"/>
        <v>10</v>
      </c>
      <c r="B164" s="173" t="str">
        <f t="shared" ref="B164:C164" si="23">B142</f>
        <v>ขวางล่าง</v>
      </c>
      <c r="C164" s="173" t="str">
        <f t="shared" si="23"/>
        <v>SASH (Hor) (B)</v>
      </c>
      <c r="D164" s="510"/>
      <c r="E164" s="175">
        <f t="shared" si="18"/>
        <v>1.1060000000000001</v>
      </c>
      <c r="F164" s="353">
        <f t="shared" si="19"/>
        <v>458.625</v>
      </c>
      <c r="G164" s="175">
        <f t="shared" si="20"/>
        <v>6</v>
      </c>
      <c r="H164" s="514"/>
      <c r="I164" s="506"/>
      <c r="J164" s="506"/>
    </row>
    <row r="165" spans="1:23" s="1" customFormat="1" ht="13.8" outlineLevel="1">
      <c r="A165" s="18">
        <f t="shared" si="16"/>
        <v>11</v>
      </c>
      <c r="B165" s="173" t="str">
        <f t="shared" ref="B165:C165" si="24">B143</f>
        <v>เสา</v>
      </c>
      <c r="C165" s="173" t="str">
        <f t="shared" si="24"/>
        <v xml:space="preserve">SASH (Ver) </v>
      </c>
      <c r="D165" s="510"/>
      <c r="E165" s="175">
        <f t="shared" si="18"/>
        <v>1.1060000000000001</v>
      </c>
      <c r="F165" s="353">
        <f t="shared" si="19"/>
        <v>2408</v>
      </c>
      <c r="G165" s="175">
        <f t="shared" si="20"/>
        <v>9</v>
      </c>
      <c r="H165" s="514"/>
      <c r="I165" s="506"/>
      <c r="J165" s="506"/>
    </row>
    <row r="166" spans="1:23" s="1" customFormat="1" ht="15" customHeight="1" outlineLevel="1">
      <c r="A166" s="18">
        <f t="shared" si="16"/>
        <v>12</v>
      </c>
      <c r="B166" s="173" t="str">
        <f t="shared" ref="B166:C166" si="25">B144</f>
        <v>เสากุญแจ</v>
      </c>
      <c r="C166" s="173" t="str">
        <f t="shared" si="25"/>
        <v xml:space="preserve">SASH (Ver) LOCK </v>
      </c>
      <c r="D166" s="509"/>
      <c r="E166" s="175">
        <f t="shared" si="18"/>
        <v>1.1060000000000001</v>
      </c>
      <c r="F166" s="353">
        <f t="shared" si="19"/>
        <v>2408</v>
      </c>
      <c r="G166" s="175">
        <f t="shared" si="20"/>
        <v>3</v>
      </c>
      <c r="H166" s="515"/>
      <c r="I166" s="506"/>
      <c r="J166" s="506"/>
    </row>
    <row r="167" spans="1:23" s="1" customFormat="1" ht="15" customHeight="1" outlineLevel="1">
      <c r="A167" s="18">
        <f t="shared" si="16"/>
        <v>13</v>
      </c>
      <c r="B167" s="173" t="str">
        <f t="shared" ref="B167:C167" si="26">B145</f>
        <v>5-6mm คิ้วตบกระจกแนวนอน</v>
      </c>
      <c r="C167" s="173" t="str">
        <f t="shared" si="26"/>
        <v>5-6mm GLAZING BEAD HORIZONTAL</v>
      </c>
      <c r="D167" s="508" t="str">
        <f t="shared" si="22"/>
        <v>B24008</v>
      </c>
      <c r="E167" s="175">
        <f t="shared" si="18"/>
        <v>0.23100000000000001</v>
      </c>
      <c r="F167" s="353">
        <f t="shared" si="19"/>
        <v>458.625</v>
      </c>
      <c r="G167" s="175">
        <f t="shared" si="20"/>
        <v>12</v>
      </c>
      <c r="H167" s="516">
        <f>ROUNDUP(((F167*G167)+(F168*G168))/6400,0)</f>
        <v>6</v>
      </c>
      <c r="I167" s="506"/>
      <c r="J167" s="506"/>
    </row>
    <row r="168" spans="1:23" s="1" customFormat="1" outlineLevel="1" thickBot="1">
      <c r="A168" s="18">
        <f t="shared" si="16"/>
        <v>14</v>
      </c>
      <c r="B168" s="173" t="str">
        <f t="shared" ref="B168:C168" si="27">B146</f>
        <v>5-6mm คิ้วตบกระจกแนวตั้ง</v>
      </c>
      <c r="C168" s="173" t="str">
        <f t="shared" si="27"/>
        <v>5-6mm GLAZING BEAD VERTICAL</v>
      </c>
      <c r="D168" s="511"/>
      <c r="E168" s="175">
        <f t="shared" si="18"/>
        <v>0.23100000000000001</v>
      </c>
      <c r="F168" s="353">
        <f t="shared" si="19"/>
        <v>2258</v>
      </c>
      <c r="G168" s="175">
        <f t="shared" si="20"/>
        <v>12</v>
      </c>
      <c r="H168" s="516"/>
      <c r="I168" s="501"/>
      <c r="J168" s="501"/>
    </row>
    <row r="169" spans="1:23" s="1" customFormat="1" ht="24.9" customHeight="1" thickBot="1">
      <c r="A169" s="529" t="s">
        <v>9</v>
      </c>
      <c r="B169" s="530"/>
      <c r="C169" s="530"/>
      <c r="D169" s="530"/>
      <c r="E169" s="530"/>
      <c r="F169" s="530"/>
      <c r="G169" s="530"/>
      <c r="H169" s="530"/>
      <c r="I169" s="530"/>
      <c r="J169" s="531"/>
    </row>
    <row r="170" spans="1:23" s="1" customFormat="1" ht="35.1" customHeight="1" thickBot="1">
      <c r="A170" s="102" t="s">
        <v>2</v>
      </c>
      <c r="B170" s="103" t="s">
        <v>29</v>
      </c>
      <c r="C170" s="103" t="s">
        <v>3</v>
      </c>
      <c r="D170" s="103" t="s">
        <v>199</v>
      </c>
      <c r="E170" s="103" t="s">
        <v>5</v>
      </c>
      <c r="F170" s="104" t="s">
        <v>28</v>
      </c>
      <c r="G170" s="103" t="s">
        <v>19</v>
      </c>
      <c r="H170" s="104" t="s">
        <v>200</v>
      </c>
      <c r="I170" s="104" t="s">
        <v>20</v>
      </c>
      <c r="J170" s="115" t="s">
        <v>201</v>
      </c>
      <c r="N170" s="101" t="s">
        <v>191</v>
      </c>
      <c r="O170" s="246" t="s">
        <v>29</v>
      </c>
      <c r="P170" s="246" t="s">
        <v>3</v>
      </c>
      <c r="Q170" s="246" t="s">
        <v>199</v>
      </c>
      <c r="R170" s="246" t="s">
        <v>5</v>
      </c>
      <c r="S170" s="246" t="s">
        <v>28</v>
      </c>
      <c r="T170" s="246" t="s">
        <v>19</v>
      </c>
      <c r="U170" s="246" t="s">
        <v>200</v>
      </c>
      <c r="V170" s="246" t="s">
        <v>20</v>
      </c>
      <c r="W170" s="246" t="s">
        <v>201</v>
      </c>
    </row>
    <row r="171" spans="1:23" s="1" customFormat="1" ht="18" customHeight="1">
      <c r="A171" s="200">
        <f>IF(B171="","",1)</f>
        <v>1</v>
      </c>
      <c r="B171" s="140" t="s">
        <v>111</v>
      </c>
      <c r="C171" s="140" t="s">
        <v>67</v>
      </c>
      <c r="D171" s="139" t="s">
        <v>74</v>
      </c>
      <c r="E171" s="143"/>
      <c r="F171" s="143" t="s">
        <v>74</v>
      </c>
      <c r="G171" s="143" t="s">
        <v>202</v>
      </c>
      <c r="H171" s="143">
        <v>12</v>
      </c>
      <c r="I171" s="184"/>
      <c r="J171" s="131">
        <f>$J$120*H171</f>
        <v>12</v>
      </c>
      <c r="N171" s="101" t="s">
        <v>226</v>
      </c>
      <c r="O171" s="280" t="s">
        <v>252</v>
      </c>
      <c r="P171" s="290" t="s">
        <v>248</v>
      </c>
      <c r="Q171" s="280" t="s">
        <v>69</v>
      </c>
      <c r="R171" s="213"/>
      <c r="S171" s="213" t="s">
        <v>69</v>
      </c>
      <c r="T171" s="213" t="s">
        <v>198</v>
      </c>
      <c r="U171" s="291">
        <f>((($I$141*$G$141)+($I$142*$G$142)+($I$143*$G$143)+($I$144*$G$144))/1000)*$J$120</f>
        <v>34.399500000000003</v>
      </c>
      <c r="V171" s="291">
        <v>100</v>
      </c>
      <c r="W171" s="292">
        <f>ROUNDUP((U171)/100,0)</f>
        <v>1</v>
      </c>
    </row>
    <row r="172" spans="1:23" s="1" customFormat="1" ht="18" customHeight="1">
      <c r="A172" s="201">
        <f>IF(B172="","",+A171+1)</f>
        <v>2</v>
      </c>
      <c r="B172" s="140" t="s">
        <v>106</v>
      </c>
      <c r="C172" s="140" t="s">
        <v>503</v>
      </c>
      <c r="D172" s="139" t="s">
        <v>75</v>
      </c>
      <c r="E172" s="143"/>
      <c r="F172" s="143" t="s">
        <v>75</v>
      </c>
      <c r="G172" s="143" t="s">
        <v>202</v>
      </c>
      <c r="H172" s="143">
        <v>2</v>
      </c>
      <c r="I172" s="184"/>
      <c r="J172" s="131">
        <f t="shared" ref="J172:J190" si="28">$J$120*H172</f>
        <v>2</v>
      </c>
      <c r="N172" s="101" t="s">
        <v>230</v>
      </c>
      <c r="O172" s="280" t="s">
        <v>253</v>
      </c>
      <c r="P172" s="290" t="s">
        <v>249</v>
      </c>
      <c r="Q172" s="280" t="s">
        <v>188</v>
      </c>
      <c r="R172" s="213"/>
      <c r="S172" s="213" t="s">
        <v>188</v>
      </c>
      <c r="T172" s="213" t="s">
        <v>198</v>
      </c>
      <c r="U172" s="291">
        <f>((($I$141*$G$141)+($I$142*$G$142)+($I$143*$G$143)+($I$144*$G$144))/1000)*$J$120</f>
        <v>34.399500000000003</v>
      </c>
      <c r="V172" s="291">
        <v>100</v>
      </c>
      <c r="W172" s="292">
        <f t="shared" ref="W172:W174" si="29">ROUNDUP((U172)/100,0)</f>
        <v>1</v>
      </c>
    </row>
    <row r="173" spans="1:23" s="1" customFormat="1" ht="18" customHeight="1">
      <c r="A173" s="201">
        <f t="shared" ref="A173:A203" si="30">IF(B173="","",+A172+1)</f>
        <v>3</v>
      </c>
      <c r="B173" s="140" t="s">
        <v>107</v>
      </c>
      <c r="C173" s="140" t="s">
        <v>504</v>
      </c>
      <c r="D173" s="139" t="s">
        <v>76</v>
      </c>
      <c r="E173" s="143"/>
      <c r="F173" s="143" t="s">
        <v>76</v>
      </c>
      <c r="G173" s="143" t="s">
        <v>202</v>
      </c>
      <c r="H173" s="143">
        <v>2</v>
      </c>
      <c r="I173" s="130"/>
      <c r="J173" s="131">
        <f t="shared" si="28"/>
        <v>2</v>
      </c>
      <c r="N173" s="101" t="s">
        <v>229</v>
      </c>
      <c r="O173" s="290" t="s">
        <v>254</v>
      </c>
      <c r="P173" s="290" t="s">
        <v>250</v>
      </c>
      <c r="Q173" s="280" t="s">
        <v>70</v>
      </c>
      <c r="R173" s="213"/>
      <c r="S173" s="213" t="s">
        <v>70</v>
      </c>
      <c r="T173" s="213" t="s">
        <v>198</v>
      </c>
      <c r="U173" s="291">
        <f>((($I$141*$G$141)+($I$142*$G$142)+($I$143*$G$143)+($I$144*$G$144))/1000)*$J$120</f>
        <v>34.399500000000003</v>
      </c>
      <c r="V173" s="291">
        <v>100</v>
      </c>
      <c r="W173" s="292">
        <f t="shared" si="29"/>
        <v>1</v>
      </c>
    </row>
    <row r="174" spans="1:23" s="1" customFormat="1" ht="18" customHeight="1">
      <c r="A174" s="201">
        <f t="shared" si="30"/>
        <v>4</v>
      </c>
      <c r="B174" s="140" t="s">
        <v>108</v>
      </c>
      <c r="C174" s="140" t="s">
        <v>10</v>
      </c>
      <c r="D174" s="139">
        <v>9</v>
      </c>
      <c r="E174" s="143"/>
      <c r="F174" s="143">
        <v>9</v>
      </c>
      <c r="G174" s="143" t="s">
        <v>202</v>
      </c>
      <c r="H174" s="143">
        <v>8</v>
      </c>
      <c r="I174" s="130"/>
      <c r="J174" s="131">
        <f t="shared" si="28"/>
        <v>8</v>
      </c>
      <c r="N174" s="101" t="s">
        <v>231</v>
      </c>
      <c r="O174" s="290" t="s">
        <v>255</v>
      </c>
      <c r="P174" s="290" t="s">
        <v>251</v>
      </c>
      <c r="Q174" s="280" t="s">
        <v>189</v>
      </c>
      <c r="R174" s="213"/>
      <c r="S174" s="213" t="s">
        <v>189</v>
      </c>
      <c r="T174" s="213" t="s">
        <v>198</v>
      </c>
      <c r="U174" s="291">
        <f>((($I$141*$G$141)+($I$142*$G$142)+($I$143*$G$143)+($I$144*$G$144))/1000)*$J$120</f>
        <v>34.399500000000003</v>
      </c>
      <c r="V174" s="291">
        <v>100</v>
      </c>
      <c r="W174" s="292">
        <f t="shared" si="29"/>
        <v>1</v>
      </c>
    </row>
    <row r="175" spans="1:23" s="1" customFormat="1" ht="18" customHeight="1">
      <c r="A175" s="201">
        <f t="shared" si="30"/>
        <v>5</v>
      </c>
      <c r="B175" s="140" t="s">
        <v>109</v>
      </c>
      <c r="C175" s="140" t="s">
        <v>68</v>
      </c>
      <c r="D175" s="139">
        <v>9</v>
      </c>
      <c r="E175" s="143"/>
      <c r="F175" s="143">
        <v>9</v>
      </c>
      <c r="G175" s="143" t="s">
        <v>202</v>
      </c>
      <c r="H175" s="143">
        <v>110</v>
      </c>
      <c r="I175" s="130"/>
      <c r="J175" s="131">
        <f t="shared" si="28"/>
        <v>110</v>
      </c>
      <c r="N175" s="101" t="s">
        <v>232</v>
      </c>
      <c r="O175" s="290" t="s">
        <v>256</v>
      </c>
      <c r="P175" s="290" t="s">
        <v>247</v>
      </c>
      <c r="Q175" s="280" t="s">
        <v>233</v>
      </c>
      <c r="R175" s="213"/>
      <c r="S175" s="213" t="s">
        <v>233</v>
      </c>
      <c r="T175" s="213" t="s">
        <v>198</v>
      </c>
      <c r="U175" s="291">
        <f>((($I$141*$G$141)+($I$142*$G$142)+($I$143*$G$143)+($I$144*$G$144))/1000)*$J$120</f>
        <v>34.399500000000003</v>
      </c>
      <c r="V175" s="291">
        <v>100</v>
      </c>
      <c r="W175" s="292">
        <f>ROUNDUP((U175)/100,0)</f>
        <v>1</v>
      </c>
    </row>
    <row r="176" spans="1:23" s="1" customFormat="1" ht="18" customHeight="1">
      <c r="A176" s="201">
        <f t="shared" si="30"/>
        <v>6</v>
      </c>
      <c r="B176" s="140" t="s">
        <v>132</v>
      </c>
      <c r="C176" s="140" t="s">
        <v>79</v>
      </c>
      <c r="D176" s="139" t="s">
        <v>82</v>
      </c>
      <c r="E176" s="143"/>
      <c r="F176" s="143" t="s">
        <v>82</v>
      </c>
      <c r="G176" s="143" t="s">
        <v>185</v>
      </c>
      <c r="H176" s="143">
        <v>1</v>
      </c>
      <c r="I176" s="130"/>
      <c r="J176" s="131">
        <f>$J$120*H176</f>
        <v>1</v>
      </c>
    </row>
    <row r="177" spans="1:24" s="1" customFormat="1" ht="18" customHeight="1">
      <c r="A177" s="201">
        <f t="shared" si="30"/>
        <v>7</v>
      </c>
      <c r="B177" s="140" t="s">
        <v>143</v>
      </c>
      <c r="C177" s="140" t="s">
        <v>121</v>
      </c>
      <c r="D177" s="139" t="s">
        <v>103</v>
      </c>
      <c r="E177" s="143"/>
      <c r="F177" s="143" t="s">
        <v>103</v>
      </c>
      <c r="G177" s="143" t="s">
        <v>185</v>
      </c>
      <c r="H177" s="143">
        <v>2</v>
      </c>
      <c r="I177" s="130"/>
      <c r="J177" s="131">
        <f>$J$120*H177</f>
        <v>2</v>
      </c>
    </row>
    <row r="178" spans="1:24" s="1" customFormat="1" ht="18" customHeight="1">
      <c r="A178" s="201">
        <f t="shared" si="30"/>
        <v>8</v>
      </c>
      <c r="B178" s="140" t="s">
        <v>120</v>
      </c>
      <c r="C178" s="140" t="s">
        <v>94</v>
      </c>
      <c r="D178" s="139" t="s">
        <v>96</v>
      </c>
      <c r="E178" s="143"/>
      <c r="F178" s="143" t="s">
        <v>96</v>
      </c>
      <c r="G178" s="143" t="s">
        <v>185</v>
      </c>
      <c r="H178" s="143">
        <v>1</v>
      </c>
      <c r="I178" s="130"/>
      <c r="J178" s="131">
        <f t="shared" si="28"/>
        <v>1</v>
      </c>
    </row>
    <row r="179" spans="1:24" s="1" customFormat="1" ht="18" customHeight="1">
      <c r="A179" s="201">
        <f t="shared" si="30"/>
        <v>9</v>
      </c>
      <c r="B179" s="140" t="s">
        <v>119</v>
      </c>
      <c r="C179" s="140" t="s">
        <v>95</v>
      </c>
      <c r="D179" s="139" t="s">
        <v>97</v>
      </c>
      <c r="E179" s="143"/>
      <c r="F179" s="143" t="s">
        <v>97</v>
      </c>
      <c r="G179" s="143" t="s">
        <v>185</v>
      </c>
      <c r="H179" s="143">
        <v>1</v>
      </c>
      <c r="I179" s="130"/>
      <c r="J179" s="131">
        <f t="shared" si="28"/>
        <v>1</v>
      </c>
    </row>
    <row r="180" spans="1:24" s="1" customFormat="1" ht="18" customHeight="1">
      <c r="A180" s="201">
        <f t="shared" si="30"/>
        <v>10</v>
      </c>
      <c r="B180" s="140" t="s">
        <v>131</v>
      </c>
      <c r="C180" s="140" t="s">
        <v>100</v>
      </c>
      <c r="D180" s="139" t="s">
        <v>102</v>
      </c>
      <c r="E180" s="143"/>
      <c r="F180" s="143" t="s">
        <v>102</v>
      </c>
      <c r="G180" s="143" t="s">
        <v>185</v>
      </c>
      <c r="H180" s="143">
        <v>2</v>
      </c>
      <c r="I180" s="130"/>
      <c r="J180" s="131">
        <f t="shared" si="28"/>
        <v>2</v>
      </c>
      <c r="N180" s="56"/>
      <c r="O180" s="56"/>
      <c r="P180" s="56"/>
      <c r="Q180" s="289"/>
      <c r="R180" s="289"/>
      <c r="S180" s="289"/>
      <c r="T180" s="17"/>
      <c r="U180" s="17"/>
      <c r="V180" s="17"/>
      <c r="W180" s="56"/>
    </row>
    <row r="181" spans="1:24" s="1" customFormat="1" ht="18" customHeight="1">
      <c r="A181" s="201">
        <f t="shared" si="30"/>
        <v>11</v>
      </c>
      <c r="B181" s="140" t="s">
        <v>113</v>
      </c>
      <c r="C181" s="140" t="s">
        <v>502</v>
      </c>
      <c r="D181" s="139" t="s">
        <v>83</v>
      </c>
      <c r="E181" s="143"/>
      <c r="F181" s="143" t="s">
        <v>83</v>
      </c>
      <c r="G181" s="143" t="s">
        <v>185</v>
      </c>
      <c r="H181" s="143">
        <v>3</v>
      </c>
      <c r="I181" s="144"/>
      <c r="J181" s="131">
        <f t="shared" si="28"/>
        <v>3</v>
      </c>
      <c r="N181" s="101" t="s">
        <v>227</v>
      </c>
      <c r="O181" s="246" t="s">
        <v>29</v>
      </c>
      <c r="P181" s="246" t="s">
        <v>3</v>
      </c>
      <c r="Q181" s="246" t="s">
        <v>199</v>
      </c>
      <c r="R181" s="246" t="s">
        <v>5</v>
      </c>
      <c r="S181" s="246" t="s">
        <v>28</v>
      </c>
      <c r="T181" s="246" t="s">
        <v>19</v>
      </c>
      <c r="U181" s="246" t="s">
        <v>200</v>
      </c>
      <c r="V181" s="246" t="s">
        <v>20</v>
      </c>
      <c r="W181" s="246" t="s">
        <v>201</v>
      </c>
    </row>
    <row r="182" spans="1:24" s="1" customFormat="1" ht="18" customHeight="1">
      <c r="A182" s="201">
        <f t="shared" si="30"/>
        <v>12</v>
      </c>
      <c r="B182" s="140" t="s">
        <v>112</v>
      </c>
      <c r="C182" s="140" t="s">
        <v>114</v>
      </c>
      <c r="D182" s="128" t="s">
        <v>520</v>
      </c>
      <c r="E182" s="129"/>
      <c r="F182" s="129" t="s">
        <v>520</v>
      </c>
      <c r="G182" s="143" t="s">
        <v>202</v>
      </c>
      <c r="H182" s="143">
        <v>6</v>
      </c>
      <c r="I182" s="144"/>
      <c r="J182" s="131">
        <f t="shared" si="28"/>
        <v>6</v>
      </c>
      <c r="N182" s="101" t="s">
        <v>240</v>
      </c>
      <c r="O182" s="290" t="s">
        <v>234</v>
      </c>
      <c r="P182" s="290" t="s">
        <v>236</v>
      </c>
      <c r="Q182" s="280" t="s">
        <v>190</v>
      </c>
      <c r="R182" s="213"/>
      <c r="S182" s="213" t="s">
        <v>190</v>
      </c>
      <c r="T182" s="213" t="s">
        <v>198</v>
      </c>
      <c r="U182" s="291">
        <f>((($I$134*$G$134)+($I$136*$G$136)+($I$139*$G$139))/1000)*$J$120</f>
        <v>9.2579999999999991</v>
      </c>
      <c r="V182" s="291">
        <v>300</v>
      </c>
      <c r="W182" s="292">
        <f>ROUNDUP((U182)/V182,0)</f>
        <v>1</v>
      </c>
    </row>
    <row r="183" spans="1:24" s="1" customFormat="1" ht="18" customHeight="1">
      <c r="A183" s="201">
        <f t="shared" si="30"/>
        <v>13</v>
      </c>
      <c r="B183" s="140" t="s">
        <v>115</v>
      </c>
      <c r="C183" s="140" t="s">
        <v>45</v>
      </c>
      <c r="D183" s="139" t="s">
        <v>84</v>
      </c>
      <c r="E183" s="143"/>
      <c r="F183" s="143" t="s">
        <v>84</v>
      </c>
      <c r="G183" s="143" t="s">
        <v>202</v>
      </c>
      <c r="H183" s="143">
        <v>1</v>
      </c>
      <c r="I183" s="144"/>
      <c r="J183" s="131">
        <f t="shared" si="28"/>
        <v>1</v>
      </c>
      <c r="N183" s="101" t="s">
        <v>241</v>
      </c>
      <c r="O183" s="290" t="s">
        <v>235</v>
      </c>
      <c r="P183" s="290" t="s">
        <v>238</v>
      </c>
      <c r="Q183" s="280" t="s">
        <v>71</v>
      </c>
      <c r="R183" s="213"/>
      <c r="S183" s="213" t="s">
        <v>71</v>
      </c>
      <c r="T183" s="213" t="s">
        <v>198</v>
      </c>
      <c r="U183" s="291">
        <f>((($I$134*$G$134)+($I$136*$G$136)+($I$139*$G$139))/1000)*$J$120</f>
        <v>9.2579999999999991</v>
      </c>
      <c r="V183" s="291">
        <v>100</v>
      </c>
      <c r="W183" s="292">
        <f t="shared" ref="W183:W185" si="31">ROUNDUP((U183)/V183,0)</f>
        <v>1</v>
      </c>
    </row>
    <row r="184" spans="1:24" s="1" customFormat="1" ht="18" customHeight="1">
      <c r="A184" s="201">
        <f t="shared" si="30"/>
        <v>14</v>
      </c>
      <c r="B184" s="140" t="s">
        <v>110</v>
      </c>
      <c r="C184" s="140" t="s">
        <v>66</v>
      </c>
      <c r="D184" s="139" t="s">
        <v>73</v>
      </c>
      <c r="E184" s="143"/>
      <c r="F184" s="143" t="s">
        <v>73</v>
      </c>
      <c r="G184" s="143" t="s">
        <v>202</v>
      </c>
      <c r="H184" s="143">
        <v>3</v>
      </c>
      <c r="I184" s="130"/>
      <c r="J184" s="131">
        <f>$J$120*H184</f>
        <v>3</v>
      </c>
      <c r="N184" s="101" t="s">
        <v>240</v>
      </c>
      <c r="O184" s="290" t="s">
        <v>245</v>
      </c>
      <c r="P184" s="290" t="s">
        <v>237</v>
      </c>
      <c r="Q184" s="280" t="s">
        <v>72</v>
      </c>
      <c r="R184" s="213"/>
      <c r="S184" s="213" t="s">
        <v>72</v>
      </c>
      <c r="T184" s="213" t="s">
        <v>198</v>
      </c>
      <c r="U184" s="291">
        <f>((($I$141*$G$141*2)+($I$142*$G$142*2)+($I$143*$G$143*2)+($I$144*$G$144*2))/1000)*$J$120</f>
        <v>68.799000000000007</v>
      </c>
      <c r="V184" s="291">
        <v>350</v>
      </c>
      <c r="W184" s="292">
        <f t="shared" si="31"/>
        <v>1</v>
      </c>
    </row>
    <row r="185" spans="1:24" s="1" customFormat="1" ht="18" customHeight="1">
      <c r="A185" s="201">
        <f t="shared" si="30"/>
        <v>15</v>
      </c>
      <c r="B185" s="139" t="str">
        <f>IF($D$129="Standard",$O$182,IF($D$129="Soumdproof",$O$183,))</f>
        <v>ยางเฟรมกันน้ำ (ธรรมดา)</v>
      </c>
      <c r="C185" s="139" t="str">
        <f>IF($D$129="Standard",$P$182,IF($D$129="Soumdproof",$P$183,))</f>
        <v>FRAME SEAL (Standard)</v>
      </c>
      <c r="D185" s="139" t="str">
        <f>IF($D$129="Standard",$Q$182,IF($D$129="Soumdproof",$Q$183,))</f>
        <v>02-026</v>
      </c>
      <c r="E185" s="143">
        <f t="shared" ref="E185" si="32">IF($D$129="Standard",R183,IF($D$129="Soumdproof",R184,))</f>
        <v>0</v>
      </c>
      <c r="F185" s="143" t="str">
        <f>IF($D$129="Standard",$S$182,IF($D$129="Soumdproof",$S$183,))</f>
        <v>02-026</v>
      </c>
      <c r="G185" s="143" t="str">
        <f>IF($D$129="Standard",$T$182,IF($D$129="Soumdproof",$T$183,))</f>
        <v>M</v>
      </c>
      <c r="H185" s="261">
        <f>IF($D$129="Standard",$U$182,IF($D$129="Soumdproof",$U$183,))</f>
        <v>9.2579999999999991</v>
      </c>
      <c r="I185" s="258">
        <f>IF($D$129="Standard",$V$182,IF($D$129="Soumdproof",$V$183,))</f>
        <v>300</v>
      </c>
      <c r="J185" s="267">
        <f>ROUNDUP((H185)/100,0)</f>
        <v>1</v>
      </c>
      <c r="N185" s="101" t="s">
        <v>241</v>
      </c>
      <c r="O185" s="290" t="s">
        <v>246</v>
      </c>
      <c r="P185" s="290" t="s">
        <v>239</v>
      </c>
      <c r="Q185" s="280" t="s">
        <v>193</v>
      </c>
      <c r="R185" s="213"/>
      <c r="S185" s="213" t="s">
        <v>193</v>
      </c>
      <c r="T185" s="213" t="s">
        <v>198</v>
      </c>
      <c r="U185" s="291">
        <f>((($I$141*$G$141*2)+($I$142*$G$142*2)+($I$143*$G$143*2)+($I$144*$G$144*2))/1000)*$J$120</f>
        <v>68.799000000000007</v>
      </c>
      <c r="V185" s="291">
        <v>100</v>
      </c>
      <c r="W185" s="292">
        <f t="shared" si="31"/>
        <v>1</v>
      </c>
    </row>
    <row r="186" spans="1:24" s="1" customFormat="1" ht="18" customHeight="1">
      <c r="A186" s="201">
        <f t="shared" si="30"/>
        <v>16</v>
      </c>
      <c r="B186" s="139" t="str">
        <f>IF($D$129="Standard",$O$184,IF($D$129="Soumdproof",$O$185,))</f>
        <v>ยางแซชกันน้ำ (ธรรมดา)</v>
      </c>
      <c r="C186" s="139" t="str">
        <f>IF($D$129="Standard",$P$184,IF($D$129="Soumdproof",$P$185,))</f>
        <v>SASH SEAL FOAM (Standard)</v>
      </c>
      <c r="D186" s="139" t="str">
        <f>IF($D$129="Standard",$Q$184,IF($D$129="Soumdproof",$Q$185,))</f>
        <v>02-031</v>
      </c>
      <c r="E186" s="143">
        <f t="shared" ref="E186" si="33">IF($D$129="Standard",R185,IF($D$129="Soumdproof",R186,))</f>
        <v>0</v>
      </c>
      <c r="F186" s="143" t="str">
        <f>IF($D$129="Standard",$S$184,IF($D$129="Soumdproof",$S$185,))</f>
        <v>02-031</v>
      </c>
      <c r="G186" s="143" t="str">
        <f>IF($D$129="Standard",$T$184,IF($D$129="Soumdproof",$T$185,))</f>
        <v>M</v>
      </c>
      <c r="H186" s="261">
        <f>IF($D$129="Standard",$U$184,IF($D$129="Soumdproof",$U$185,))</f>
        <v>68.799000000000007</v>
      </c>
      <c r="I186" s="258">
        <f>IF($D$129="Standard",$V$184,IF($D$129="Soumdproof",$V$185,))</f>
        <v>350</v>
      </c>
      <c r="J186" s="267">
        <f>ROUNDUP((H186)/100,0)</f>
        <v>1</v>
      </c>
    </row>
    <row r="187" spans="1:24" s="1" customFormat="1" ht="18" customHeight="1">
      <c r="A187" s="201">
        <f t="shared" si="30"/>
        <v>17</v>
      </c>
      <c r="B187" s="241" t="str">
        <f>IF($D$127=5,$O$173,IF($D$127=6,$O$174,IF($D$127=8,$O$175,IF($D$127=10,$O$173,IF($D$127=12,$O$173,IF($D$127=14,$O$175,IF($D$127=18,$O$173,IF($D$127=20,$O$174,IF($D$127=22,"")))))))))</f>
        <v>6,20 mm ยางอัดกระจก</v>
      </c>
      <c r="C187" s="241" t="str">
        <f>IF($D$127=5,$P$173,IF($D$127=6,$P$174,IF($D$127=8,$P$175,IF($D$127=10,$P$173,IF($D$127=12,$P$173,IF($D$127=14,$P$175,IF($D$127=18,$P$173,IF($D$127=20,$P$174,IF($D$127=22,"")))))))))</f>
        <v>6,20 mm ROLL IN WEDGE</v>
      </c>
      <c r="D187" s="241" t="str">
        <f>IF($D$127=5,$Q$173,IF($D$127=6,$Q$174,IF($D$127=8,$Q$175,IF($D$127=10,$Q$173,IF($D$127=12,$Q$173,IF($D$127=14,$Q$175,IF($D$127=18,$Q$173,IF($D$127=20,$Q$174,IF($D$127=22,"")))))))))</f>
        <v>02-034</v>
      </c>
      <c r="E187" s="241">
        <f t="shared" ref="E187" si="34">IF($D$127=5,R174,IF($D$127=6,R175,IF($D$127=8,R176,IF($D$127=10,R174,IF($D$127=12,R174,IF($D$127=14,R176,IF($D$127=18,R174,IF($D$127=20,R175,IF($D$127=22,"",)))))))))</f>
        <v>0</v>
      </c>
      <c r="F187" s="242" t="str">
        <f>IF($D$127=5,$S$173,IF($D$127=6,$S$174,IF($D$127=8,$S$175,IF($D$127=10,$S$173,IF($D$127=12,$S$173,IF($D$127=14,$S$175,IF($D$127=18,$S$173,IF($D$127=20,$S$174,IF($D$127=22,"")))))))))</f>
        <v>02-034</v>
      </c>
      <c r="G187" s="242" t="str">
        <f>IF($D$127=5,$T$173,IF($D$127=6,$T$174,IF($D$127=8,$T$175,IF($D$127=10,$T$173,IF($D$127=12,$T$173,IF($D$127=14,$T$175,IF($D$127=18,$T$173,IF($D$127=20,$T$174,IF($D$127=22,"")))))))))</f>
        <v>M</v>
      </c>
      <c r="H187" s="261">
        <f>IF($D$127=5,$U$173,IF($D$127=6,$U$174,IF($D$127=8,$U$175,IF($D$127=10,$U$173*2,IF($D$127=12,$U$173,IF($D$127=14,$U$175*2,IF($D$127=18,$U$173,IF($D$127=20,$U$174,IF($D$127=22,"")))))))))</f>
        <v>34.399500000000003</v>
      </c>
      <c r="I187" s="258">
        <f>IF($D$127=5,$V$173,IF($D$127=6,$V$174,IF($D$127=8,$V$175,IF($D$127=10,$V$173,IF($D$127=12,$V$173,IF($D$127=14,$V$175,IF($D$127=18,$V$173,IF($D$127=20,$V$174,IF($D$127=22,"")))))))))</f>
        <v>100</v>
      </c>
      <c r="J187" s="267">
        <f>ROUNDUP((H187)/100,0)</f>
        <v>1</v>
      </c>
    </row>
    <row r="188" spans="1:24" s="1" customFormat="1" ht="18" customHeight="1">
      <c r="A188" s="201">
        <f t="shared" si="30"/>
        <v>18</v>
      </c>
      <c r="B188" s="241" t="str">
        <f>IF($D$127=5,$O$171,IF($D$127=6,$O$171,IF($D$127=8,$O$173,IF($D$127=10,"",IF($D$127=12,$O$172,IF($D$127=14,"",IF($D$127=18,$O$171,IF($D$127=20,$O$172,IF($D$127=22,"",)))))))))</f>
        <v>5,6,18 mm ยางรองกระจก</v>
      </c>
      <c r="C188" s="241" t="str">
        <f>IF($D$127=5,$P$171,IF($D$127=6,$P$171,IF($D$127=8,$P$173,IF($D$127=10,"",IF($D$127=12,$P$172,IF($D$127=14,"",IF($D$127=18,$P$171,IF($D$127=20,$P$172,IF($D$127=22,"",)))))))))</f>
        <v>5,6,18 mm CAPTIVE WEDGE</v>
      </c>
      <c r="D188" s="241" t="str">
        <f>IF($D$127=5,$Q$171,IF($D$127=6,$Q$171,IF($D$127=8,$Q$173,IF($D$127=10,"",IF($D$127=12,$Q$172,IF($D$127=14,"",IF($D$127=18,$Q$171,IF($D$127=20,$Q$172,IF($D$127=22,"",)))))))))</f>
        <v>02-022</v>
      </c>
      <c r="E188" s="241">
        <f t="shared" ref="E188" si="35">IF($D$127=5,R172,IF($D$127=6,R172,IF($D$127=8,R174,IF($D$127=10,"",IF($D$127=12,R173,IF($D$127=14,"",IF($D$127=18,R172,IF($D$127=20,R173,IF($D$127=22,"",)))))))))</f>
        <v>0</v>
      </c>
      <c r="F188" s="242" t="str">
        <f>IF($D$127=5,$S$171,IF($D$127=6,$S$171,IF($D$127=8,$S$173,IF($D$127=10,"",IF($D$127=12,$S$172,IF($D$127=14,"",IF($D$127=18,$S$171,IF($D$127=20,$S$172,IF($D$127=22,"",)))))))))</f>
        <v>02-022</v>
      </c>
      <c r="G188" s="242" t="str">
        <f>IF($D$127=5,$T$171,IF($D$127=6,$T$171,IF($D$127=8,$T$173,IF($D$127=10,"",IF($D$127=12,$T$172,IF($D$127=14,"",IF($D$127=18,$T$171,IF($D$127=20,$T$172,IF($D$127=22,"",)))))))))</f>
        <v>M</v>
      </c>
      <c r="H188" s="261">
        <f>IF($D$127=5,$U$171,IF($D$127=6,$U$171,IF($D$127=8,$U$173,IF($D$127=10,"",IF($D$127=12,$U$172,IF($D$127=14,"",IF($D$127=18,$U$171,IF($D$127=20,$U$172,IF($D$127=22,"")))))))))</f>
        <v>34.399500000000003</v>
      </c>
      <c r="I188" s="258">
        <f>IF($D$127=5,$V$171,IF($D$127=6,$V$171,IF($D$127=8,$V$173,IF($D$127=10,"",IF($D$127=12,$V$172,IF($D$127=14,"",IF($D$127=18,$V$171,IF($D$127=20,$V$172,IF($D$127=22,"",)))))))))</f>
        <v>100</v>
      </c>
      <c r="J188" s="267">
        <f>ROUNDUP((H188)/100,0)</f>
        <v>1</v>
      </c>
    </row>
    <row r="189" spans="1:24" s="1" customFormat="1" ht="18" customHeight="1">
      <c r="A189" s="201" t="str">
        <f t="shared" si="30"/>
        <v/>
      </c>
      <c r="B189" s="140"/>
      <c r="C189" s="140"/>
      <c r="D189" s="139"/>
      <c r="E189" s="143"/>
      <c r="F189" s="143"/>
      <c r="G189" s="143"/>
      <c r="H189" s="143"/>
      <c r="I189" s="144"/>
      <c r="J189" s="131">
        <f t="shared" si="28"/>
        <v>0</v>
      </c>
    </row>
    <row r="190" spans="1:24" s="1" customFormat="1" ht="18" customHeight="1">
      <c r="A190" s="201" t="str">
        <f t="shared" si="30"/>
        <v/>
      </c>
      <c r="B190" s="140"/>
      <c r="C190" s="140"/>
      <c r="D190" s="139"/>
      <c r="E190" s="143"/>
      <c r="F190" s="143"/>
      <c r="G190" s="143"/>
      <c r="H190" s="143"/>
      <c r="I190" s="130"/>
      <c r="J190" s="131">
        <f t="shared" si="28"/>
        <v>0</v>
      </c>
    </row>
    <row r="191" spans="1:24" ht="18" customHeight="1">
      <c r="A191" s="201" t="str">
        <f t="shared" ref="A191:A200" si="36">IF(B191="","",+A190+1)</f>
        <v/>
      </c>
      <c r="B191" s="140"/>
      <c r="C191" s="140"/>
      <c r="D191" s="139"/>
      <c r="E191" s="143"/>
      <c r="F191" s="143"/>
      <c r="G191" s="143"/>
      <c r="H191" s="143"/>
      <c r="I191" s="130"/>
      <c r="J191" s="131">
        <f t="shared" ref="J191:J200" si="37">$J$120*H191</f>
        <v>0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s="1" customFormat="1" ht="18" customHeight="1">
      <c r="A192" s="201" t="str">
        <f t="shared" si="36"/>
        <v/>
      </c>
      <c r="B192" s="140"/>
      <c r="C192" s="140"/>
      <c r="D192" s="139"/>
      <c r="E192" s="143"/>
      <c r="F192" s="143"/>
      <c r="G192" s="143"/>
      <c r="H192" s="143"/>
      <c r="I192" s="130"/>
      <c r="J192" s="131">
        <f t="shared" si="37"/>
        <v>0</v>
      </c>
    </row>
    <row r="193" spans="1:14" s="1" customFormat="1" ht="18" customHeight="1">
      <c r="A193" s="201" t="str">
        <f t="shared" si="36"/>
        <v/>
      </c>
      <c r="B193" s="140"/>
      <c r="C193" s="140"/>
      <c r="D193" s="139"/>
      <c r="E193" s="143"/>
      <c r="F193" s="143"/>
      <c r="G193" s="143"/>
      <c r="H193" s="143"/>
      <c r="I193" s="130"/>
      <c r="J193" s="131">
        <f t="shared" si="37"/>
        <v>0</v>
      </c>
    </row>
    <row r="194" spans="1:14" s="1" customFormat="1" ht="18" customHeight="1">
      <c r="A194" s="201" t="str">
        <f t="shared" si="36"/>
        <v/>
      </c>
      <c r="B194" s="140"/>
      <c r="C194" s="140"/>
      <c r="D194" s="139"/>
      <c r="E194" s="143"/>
      <c r="F194" s="143"/>
      <c r="G194" s="143"/>
      <c r="H194" s="143"/>
      <c r="I194" s="130"/>
      <c r="J194" s="131">
        <f t="shared" si="37"/>
        <v>0</v>
      </c>
    </row>
    <row r="195" spans="1:14" s="1" customFormat="1" ht="18" customHeight="1">
      <c r="A195" s="201" t="str">
        <f t="shared" si="36"/>
        <v/>
      </c>
      <c r="B195" s="140"/>
      <c r="C195" s="140"/>
      <c r="D195" s="139"/>
      <c r="E195" s="143"/>
      <c r="F195" s="143"/>
      <c r="G195" s="143"/>
      <c r="H195" s="143"/>
      <c r="I195" s="130"/>
      <c r="J195" s="131">
        <f t="shared" si="37"/>
        <v>0</v>
      </c>
    </row>
    <row r="196" spans="1:14" s="1" customFormat="1" ht="18" customHeight="1">
      <c r="A196" s="201" t="str">
        <f t="shared" si="36"/>
        <v/>
      </c>
      <c r="B196" s="140"/>
      <c r="C196" s="140"/>
      <c r="D196" s="139"/>
      <c r="E196" s="143"/>
      <c r="F196" s="143"/>
      <c r="G196" s="143"/>
      <c r="H196" s="143"/>
      <c r="I196" s="130"/>
      <c r="J196" s="131">
        <f t="shared" si="37"/>
        <v>0</v>
      </c>
    </row>
    <row r="197" spans="1:14" s="1" customFormat="1" ht="18" customHeight="1">
      <c r="A197" s="201" t="str">
        <f t="shared" si="36"/>
        <v/>
      </c>
      <c r="B197" s="140"/>
      <c r="C197" s="140"/>
      <c r="D197" s="139"/>
      <c r="E197" s="143"/>
      <c r="F197" s="143"/>
      <c r="G197" s="143"/>
      <c r="H197" s="143"/>
      <c r="I197" s="130"/>
      <c r="J197" s="131">
        <f t="shared" si="37"/>
        <v>0</v>
      </c>
    </row>
    <row r="198" spans="1:14" s="1" customFormat="1" ht="18" customHeight="1">
      <c r="A198" s="201" t="str">
        <f t="shared" si="36"/>
        <v/>
      </c>
      <c r="B198" s="140"/>
      <c r="C198" s="140"/>
      <c r="D198" s="139"/>
      <c r="E198" s="143"/>
      <c r="F198" s="143"/>
      <c r="G198" s="143"/>
      <c r="H198" s="143"/>
      <c r="I198" s="130"/>
      <c r="J198" s="131">
        <f t="shared" si="37"/>
        <v>0</v>
      </c>
    </row>
    <row r="199" spans="1:14" s="1" customFormat="1" ht="18" customHeight="1">
      <c r="A199" s="201" t="str">
        <f t="shared" si="36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 t="shared" si="37"/>
        <v>0</v>
      </c>
    </row>
    <row r="200" spans="1:14" s="1" customFormat="1" ht="18" customHeight="1">
      <c r="A200" s="201" t="str">
        <f t="shared" si="36"/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si="37"/>
        <v>0</v>
      </c>
    </row>
    <row r="201" spans="1:14" s="1" customFormat="1" ht="18" customHeight="1">
      <c r="A201" s="201" t="str">
        <f t="shared" si="30"/>
        <v/>
      </c>
      <c r="B201" s="140"/>
      <c r="C201" s="140"/>
      <c r="D201" s="139"/>
      <c r="E201" s="143"/>
      <c r="F201" s="143"/>
      <c r="G201" s="143"/>
      <c r="H201" s="143"/>
      <c r="I201" s="130"/>
      <c r="J201" s="131"/>
    </row>
    <row r="202" spans="1:14" s="1" customFormat="1" ht="18" customHeight="1">
      <c r="A202" s="201" t="str">
        <f t="shared" si="30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ref="J202:J204" si="38">$J$120*H202</f>
        <v>0</v>
      </c>
    </row>
    <row r="203" spans="1:14" s="1" customFormat="1" ht="18" customHeight="1">
      <c r="A203" s="201" t="str">
        <f t="shared" si="30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si="38"/>
        <v>0</v>
      </c>
    </row>
    <row r="204" spans="1:14" s="1" customFormat="1" ht="18" customHeight="1">
      <c r="A204" s="132" t="str">
        <f>IF(B204="","",+A203+1)</f>
        <v/>
      </c>
      <c r="B204" s="142"/>
      <c r="C204" s="142"/>
      <c r="D204" s="141"/>
      <c r="E204" s="240"/>
      <c r="F204" s="240"/>
      <c r="G204" s="240"/>
      <c r="H204" s="240"/>
      <c r="I204" s="136"/>
      <c r="J204" s="293">
        <f t="shared" si="38"/>
        <v>0</v>
      </c>
    </row>
    <row r="205" spans="1:14" s="1" customFormat="1" ht="18" customHeight="1">
      <c r="A205" s="25"/>
      <c r="B205" s="161"/>
      <c r="C205" s="33"/>
      <c r="D205" s="30"/>
      <c r="E205" s="17"/>
      <c r="F205" s="30"/>
      <c r="G205" s="30"/>
      <c r="H205" s="161"/>
      <c r="I205" s="24"/>
      <c r="J205" s="24"/>
    </row>
    <row r="206" spans="1:14" ht="18" customHeight="1">
      <c r="A206" s="17"/>
      <c r="J206" s="99" t="str">
        <f>LEFT($J$111,11)&amp;"-02"</f>
        <v>FG-240-6P6R-02</v>
      </c>
    </row>
    <row r="207" spans="1:14" ht="12.75" customHeight="1">
      <c r="B207" s="56"/>
      <c r="C207" s="56"/>
      <c r="D207" s="30"/>
      <c r="E207" s="17"/>
      <c r="F207" s="17"/>
      <c r="G207" s="17"/>
      <c r="H207" s="17"/>
      <c r="K207" s="7"/>
      <c r="L207" s="7"/>
      <c r="M207" s="2"/>
      <c r="N207" s="2"/>
    </row>
    <row r="208" spans="1:14" ht="30" customHeight="1">
      <c r="I208" s="95"/>
      <c r="J208" s="90" t="str">
        <f>$J$2</f>
        <v>HOMELIFE</v>
      </c>
      <c r="K208" s="11"/>
      <c r="L208" s="11"/>
      <c r="M208" s="2"/>
      <c r="N208" s="2"/>
    </row>
    <row r="209" spans="1:14" ht="24.9" customHeight="1">
      <c r="B209" s="217"/>
      <c r="C209" s="5"/>
      <c r="D209" s="95"/>
      <c r="E209" s="95"/>
      <c r="F209" s="95"/>
      <c r="G209" s="95"/>
      <c r="H209" s="95"/>
      <c r="I209" s="28"/>
      <c r="J209" s="91" t="str">
        <f>$J$3</f>
        <v>Fabricators Guide</v>
      </c>
      <c r="K209" s="11"/>
      <c r="L209" s="11"/>
      <c r="M209" s="2"/>
      <c r="N209" s="2"/>
    </row>
    <row r="210" spans="1:14" ht="24.9" customHeight="1">
      <c r="B210" s="217"/>
      <c r="C210" s="28"/>
      <c r="D210" s="28"/>
      <c r="E210" s="28"/>
      <c r="F210" s="28"/>
      <c r="G210" s="28"/>
      <c r="H210" s="28"/>
      <c r="I210" s="28"/>
      <c r="J210" s="91" t="str">
        <f>$J$4</f>
        <v xml:space="preserve">240 Series Bi Fold Door </v>
      </c>
      <c r="K210" s="48"/>
      <c r="L210" s="48"/>
      <c r="M210" s="4"/>
      <c r="N210" s="4"/>
    </row>
    <row r="211" spans="1:14" s="1" customFormat="1" ht="15" customHeight="1" thickBot="1">
      <c r="A211" s="78"/>
      <c r="B211" s="8"/>
      <c r="C211" s="28"/>
      <c r="D211" s="28"/>
      <c r="E211" s="28"/>
      <c r="F211" s="28"/>
      <c r="G211" s="28"/>
      <c r="H211" s="28"/>
      <c r="I211" s="78"/>
      <c r="J211" s="113"/>
      <c r="K211" s="4"/>
      <c r="L211" s="4"/>
      <c r="M211" s="4"/>
      <c r="N211" s="4"/>
    </row>
    <row r="212" spans="1:14" s="1" customFormat="1" ht="24.9" customHeight="1" thickBot="1">
      <c r="A212" s="502" t="s">
        <v>30</v>
      </c>
      <c r="B212" s="503"/>
      <c r="C212" s="503"/>
      <c r="D212" s="503"/>
      <c r="E212" s="503"/>
      <c r="F212" s="503"/>
      <c r="G212" s="503"/>
      <c r="H212" s="503"/>
      <c r="I212" s="503"/>
      <c r="J212" s="504"/>
      <c r="K212" s="56"/>
      <c r="L212" s="56"/>
      <c r="M212" s="56"/>
      <c r="N212" s="56"/>
    </row>
    <row r="214" spans="1:14" s="1" customFormat="1" ht="15" customHeight="1">
      <c r="A214" s="93"/>
      <c r="B214"/>
      <c r="C214"/>
      <c r="D214" s="81"/>
      <c r="E214"/>
      <c r="F214"/>
      <c r="G214"/>
      <c r="H214"/>
      <c r="I214" s="160"/>
      <c r="J214" s="116"/>
    </row>
    <row r="215" spans="1:14" s="1" customFormat="1" ht="15" customHeight="1">
      <c r="A215" s="17"/>
      <c r="B215" s="93"/>
      <c r="C215" s="56"/>
      <c r="D215" s="30"/>
      <c r="E215" s="29"/>
      <c r="F215" s="160"/>
      <c r="G215" s="160"/>
      <c r="H215" s="160"/>
      <c r="J215" s="17"/>
    </row>
    <row r="216" spans="1:14" s="1" customFormat="1" ht="15" customHeight="1">
      <c r="A216" s="17"/>
      <c r="B216" s="56"/>
      <c r="C216" s="328"/>
      <c r="D216" s="30"/>
      <c r="E216" s="29"/>
      <c r="F216" s="30"/>
      <c r="J216" s="17"/>
    </row>
    <row r="217" spans="1:14" s="1" customFormat="1" ht="15.6">
      <c r="A217" s="109"/>
      <c r="B217" s="33"/>
      <c r="C217" s="327"/>
      <c r="D217" s="161"/>
      <c r="E217" s="109"/>
      <c r="F217" s="161"/>
      <c r="H217" s="328"/>
      <c r="J217" s="109"/>
    </row>
    <row r="218" spans="1:14" s="1" customFormat="1" ht="15" customHeight="1">
      <c r="A218" s="93"/>
      <c r="B218" s="93"/>
      <c r="C218" s="56"/>
      <c r="D218" s="30"/>
      <c r="E218" s="29"/>
      <c r="F218" s="160"/>
      <c r="H218" s="328"/>
      <c r="I218" s="109"/>
      <c r="J218" s="109"/>
    </row>
    <row r="219" spans="1:14" s="1" customFormat="1" ht="15" customHeight="1">
      <c r="A219" s="17"/>
      <c r="B219" s="56"/>
      <c r="C219" s="89" t="s">
        <v>368</v>
      </c>
      <c r="D219" s="30"/>
      <c r="E219" s="29"/>
      <c r="F219" s="30"/>
      <c r="I219" s="109"/>
      <c r="J219" s="109"/>
    </row>
    <row r="220" spans="1:14" s="1" customFormat="1" ht="15" customHeight="1">
      <c r="A220" s="17"/>
      <c r="B220" s="56"/>
      <c r="C220" s="328" t="s">
        <v>275</v>
      </c>
      <c r="D220" s="30"/>
      <c r="E220" s="29"/>
      <c r="F220" s="30"/>
      <c r="H220" s="89"/>
      <c r="J220" s="12"/>
    </row>
    <row r="221" spans="1:14" s="1" customFormat="1" ht="15" customHeight="1">
      <c r="A221" s="109"/>
      <c r="B221" s="33"/>
      <c r="C221" s="327" t="s">
        <v>273</v>
      </c>
      <c r="D221" s="161"/>
      <c r="E221" s="109"/>
      <c r="F221" s="161"/>
      <c r="J221" s="12"/>
    </row>
    <row r="222" spans="1:14" s="1" customFormat="1" ht="15" customHeight="1">
      <c r="A222" s="109"/>
      <c r="B222" s="33"/>
      <c r="C222" s="374">
        <f>$I$133</f>
        <v>3440</v>
      </c>
      <c r="D222" s="161"/>
      <c r="E222" s="35"/>
      <c r="F222" s="161"/>
      <c r="G222" s="68"/>
      <c r="J222" s="12"/>
    </row>
    <row r="223" spans="1:14" s="1" customFormat="1" ht="15" customHeight="1">
      <c r="A223" s="109"/>
      <c r="B223" s="33"/>
      <c r="C223" s="363">
        <f>$J$133</f>
        <v>1</v>
      </c>
      <c r="D223" s="161"/>
      <c r="E223" s="35"/>
      <c r="F223" s="161"/>
      <c r="G223" s="326"/>
      <c r="I223" s="109"/>
      <c r="J223" s="109"/>
    </row>
    <row r="224" spans="1:14" s="1" customFormat="1" ht="15" customHeight="1">
      <c r="A224" s="109"/>
      <c r="B224" s="33"/>
      <c r="D224" s="161"/>
      <c r="E224" s="109"/>
      <c r="F224" s="161"/>
      <c r="G224" s="326"/>
      <c r="I224" s="109"/>
      <c r="J224" s="109"/>
    </row>
    <row r="225" spans="1:10" s="1" customFormat="1" ht="15.9" customHeight="1">
      <c r="A225" s="92"/>
      <c r="B225" s="92"/>
      <c r="C225" s="13"/>
      <c r="D225" s="161"/>
      <c r="E225" s="109"/>
      <c r="F225" s="161"/>
      <c r="G225" s="68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H226" s="109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32"/>
      <c r="J227" s="40"/>
    </row>
    <row r="228" spans="1:10" s="1" customFormat="1" ht="15.9" customHeight="1">
      <c r="A228" s="92"/>
      <c r="B228" s="92"/>
      <c r="C228" s="327"/>
      <c r="D228" s="161"/>
      <c r="E228" s="109"/>
      <c r="F228" s="161"/>
      <c r="H228" s="109"/>
      <c r="I228" s="216"/>
      <c r="J228" s="117"/>
    </row>
    <row r="229" spans="1:10" s="1" customFormat="1" ht="15.9" customHeight="1">
      <c r="A229" s="45"/>
      <c r="B229" s="45"/>
      <c r="D229" s="161"/>
      <c r="E229" s="109"/>
      <c r="F229" s="161"/>
      <c r="I229" s="216"/>
      <c r="J229" s="117"/>
    </row>
    <row r="230" spans="1:10" s="1" customFormat="1" ht="15.9" customHeight="1">
      <c r="A230" s="109"/>
      <c r="B230" s="109"/>
      <c r="D230" s="161"/>
      <c r="E230" s="109"/>
      <c r="F230" s="161"/>
      <c r="I230" s="216"/>
      <c r="J230" s="117"/>
    </row>
    <row r="231" spans="1:10" s="1" customFormat="1" ht="15.9" customHeight="1">
      <c r="A231" s="39"/>
      <c r="B231" s="38"/>
      <c r="D231" s="161"/>
      <c r="E231" s="109"/>
      <c r="F231" s="109"/>
      <c r="I231" s="216"/>
      <c r="J231" s="117"/>
    </row>
    <row r="232" spans="1:10" s="1" customFormat="1" ht="15.9" customHeight="1">
      <c r="A232" s="44"/>
      <c r="B232" s="44"/>
      <c r="C232" s="89" t="s">
        <v>381</v>
      </c>
      <c r="D232" s="84"/>
      <c r="E232" s="44"/>
      <c r="F232" s="44"/>
      <c r="G232" s="109"/>
      <c r="H232" s="109"/>
      <c r="I232" s="216"/>
      <c r="J232" s="117"/>
    </row>
    <row r="233" spans="1:10" s="1" customFormat="1" ht="15.9" customHeight="1">
      <c r="A233" s="40"/>
      <c r="B233" s="40"/>
      <c r="C233" s="328" t="s">
        <v>652</v>
      </c>
      <c r="D233" s="85"/>
      <c r="E233" s="40"/>
      <c r="F233" s="32"/>
      <c r="G233" s="109"/>
      <c r="H233" s="109"/>
      <c r="J233" s="12"/>
    </row>
    <row r="234" spans="1:10" s="1" customFormat="1" ht="15.9" customHeight="1">
      <c r="A234" s="109"/>
      <c r="B234" s="33"/>
      <c r="C234" s="433" t="s">
        <v>654</v>
      </c>
      <c r="D234" s="161"/>
      <c r="E234" s="109"/>
      <c r="F234" s="161"/>
      <c r="G234" s="109"/>
      <c r="H234" s="109"/>
      <c r="I234" s="109"/>
      <c r="J234" s="24"/>
    </row>
    <row r="235" spans="1:10" s="1" customFormat="1" ht="15.9" customHeight="1">
      <c r="A235" s="109"/>
      <c r="B235" s="33"/>
      <c r="C235" s="374">
        <f>$I$134</f>
        <v>3414</v>
      </c>
      <c r="D235" s="161"/>
      <c r="E235" s="109"/>
      <c r="F235" s="161"/>
      <c r="G235" s="109"/>
      <c r="H235" s="109"/>
      <c r="I235" s="24"/>
      <c r="J235" s="24"/>
    </row>
    <row r="236" spans="1:10" s="1" customFormat="1" ht="15.9" customHeight="1">
      <c r="A236" s="109"/>
      <c r="B236" s="33"/>
      <c r="C236" s="363">
        <f>$J$134</f>
        <v>1</v>
      </c>
      <c r="D236" s="161"/>
      <c r="E236" s="109"/>
      <c r="F236" s="161"/>
      <c r="G236" s="109"/>
      <c r="H236" s="107"/>
      <c r="I236" s="89"/>
      <c r="J236" s="118"/>
    </row>
    <row r="237" spans="1:10" s="1" customFormat="1" ht="15.9" customHeight="1">
      <c r="A237" s="109"/>
      <c r="B237" s="33"/>
      <c r="C237" s="44"/>
      <c r="D237" s="161"/>
      <c r="E237" s="109"/>
      <c r="F237" s="161"/>
      <c r="G237" s="109"/>
      <c r="H237" s="107"/>
      <c r="I237" s="216"/>
      <c r="J237" s="117"/>
    </row>
    <row r="238" spans="1:10" s="1" customFormat="1" ht="15.9" customHeight="1">
      <c r="A238" s="109"/>
      <c r="B238" s="33"/>
      <c r="D238" s="161"/>
      <c r="E238" s="109"/>
      <c r="F238" s="161"/>
      <c r="G238" s="109"/>
      <c r="H238" s="109"/>
      <c r="I238" s="216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4"/>
      <c r="J239" s="24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36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109"/>
      <c r="I241" s="109"/>
      <c r="J241" s="24"/>
    </row>
    <row r="242" spans="1:10" s="1" customFormat="1" ht="15.9" customHeight="1">
      <c r="A242" s="109"/>
      <c r="B242" s="33"/>
      <c r="C242" s="89" t="s">
        <v>370</v>
      </c>
      <c r="D242" s="161"/>
      <c r="E242" s="109"/>
      <c r="F242" s="161"/>
      <c r="G242" s="109"/>
      <c r="H242" s="109"/>
      <c r="I242" s="24"/>
      <c r="J242" s="24"/>
    </row>
    <row r="243" spans="1:10" s="1" customFormat="1" ht="15.9" customHeight="1">
      <c r="A243" s="109"/>
      <c r="B243" s="33"/>
      <c r="C243" s="328" t="s">
        <v>275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" customHeight="1">
      <c r="A244" s="109"/>
      <c r="B244" s="33"/>
      <c r="C244" s="327" t="s">
        <v>273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.9" customHeight="1">
      <c r="A245" s="109"/>
      <c r="B245" s="33"/>
      <c r="C245" s="374">
        <f>$I$135</f>
        <v>3440</v>
      </c>
      <c r="D245" s="161"/>
      <c r="E245" s="109"/>
      <c r="F245" s="161"/>
      <c r="G245" s="109"/>
      <c r="H245" s="109"/>
      <c r="I245" s="44"/>
      <c r="J245" s="119"/>
    </row>
    <row r="246" spans="1:10" s="1" customFormat="1" ht="15.9" customHeight="1">
      <c r="A246" s="109"/>
      <c r="B246" s="33"/>
      <c r="C246" s="363">
        <f>$J$135</f>
        <v>1</v>
      </c>
      <c r="D246" s="161"/>
      <c r="E246" s="109"/>
      <c r="F246" s="161"/>
      <c r="G246" s="109"/>
      <c r="H246" s="109"/>
      <c r="I246" s="32"/>
      <c r="J246" s="40"/>
    </row>
    <row r="247" spans="1:10" s="1" customFormat="1" ht="15.9" customHeight="1">
      <c r="A247" s="109"/>
      <c r="B247" s="33"/>
      <c r="C247" s="161"/>
      <c r="D247" s="161"/>
      <c r="E247" s="109"/>
      <c r="F247" s="161"/>
      <c r="G247" s="109"/>
      <c r="H247" s="109"/>
      <c r="J247" s="12"/>
    </row>
    <row r="248" spans="1:10" s="1" customFormat="1" ht="15.9" customHeight="1">
      <c r="A248" s="109"/>
      <c r="B248" s="33"/>
      <c r="C248" s="33"/>
      <c r="D248" s="161"/>
      <c r="E248" s="109"/>
      <c r="F248" s="109"/>
      <c r="G248" s="44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0"/>
      <c r="H250" s="109"/>
      <c r="I250" s="24"/>
      <c r="J250" s="24"/>
    </row>
    <row r="251" spans="1:10" s="1" customFormat="1" ht="15.9" customHeight="1">
      <c r="A251" s="109"/>
      <c r="B251" s="33"/>
      <c r="D251" s="161"/>
      <c r="E251" s="109"/>
      <c r="F251" s="109"/>
      <c r="G251" s="109"/>
      <c r="H251" s="109"/>
      <c r="I251" s="24"/>
      <c r="J251" s="24"/>
    </row>
    <row r="252" spans="1:10" s="1" customFormat="1" ht="15.9" customHeight="1">
      <c r="A252" s="44"/>
      <c r="B252" s="44"/>
      <c r="D252" s="84"/>
      <c r="E252" s="44"/>
      <c r="F252" s="44"/>
      <c r="G252" s="109"/>
      <c r="H252" s="109"/>
      <c r="I252" s="24"/>
      <c r="J252" s="24"/>
    </row>
    <row r="253" spans="1:10" s="1" customFormat="1" ht="15.9" customHeight="1">
      <c r="A253" s="40"/>
      <c r="B253" s="40"/>
      <c r="C253" s="89" t="s">
        <v>382</v>
      </c>
      <c r="D253" s="85"/>
      <c r="E253" s="40"/>
      <c r="F253" s="32"/>
      <c r="G253" s="109"/>
      <c r="I253" s="24"/>
      <c r="J253" s="24"/>
    </row>
    <row r="254" spans="1:10" s="1" customFormat="1" ht="15.9" customHeight="1">
      <c r="A254" s="27"/>
      <c r="B254" s="33"/>
      <c r="C254" s="328" t="s">
        <v>275</v>
      </c>
      <c r="D254" s="161"/>
      <c r="E254" s="109"/>
      <c r="F254" s="109"/>
      <c r="G254" s="109"/>
      <c r="I254" s="24"/>
      <c r="J254" s="24"/>
    </row>
    <row r="255" spans="1:10" s="1" customFormat="1" ht="15.9" customHeight="1">
      <c r="A255" s="27"/>
      <c r="B255" s="33"/>
      <c r="C255" s="327" t="s">
        <v>273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74">
        <f>$I$136</f>
        <v>3440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63">
        <f>$J$136</f>
        <v>1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3"/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46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161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33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89" t="s">
        <v>380</v>
      </c>
      <c r="D263" s="161"/>
      <c r="E263" s="109"/>
      <c r="F263" s="109"/>
      <c r="G263" s="109"/>
      <c r="H263" s="109"/>
      <c r="I263" s="24"/>
      <c r="J263" s="24"/>
    </row>
    <row r="264" spans="1:10" s="1" customFormat="1" ht="15.9" customHeight="1">
      <c r="A264" s="27"/>
      <c r="B264" s="33"/>
      <c r="C264" s="328" t="s">
        <v>379</v>
      </c>
      <c r="D264" s="328"/>
      <c r="E264" s="328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7" t="s">
        <v>279</v>
      </c>
      <c r="D265" s="327"/>
      <c r="E265" s="327"/>
      <c r="F265" s="109"/>
      <c r="G265" s="109"/>
      <c r="H265" s="109"/>
      <c r="J265" s="12"/>
    </row>
    <row r="266" spans="1:10" s="1" customFormat="1" ht="15.9" customHeight="1">
      <c r="A266" s="27"/>
      <c r="B266" s="33"/>
      <c r="C266" s="374">
        <f>$I$137</f>
        <v>2500</v>
      </c>
      <c r="D266" s="161"/>
      <c r="E266" s="109"/>
      <c r="F266" s="109"/>
      <c r="G266" s="33"/>
      <c r="H266" s="33"/>
      <c r="J266" s="12"/>
    </row>
    <row r="267" spans="1:10" s="1" customFormat="1" ht="15.9" customHeight="1">
      <c r="A267" s="27"/>
      <c r="B267" s="33"/>
      <c r="C267" s="363">
        <f>$J$137+$J$138</f>
        <v>2</v>
      </c>
      <c r="D267" s="161"/>
      <c r="E267" s="109"/>
      <c r="F267" s="109"/>
      <c r="G267" s="109"/>
      <c r="H267" s="109"/>
      <c r="J267" s="12"/>
    </row>
    <row r="268" spans="1:10" s="1" customFormat="1" ht="15.9" customHeight="1">
      <c r="A268" s="27"/>
      <c r="B268" s="33"/>
      <c r="D268" s="89"/>
      <c r="E268" s="8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D270" s="328"/>
      <c r="E270" s="328"/>
      <c r="F270" s="109"/>
      <c r="G270" s="109"/>
      <c r="H270" s="109"/>
      <c r="J270" s="12"/>
    </row>
    <row r="271" spans="1:10" s="1" customFormat="1" ht="15.9" customHeight="1">
      <c r="A271" s="27"/>
      <c r="D271" s="328"/>
      <c r="E271" s="328"/>
      <c r="F271" s="109"/>
      <c r="G271" s="109"/>
      <c r="H271" s="109"/>
      <c r="J271" s="12"/>
    </row>
    <row r="272" spans="1:10" s="1" customFormat="1" ht="15.9" customHeight="1">
      <c r="A272" s="27"/>
      <c r="B272" s="33"/>
      <c r="D272" s="328"/>
      <c r="E272" s="328"/>
      <c r="F272" s="109"/>
      <c r="G272" s="109"/>
      <c r="I272" s="24"/>
      <c r="J272" s="24"/>
    </row>
    <row r="273" spans="1:10" s="1" customFormat="1" ht="15.9" customHeight="1">
      <c r="A273" s="27"/>
      <c r="B273" s="33"/>
      <c r="C273" s="33"/>
      <c r="D273" s="161"/>
      <c r="E273" s="109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89" t="s">
        <v>383</v>
      </c>
      <c r="D274" s="162"/>
      <c r="E274" s="24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328" t="s">
        <v>649</v>
      </c>
      <c r="D275" s="328"/>
      <c r="E275" s="328"/>
      <c r="F275" s="109"/>
      <c r="G275" s="109"/>
      <c r="I275" s="109"/>
      <c r="J275" s="24"/>
    </row>
    <row r="276" spans="1:10" s="1" customFormat="1" ht="15.9" customHeight="1">
      <c r="A276" s="27"/>
      <c r="B276" s="33"/>
      <c r="C276" s="433" t="s">
        <v>650</v>
      </c>
      <c r="D276" s="327"/>
      <c r="E276" s="327"/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374">
        <f>$I$139</f>
        <v>2404</v>
      </c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363">
        <f>$J$139+$J$140</f>
        <v>2</v>
      </c>
      <c r="F278" s="109"/>
      <c r="G278" s="109"/>
      <c r="I278" s="109"/>
      <c r="J278" s="24"/>
    </row>
    <row r="279" spans="1:10" s="1" customFormat="1" ht="15.9" customHeight="1">
      <c r="A279" s="27"/>
      <c r="B279" s="33"/>
      <c r="F279" s="109"/>
      <c r="G279" s="109"/>
      <c r="H279" s="109"/>
      <c r="J279" s="12"/>
    </row>
    <row r="280" spans="1:10" s="1" customFormat="1" ht="15.9" customHeight="1">
      <c r="A280" s="27"/>
      <c r="B280" s="33"/>
      <c r="C280" s="33"/>
      <c r="D280" s="161"/>
      <c r="E280" s="109"/>
      <c r="F280" s="109"/>
      <c r="G280" s="109"/>
      <c r="H280" s="109"/>
      <c r="J280" s="12"/>
    </row>
    <row r="281" spans="1:10" s="1" customFormat="1" ht="15.9" customHeight="1">
      <c r="A281" s="27"/>
      <c r="B281" s="33"/>
      <c r="C281" s="33"/>
      <c r="D281" s="161"/>
      <c r="E281" s="109"/>
      <c r="F281" s="109"/>
      <c r="G281" s="109"/>
      <c r="H281" s="109"/>
      <c r="J281" s="12"/>
    </row>
    <row r="282" spans="1:10" s="1" customFormat="1" ht="15.9" customHeight="1">
      <c r="A282" s="27"/>
      <c r="B282" s="33"/>
      <c r="F282" s="109"/>
      <c r="G282" s="109"/>
      <c r="H282" s="109"/>
      <c r="J282" s="12"/>
    </row>
    <row r="283" spans="1:10" s="1" customFormat="1" ht="15.9" customHeight="1">
      <c r="A283" s="27"/>
      <c r="B283" s="33"/>
      <c r="F283" s="109"/>
      <c r="G283" s="109"/>
      <c r="H283" s="109"/>
      <c r="I283" s="162"/>
      <c r="J283" s="24"/>
    </row>
    <row r="284" spans="1:10" s="1" customFormat="1" ht="15.9" customHeight="1">
      <c r="A284" s="27"/>
      <c r="B284" s="33"/>
      <c r="C284" s="89" t="s">
        <v>375</v>
      </c>
      <c r="F284" s="109"/>
      <c r="G284" s="109"/>
      <c r="H284" s="109"/>
      <c r="I284" s="109"/>
      <c r="J284" s="24"/>
    </row>
    <row r="285" spans="1:10" s="1" customFormat="1" ht="15.9" customHeight="1">
      <c r="A285" s="27"/>
      <c r="B285" s="33"/>
      <c r="C285" s="94" t="s">
        <v>448</v>
      </c>
      <c r="D285" s="161"/>
      <c r="E285" s="109"/>
      <c r="F285" s="109"/>
      <c r="G285" s="109"/>
      <c r="H285" s="109"/>
      <c r="I285" s="24"/>
      <c r="J285" s="24"/>
    </row>
    <row r="286" spans="1:10" s="1" customFormat="1" ht="15.9" customHeight="1">
      <c r="A286" s="27"/>
      <c r="B286" s="33"/>
      <c r="C286" s="327" t="s">
        <v>449</v>
      </c>
      <c r="D286" s="161"/>
      <c r="E286" s="109"/>
      <c r="F286" s="109"/>
      <c r="G286" s="109"/>
      <c r="H286" s="109"/>
      <c r="I286" s="24"/>
      <c r="J286" s="24"/>
    </row>
    <row r="287" spans="1:10" s="1" customFormat="1" ht="15.9" customHeight="1">
      <c r="A287" s="27"/>
      <c r="B287" s="33"/>
      <c r="C287" s="328" t="s">
        <v>281</v>
      </c>
      <c r="D287" s="328"/>
      <c r="E287" s="328"/>
      <c r="F287" s="109"/>
      <c r="G287" s="109"/>
      <c r="I287" s="24"/>
      <c r="J287" s="24"/>
    </row>
    <row r="288" spans="1:10" s="23" customFormat="1" ht="15.9" customHeight="1">
      <c r="A288" s="27"/>
      <c r="B288" s="33"/>
      <c r="C288" s="327" t="s">
        <v>282</v>
      </c>
      <c r="D288" s="327"/>
      <c r="E288" s="327"/>
      <c r="F288" s="109"/>
      <c r="G288" s="109"/>
      <c r="H288" s="1"/>
      <c r="I288" s="109"/>
      <c r="J288" s="109"/>
    </row>
    <row r="289" spans="1:10" s="1" customFormat="1" ht="15.9" customHeight="1">
      <c r="A289" s="27"/>
      <c r="B289" s="33"/>
      <c r="C289" s="374">
        <f>$I$141</f>
        <v>458.625</v>
      </c>
      <c r="F289" s="109"/>
      <c r="G289" s="109"/>
      <c r="I289" s="44"/>
      <c r="J289" s="119"/>
    </row>
    <row r="290" spans="1:10" s="1" customFormat="1" ht="15.9" customHeight="1">
      <c r="A290" s="27"/>
      <c r="B290" s="33"/>
      <c r="C290" s="363">
        <f>$J$141+$J$142</f>
        <v>12</v>
      </c>
      <c r="D290" s="161"/>
      <c r="E290" s="109"/>
      <c r="F290" s="109"/>
      <c r="G290" s="109"/>
      <c r="H290" s="161"/>
      <c r="I290" s="32"/>
      <c r="J290" s="40"/>
    </row>
    <row r="291" spans="1:10" s="1" customFormat="1" ht="15.9" customHeight="1">
      <c r="A291" s="27"/>
      <c r="B291" s="33"/>
      <c r="C291" s="374">
        <f>$I$143</f>
        <v>2408</v>
      </c>
      <c r="D291" s="161"/>
      <c r="E291" s="109"/>
      <c r="F291" s="109"/>
      <c r="G291" s="109"/>
      <c r="H291" s="109"/>
      <c r="I291" s="24"/>
      <c r="J291" s="24"/>
    </row>
    <row r="292" spans="1:10" s="1" customFormat="1" ht="15.9" customHeight="1">
      <c r="A292" s="27"/>
      <c r="B292" s="33"/>
      <c r="C292" s="363">
        <f>$J$143+$J$144</f>
        <v>12</v>
      </c>
      <c r="D292" s="161"/>
      <c r="E292" s="109"/>
      <c r="F292" s="109"/>
      <c r="G292" s="109"/>
      <c r="H292" s="109"/>
      <c r="I292" s="24"/>
      <c r="J292" s="24"/>
    </row>
    <row r="293" spans="1:10" s="1" customFormat="1" ht="15.9" customHeight="1">
      <c r="A293" s="27"/>
      <c r="B293" s="33"/>
      <c r="D293" s="161"/>
      <c r="E293" s="109"/>
      <c r="F293" s="109"/>
      <c r="G293" s="109"/>
      <c r="H293" s="109"/>
      <c r="I293" s="24"/>
      <c r="J293" s="24"/>
    </row>
    <row r="294" spans="1:10" s="1" customFormat="1" ht="15.9" customHeight="1">
      <c r="A294" s="27"/>
      <c r="B294" s="33"/>
      <c r="C294" s="33"/>
      <c r="D294" s="161"/>
      <c r="E294" s="109"/>
      <c r="F294" s="109"/>
      <c r="G294" s="109"/>
      <c r="H294" s="109"/>
      <c r="I294" s="109"/>
      <c r="J294" s="24"/>
    </row>
    <row r="295" spans="1:10" s="1" customFormat="1" ht="15.9" customHeight="1">
      <c r="A295" s="27"/>
      <c r="B295" s="33"/>
      <c r="C295" s="23"/>
      <c r="D295" s="161"/>
      <c r="E295" s="109"/>
      <c r="F295" s="109"/>
      <c r="G295" s="109"/>
      <c r="H295" s="109"/>
      <c r="I295" s="109"/>
      <c r="J295" s="24"/>
    </row>
    <row r="296" spans="1:10" s="1" customFormat="1" ht="15.9" customHeight="1">
      <c r="A296" s="27"/>
      <c r="B296" s="33"/>
      <c r="C296" s="89" t="s">
        <v>384</v>
      </c>
      <c r="D296" s="161"/>
      <c r="E296" s="109"/>
      <c r="F296" s="109"/>
      <c r="G296" s="109"/>
      <c r="H296" s="109"/>
      <c r="I296" s="109"/>
      <c r="J296" s="24"/>
    </row>
    <row r="297" spans="1:10" s="1" customFormat="1" ht="15.9" customHeight="1">
      <c r="A297" s="27"/>
      <c r="B297" s="33"/>
      <c r="C297" s="94" t="s">
        <v>448</v>
      </c>
      <c r="D297" s="161"/>
      <c r="E297" s="109"/>
      <c r="F297" s="109"/>
      <c r="G297" s="44"/>
      <c r="H297" s="44"/>
      <c r="I297" s="109"/>
      <c r="J297" s="24"/>
    </row>
    <row r="298" spans="1:10" s="1" customFormat="1" ht="15.9" customHeight="1">
      <c r="A298" s="27"/>
      <c r="B298" s="33"/>
      <c r="C298" s="327" t="s">
        <v>449</v>
      </c>
      <c r="D298" s="328"/>
      <c r="E298" s="328"/>
      <c r="F298" s="109"/>
      <c r="G298" s="40"/>
      <c r="H298" s="32"/>
      <c r="I298" s="109"/>
      <c r="J298" s="24"/>
    </row>
    <row r="299" spans="1:10" s="1" customFormat="1" ht="15.9" customHeight="1">
      <c r="A299" s="41"/>
      <c r="B299" s="33"/>
      <c r="C299" s="328" t="s">
        <v>286</v>
      </c>
      <c r="D299" s="327"/>
      <c r="E299" s="327"/>
      <c r="F299" s="109"/>
      <c r="G299" s="109"/>
      <c r="H299" s="109"/>
      <c r="I299" s="109"/>
      <c r="J299" s="24"/>
    </row>
    <row r="300" spans="1:10" s="1" customFormat="1" ht="15.9" customHeight="1">
      <c r="A300" s="44"/>
      <c r="B300" s="44"/>
      <c r="C300" s="327" t="s">
        <v>285</v>
      </c>
      <c r="D300" s="86"/>
      <c r="E300" s="79"/>
      <c r="F300" s="44"/>
      <c r="G300" s="109"/>
      <c r="H300" s="109"/>
      <c r="I300" s="109"/>
      <c r="J300" s="24"/>
    </row>
    <row r="301" spans="1:10" s="1" customFormat="1" ht="15.9" customHeight="1">
      <c r="A301" s="40"/>
      <c r="B301" s="40"/>
      <c r="C301" s="374">
        <f>$I$145</f>
        <v>458.625</v>
      </c>
      <c r="D301" s="87"/>
      <c r="E301" s="80"/>
      <c r="F301" s="32"/>
      <c r="G301" s="109"/>
      <c r="H301" s="109"/>
      <c r="I301" s="109"/>
      <c r="J301" s="24"/>
    </row>
    <row r="302" spans="1:10" s="1" customFormat="1" ht="15.9" customHeight="1">
      <c r="A302" s="109"/>
      <c r="B302" s="33"/>
      <c r="C302" s="363">
        <f>$J$145</f>
        <v>12</v>
      </c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C303" s="374">
        <f>$I$146</f>
        <v>2258</v>
      </c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C304" s="363">
        <f>$J$146</f>
        <v>12</v>
      </c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D306" s="15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D307" s="15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89"/>
      <c r="D308" s="161"/>
      <c r="E308" s="109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542"/>
      <c r="D309" s="542"/>
      <c r="E309" s="542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D310" s="15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D311" s="15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25"/>
      <c r="B313" s="33"/>
      <c r="D313" s="162"/>
      <c r="E313" s="24"/>
      <c r="F313" s="109"/>
      <c r="G313" s="109"/>
      <c r="H313" s="109"/>
      <c r="I313" s="27"/>
      <c r="J313" s="99" t="str">
        <f>LEFT($J$111,11)&amp;"-03"</f>
        <v>FG-240-6P6R-03</v>
      </c>
    </row>
    <row r="314" spans="1:14" ht="12.75" customHeight="1">
      <c r="A314" s="17"/>
      <c r="B314" s="26"/>
      <c r="C314" s="26"/>
      <c r="D314" s="83"/>
      <c r="E314" s="25"/>
      <c r="F314" s="25"/>
      <c r="G314" s="25"/>
      <c r="H314" s="25"/>
      <c r="I314" s="179"/>
      <c r="J314" s="179"/>
    </row>
    <row r="315" spans="1:14" ht="30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90" t="str">
        <f>$J$2</f>
        <v>HOMELIFE</v>
      </c>
    </row>
    <row r="316" spans="1:14" ht="24.9" customHeight="1">
      <c r="B316" s="217"/>
      <c r="C316" s="5"/>
      <c r="D316" s="95"/>
      <c r="E316" s="95"/>
      <c r="F316" s="95"/>
      <c r="G316" s="95"/>
      <c r="H316" s="95"/>
      <c r="I316" s="28"/>
      <c r="J316" s="91" t="str">
        <f>$J$3</f>
        <v>Fabricators Guide</v>
      </c>
      <c r="K316" s="11"/>
      <c r="L316" s="11"/>
      <c r="M316" s="2"/>
      <c r="N316" s="2"/>
    </row>
    <row r="317" spans="1:14" ht="24.9" customHeight="1">
      <c r="B317" s="217"/>
      <c r="C317" s="28"/>
      <c r="D317" s="28"/>
      <c r="E317" s="28"/>
      <c r="F317" s="28"/>
      <c r="G317" s="28"/>
      <c r="H317" s="28"/>
      <c r="I317" s="28"/>
      <c r="J317" s="91" t="str">
        <f>$J$4</f>
        <v xml:space="preserve">240 Series Bi Fold Door </v>
      </c>
      <c r="K317" s="48"/>
      <c r="L317" s="48"/>
      <c r="M317" s="4"/>
      <c r="N317" s="4"/>
    </row>
    <row r="318" spans="1:14" s="1" customFormat="1" ht="15" customHeight="1" thickBot="1">
      <c r="A318" s="78"/>
      <c r="B318" s="8"/>
      <c r="C318" s="28"/>
      <c r="D318" s="28"/>
      <c r="E318" s="28"/>
      <c r="F318" s="28"/>
      <c r="G318" s="28"/>
      <c r="H318" s="28"/>
      <c r="I318" s="78"/>
      <c r="J318" s="113"/>
      <c r="K318" s="4"/>
      <c r="L318" s="4"/>
      <c r="M318" s="4"/>
      <c r="N318" s="4"/>
    </row>
    <row r="319" spans="1:14" ht="24.9" customHeight="1" thickBot="1">
      <c r="A319" s="502" t="s">
        <v>33</v>
      </c>
      <c r="B319" s="503"/>
      <c r="C319" s="503"/>
      <c r="D319" s="503"/>
      <c r="E319" s="503"/>
      <c r="F319" s="503"/>
      <c r="G319" s="503"/>
      <c r="H319" s="503"/>
      <c r="I319" s="503"/>
      <c r="J319" s="504"/>
      <c r="K319" s="4"/>
      <c r="L319" s="4"/>
      <c r="M319" s="4"/>
      <c r="N319" s="4"/>
    </row>
    <row r="321" spans="1:10" s="1" customFormat="1" ht="15" customHeight="1">
      <c r="A321" s="63"/>
      <c r="B321"/>
      <c r="C321"/>
      <c r="D321" s="81"/>
      <c r="E321"/>
      <c r="F321"/>
      <c r="G321"/>
      <c r="H321"/>
      <c r="I321" s="160"/>
      <c r="J321" s="116"/>
    </row>
    <row r="322" spans="1:10" s="1" customFormat="1" ht="15" customHeight="1">
      <c r="A322" s="17"/>
      <c r="B322" s="72"/>
      <c r="C322" s="56"/>
      <c r="D322" s="30"/>
      <c r="E322" s="29"/>
      <c r="F322" s="160"/>
      <c r="G322" s="160"/>
      <c r="H322" s="160"/>
      <c r="I322" s="31"/>
      <c r="J322" s="17"/>
    </row>
    <row r="323" spans="1:10" s="1" customFormat="1" ht="15" customHeight="1">
      <c r="A323" s="17"/>
      <c r="B323" s="56"/>
      <c r="C323" s="56"/>
      <c r="D323" s="30"/>
      <c r="E323" s="29"/>
      <c r="F323" s="30"/>
      <c r="G323" s="31"/>
      <c r="H323" s="31"/>
      <c r="I323" s="17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09"/>
      <c r="B325" s="56"/>
      <c r="C325" s="30"/>
      <c r="D325" s="30"/>
      <c r="E325" s="29"/>
      <c r="F325" s="30"/>
      <c r="G325" s="17"/>
      <c r="H325" s="31"/>
      <c r="I325" s="109"/>
      <c r="J325" s="109"/>
    </row>
    <row r="326" spans="1:10" s="1" customFormat="1" ht="15" customHeight="1">
      <c r="A326" s="109"/>
      <c r="B326" s="33"/>
      <c r="C326" s="161"/>
      <c r="D326" s="161"/>
      <c r="E326" s="109"/>
      <c r="F326" s="161"/>
      <c r="G326" s="109"/>
      <c r="H326" s="34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35"/>
      <c r="F327" s="163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1"/>
      <c r="G328" s="109"/>
      <c r="H328" s="34"/>
      <c r="I328" s="42"/>
      <c r="J328" s="109"/>
    </row>
    <row r="329" spans="1:10" s="1" customFormat="1" ht="15" customHeight="1">
      <c r="A329" s="39"/>
      <c r="B329" s="33"/>
      <c r="C329" s="42"/>
      <c r="D329" s="161"/>
      <c r="E329" s="109"/>
      <c r="F329" s="505"/>
      <c r="G329" s="505"/>
      <c r="H329" s="218"/>
      <c r="I329" s="163"/>
      <c r="J329" s="109"/>
    </row>
    <row r="330" spans="1:10" s="1" customFormat="1" ht="15" customHeight="1">
      <c r="A330" s="92"/>
      <c r="B330" s="39"/>
      <c r="C330" s="163"/>
      <c r="D330" s="161"/>
      <c r="E330" s="109"/>
      <c r="F330" s="507"/>
      <c r="G330" s="507"/>
      <c r="H330" s="218"/>
      <c r="I330" s="161"/>
      <c r="J330" s="109"/>
    </row>
    <row r="331" spans="1:10" s="1" customFormat="1" ht="15" customHeight="1">
      <c r="A331" s="64" t="str">
        <f>A18</f>
        <v>240-6 Panel (6R)</v>
      </c>
      <c r="B331" s="92"/>
      <c r="C331" s="161"/>
      <c r="D331" s="161"/>
      <c r="E331" s="109"/>
      <c r="F331" s="218"/>
      <c r="G331" s="218"/>
      <c r="H331" s="218"/>
      <c r="I331" s="109"/>
      <c r="J331" s="109"/>
    </row>
    <row r="332" spans="1:10" s="1" customFormat="1" ht="15" customHeight="1">
      <c r="A332" s="76" t="str">
        <f>A19</f>
        <v xml:space="preserve">Outside Bi Fold Door </v>
      </c>
      <c r="B332" s="92"/>
      <c r="C332" s="161"/>
      <c r="D332" s="161"/>
      <c r="E332" s="109"/>
      <c r="F332" s="218"/>
      <c r="G332" s="218"/>
      <c r="H332" s="218"/>
      <c r="I332" s="109"/>
      <c r="J332" s="109"/>
    </row>
    <row r="333" spans="1:10" s="1" customFormat="1" ht="15" customHeight="1">
      <c r="A333" s="76"/>
      <c r="B333" s="92"/>
      <c r="C333" s="161"/>
      <c r="D333" s="161"/>
      <c r="E333" s="109"/>
      <c r="F333" s="352"/>
      <c r="G333" s="352"/>
      <c r="H333" s="352"/>
      <c r="I333" s="109"/>
      <c r="J333" s="109"/>
    </row>
    <row r="334" spans="1:10" s="1" customFormat="1" ht="15" customHeight="1">
      <c r="A334" s="76"/>
      <c r="B334" s="92"/>
      <c r="C334" s="161"/>
      <c r="D334" s="161"/>
      <c r="E334" s="109"/>
      <c r="F334" s="352"/>
      <c r="G334" s="352"/>
      <c r="H334" s="352"/>
      <c r="I334" s="109"/>
      <c r="J334" s="109"/>
    </row>
    <row r="335" spans="1:10" s="1" customFormat="1" ht="15.9" customHeight="1">
      <c r="A335" s="109"/>
      <c r="B335" s="45"/>
      <c r="C335" s="42"/>
      <c r="D335" s="161"/>
      <c r="E335" s="109"/>
      <c r="F335" s="507"/>
      <c r="G335" s="507"/>
      <c r="H335" s="218"/>
      <c r="I335" s="109"/>
      <c r="J335" s="109"/>
    </row>
    <row r="336" spans="1:10" s="1" customFormat="1" ht="15.9" customHeight="1">
      <c r="A336" s="39"/>
      <c r="B336" s="109"/>
      <c r="C336" s="161"/>
      <c r="D336" s="161"/>
      <c r="E336" s="109"/>
      <c r="F336" s="37"/>
      <c r="G336" s="38"/>
      <c r="H336" s="109"/>
      <c r="I336" s="109"/>
      <c r="J336" s="109"/>
    </row>
    <row r="337" spans="1:10" s="1" customFormat="1" ht="15.9" customHeight="1">
      <c r="A337" s="44"/>
      <c r="C337" s="43"/>
      <c r="D337" s="161"/>
      <c r="E337" s="109"/>
      <c r="F337" s="109"/>
      <c r="G337" s="109"/>
      <c r="H337" s="109"/>
      <c r="I337" s="44"/>
      <c r="J337" s="119"/>
    </row>
    <row r="338" spans="1:10" s="1" customFormat="1" ht="15.9" customHeight="1">
      <c r="A338" s="40"/>
      <c r="C338" s="44"/>
      <c r="D338" s="84"/>
      <c r="E338" s="44"/>
      <c r="F338" s="44"/>
      <c r="G338" s="44"/>
      <c r="H338" s="44"/>
      <c r="I338" s="32"/>
      <c r="J338" s="40"/>
    </row>
    <row r="339" spans="1:10" s="1" customFormat="1" ht="15.9" customHeight="1">
      <c r="A339" s="109"/>
      <c r="C339" s="161"/>
      <c r="D339" s="85"/>
      <c r="E339" s="40"/>
      <c r="F339" s="32"/>
      <c r="G339" s="40"/>
      <c r="H339" s="32"/>
      <c r="I339" s="24"/>
      <c r="J339" s="24"/>
    </row>
    <row r="340" spans="1:10" s="1" customFormat="1" ht="15.9" customHeight="1">
      <c r="A340" s="109"/>
      <c r="C340" s="163"/>
      <c r="D340" s="161"/>
      <c r="E340" s="109"/>
      <c r="F340" s="161"/>
      <c r="G340" s="109"/>
      <c r="H340" s="109"/>
      <c r="I340" s="24"/>
      <c r="J340" s="24"/>
    </row>
    <row r="341" spans="1:10" s="1" customFormat="1" ht="15.9" customHeight="1">
      <c r="A341" s="109"/>
      <c r="B341" s="33"/>
      <c r="C341" s="161"/>
      <c r="D341" s="161"/>
      <c r="E341" s="109"/>
      <c r="F341" s="161"/>
      <c r="G341" s="109"/>
      <c r="H341" s="109"/>
      <c r="I341" s="162"/>
      <c r="J341" s="162"/>
    </row>
    <row r="342" spans="1:10" s="1" customFormat="1" ht="15.9" customHeight="1">
      <c r="A342" s="109"/>
      <c r="B342" s="33"/>
      <c r="C342" s="44"/>
      <c r="D342" s="161"/>
      <c r="E342" s="109"/>
      <c r="F342" s="161"/>
      <c r="G342" s="109"/>
      <c r="H342" s="162"/>
      <c r="I342" s="161"/>
      <c r="J342" s="161"/>
    </row>
    <row r="343" spans="1:10" s="1" customFormat="1" ht="15.9" customHeight="1">
      <c r="A343" s="109"/>
      <c r="B343" s="33"/>
      <c r="C343" s="42"/>
      <c r="D343" s="161"/>
      <c r="E343" s="109"/>
      <c r="F343" s="161"/>
      <c r="G343" s="109"/>
      <c r="H343" s="161"/>
      <c r="I343" s="161"/>
      <c r="J343" s="161"/>
    </row>
    <row r="344" spans="1:10" s="1" customFormat="1" ht="15.9" customHeight="1">
      <c r="A344" s="109"/>
      <c r="B344" s="33"/>
      <c r="C344" s="163"/>
      <c r="D344" s="161"/>
      <c r="E344" s="109"/>
      <c r="F344" s="161"/>
      <c r="G344" s="109"/>
      <c r="H344" s="161"/>
      <c r="I344" s="109"/>
      <c r="J344" s="24"/>
    </row>
    <row r="345" spans="1:10" s="1" customFormat="1" ht="15.9" customHeight="1">
      <c r="A345" s="109"/>
      <c r="B345" s="33"/>
      <c r="C345" s="161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33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44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1"/>
      <c r="D350" s="161"/>
      <c r="E350" s="109"/>
      <c r="F350" s="161"/>
      <c r="G350" s="109"/>
      <c r="H350" s="109"/>
      <c r="I350" s="24"/>
      <c r="J350" s="24"/>
    </row>
    <row r="351" spans="1:10" s="1" customFormat="1" ht="15.9" customHeight="1">
      <c r="A351" s="109"/>
      <c r="B351" s="33"/>
      <c r="C351" s="163"/>
      <c r="D351" s="161"/>
      <c r="E351" s="109"/>
      <c r="F351" s="161"/>
      <c r="G351" s="109"/>
      <c r="H351" s="109"/>
      <c r="I351" s="109"/>
      <c r="J351" s="24"/>
    </row>
    <row r="352" spans="1:10" s="1" customFormat="1" ht="15.9" customHeight="1">
      <c r="A352" s="109"/>
      <c r="B352" s="33"/>
      <c r="C352" s="161"/>
      <c r="D352" s="161"/>
      <c r="E352" s="109"/>
      <c r="F352" s="161"/>
      <c r="G352" s="109"/>
      <c r="H352" s="109"/>
      <c r="I352" s="24"/>
      <c r="J352" s="24"/>
    </row>
    <row r="353" spans="1:10" s="1" customFormat="1" ht="15.9" customHeight="1">
      <c r="A353" s="109"/>
      <c r="B353" s="33"/>
      <c r="C353" s="33"/>
      <c r="D353" s="161"/>
      <c r="E353" s="109"/>
      <c r="F353" s="109"/>
      <c r="G353" s="109"/>
      <c r="H353" s="109"/>
      <c r="I353" s="24"/>
      <c r="J353" s="24"/>
    </row>
    <row r="354" spans="1:10" s="1" customFormat="1" ht="15" customHeight="1">
      <c r="A354" s="109"/>
      <c r="B354" s="33"/>
      <c r="C354" s="33"/>
      <c r="D354" s="161"/>
      <c r="E354" s="109"/>
      <c r="F354" s="109"/>
      <c r="G354" s="109"/>
      <c r="H354" s="107"/>
      <c r="I354" s="24"/>
      <c r="J354" s="24"/>
    </row>
    <row r="355" spans="1:10" s="23" customFormat="1" ht="15.9" customHeight="1">
      <c r="A355" s="109"/>
      <c r="B355" s="33"/>
      <c r="C355" s="33"/>
      <c r="D355" s="161"/>
      <c r="E355" s="109"/>
      <c r="F355" s="109"/>
      <c r="G355" s="109"/>
      <c r="H355" s="109"/>
      <c r="I355" s="109"/>
      <c r="J355" s="109"/>
    </row>
    <row r="356" spans="1:10" s="1" customFormat="1" ht="15.9" customHeight="1">
      <c r="A356" s="44"/>
      <c r="B356" s="33"/>
      <c r="C356" s="33"/>
      <c r="D356" s="161"/>
      <c r="E356" s="109"/>
      <c r="F356" s="109"/>
      <c r="G356" s="109"/>
      <c r="H356" s="109"/>
      <c r="I356" s="44"/>
      <c r="J356" s="119"/>
    </row>
    <row r="357" spans="1:10" s="1" customFormat="1" ht="15.9" customHeight="1">
      <c r="A357" s="40"/>
      <c r="B357" s="44"/>
      <c r="C357" s="44"/>
      <c r="D357" s="84"/>
      <c r="E357" s="44"/>
      <c r="F357" s="44"/>
      <c r="G357" s="44"/>
      <c r="H357" s="44"/>
      <c r="I357" s="32"/>
      <c r="J357" s="40"/>
    </row>
    <row r="358" spans="1:10" s="1" customFormat="1" ht="15.9" customHeight="1">
      <c r="A358" s="27"/>
      <c r="B358" s="40"/>
      <c r="C358" s="44"/>
      <c r="D358" s="85"/>
      <c r="E358" s="40"/>
      <c r="F358" s="32"/>
      <c r="G358" s="40"/>
      <c r="H358" s="32"/>
      <c r="I358" s="24"/>
      <c r="J358" s="24"/>
    </row>
    <row r="359" spans="1:10" s="1" customFormat="1" ht="15.9" customHeight="1">
      <c r="A359" s="27"/>
      <c r="B359" s="33"/>
      <c r="C359" s="42"/>
      <c r="D359" s="161"/>
      <c r="E359" s="109"/>
      <c r="F359" s="109"/>
      <c r="G359" s="109"/>
      <c r="H359" s="42"/>
      <c r="I359" s="163"/>
      <c r="J359" s="163"/>
    </row>
    <row r="360" spans="1:10" s="1" customFormat="1" ht="15.9" customHeight="1">
      <c r="A360" s="27"/>
      <c r="B360" s="33"/>
      <c r="C360" s="163"/>
      <c r="D360" s="161"/>
      <c r="E360" s="109"/>
      <c r="F360" s="109"/>
      <c r="G360" s="109"/>
      <c r="H360" s="163"/>
      <c r="I360" s="161"/>
      <c r="J360" s="161"/>
    </row>
    <row r="361" spans="1:10" s="1" customFormat="1" ht="15.9" customHeight="1">
      <c r="A361" s="27"/>
      <c r="B361" s="33"/>
      <c r="C361" s="161"/>
      <c r="D361" s="161"/>
      <c r="E361" s="109"/>
      <c r="F361" s="109"/>
      <c r="G361" s="109"/>
      <c r="H361" s="161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33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46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161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B369" s="33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B372" s="33"/>
      <c r="C372" s="33"/>
      <c r="D372" s="161"/>
      <c r="E372" s="109"/>
      <c r="F372" s="109"/>
      <c r="G372" s="109"/>
      <c r="H372" s="109"/>
      <c r="I372" s="24"/>
      <c r="J372" s="24"/>
    </row>
    <row r="373" spans="1:10" s="1" customFormat="1" ht="15.9" customHeight="1">
      <c r="A373" s="27"/>
      <c r="D373" s="161"/>
      <c r="E373" s="109"/>
      <c r="F373" s="109"/>
      <c r="G373" s="33"/>
      <c r="H373" s="33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109"/>
      <c r="I376" s="24"/>
      <c r="J376" s="24"/>
    </row>
    <row r="377" spans="1:10" s="1" customFormat="1" ht="15.9" customHeight="1">
      <c r="A377" s="27"/>
      <c r="B377" s="33"/>
      <c r="C377" s="33"/>
      <c r="D377" s="161"/>
      <c r="E377" s="109"/>
      <c r="F377" s="109"/>
      <c r="G377" s="109"/>
      <c r="H377" s="42"/>
      <c r="I377" s="163"/>
      <c r="J377" s="163"/>
    </row>
    <row r="378" spans="1:10" s="1" customFormat="1" ht="15.9" customHeight="1">
      <c r="A378" s="27"/>
      <c r="B378" s="33"/>
      <c r="C378" s="47"/>
      <c r="D378" s="161"/>
      <c r="E378" s="109"/>
      <c r="F378" s="109"/>
      <c r="G378" s="109"/>
      <c r="H378" s="163"/>
      <c r="I378" s="161"/>
      <c r="J378" s="161"/>
    </row>
    <row r="379" spans="1:10" s="1" customFormat="1" ht="15.9" customHeight="1">
      <c r="A379" s="27"/>
      <c r="B379" s="33"/>
      <c r="C379" s="46"/>
      <c r="D379" s="161"/>
      <c r="E379" s="109"/>
      <c r="F379" s="109"/>
      <c r="G379" s="109"/>
      <c r="H379" s="161"/>
      <c r="I379" s="24"/>
      <c r="J379" s="24"/>
    </row>
    <row r="380" spans="1:10" s="1" customFormat="1" ht="15.9" customHeight="1">
      <c r="A380" s="27"/>
      <c r="B380" s="33"/>
      <c r="C380" s="161"/>
      <c r="D380" s="161"/>
      <c r="E380" s="109"/>
      <c r="F380" s="109"/>
      <c r="G380" s="109"/>
      <c r="H380" s="42"/>
      <c r="I380" s="163"/>
      <c r="J380" s="163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3"/>
      <c r="I381" s="161"/>
      <c r="J381" s="161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61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24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09"/>
      <c r="J388" s="2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09"/>
      <c r="I389" s="164"/>
      <c r="J389" s="164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4"/>
      <c r="I390" s="165"/>
      <c r="J390" s="165"/>
    </row>
    <row r="391" spans="1:10" s="1" customFormat="1" ht="15.9" customHeight="1">
      <c r="A391" s="27"/>
      <c r="B391" s="33"/>
      <c r="C391" s="33"/>
      <c r="D391" s="161"/>
      <c r="E391" s="109"/>
      <c r="F391" s="109"/>
      <c r="G391" s="109"/>
      <c r="H391" s="165"/>
      <c r="I391" s="161"/>
      <c r="J391" s="161"/>
    </row>
    <row r="392" spans="1:10" s="1" customFormat="1" ht="15.9" customHeight="1">
      <c r="A392" s="27"/>
      <c r="B392" s="33"/>
      <c r="C392" s="47"/>
      <c r="D392" s="161"/>
      <c r="E392" s="109"/>
      <c r="F392" s="109"/>
      <c r="G392" s="109"/>
      <c r="H392" s="161"/>
      <c r="I392" s="24"/>
      <c r="J392" s="24"/>
    </row>
    <row r="393" spans="1:10" s="1" customFormat="1" ht="15.9" customHeight="1">
      <c r="A393" s="27"/>
      <c r="B393" s="33"/>
      <c r="C393" s="46"/>
      <c r="D393" s="161"/>
      <c r="E393" s="109"/>
      <c r="F393" s="109"/>
      <c r="G393" s="109"/>
      <c r="H393" s="109"/>
      <c r="I393" s="109"/>
      <c r="J393" s="24"/>
    </row>
    <row r="394" spans="1:10" s="1" customFormat="1" ht="15.9" customHeight="1">
      <c r="A394" s="27"/>
      <c r="B394" s="33"/>
      <c r="C394" s="161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27"/>
      <c r="B396" s="33"/>
      <c r="C396" s="33"/>
      <c r="D396" s="161"/>
      <c r="E396" s="109"/>
      <c r="F396" s="109"/>
      <c r="G396" s="109"/>
      <c r="H396" s="109"/>
      <c r="I396" s="24"/>
      <c r="J396" s="24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1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23" customFormat="1" ht="15.9" customHeight="1">
      <c r="A405" s="41"/>
      <c r="B405" s="33"/>
      <c r="C405" s="33"/>
      <c r="D405" s="161"/>
      <c r="E405" s="109"/>
      <c r="F405" s="109"/>
      <c r="G405" s="109"/>
      <c r="H405" s="109"/>
      <c r="I405" s="109"/>
      <c r="J405" s="109"/>
    </row>
    <row r="406" spans="1:10" s="1" customFormat="1" ht="15.9" customHeight="1">
      <c r="A406" s="44"/>
      <c r="B406" s="33"/>
      <c r="C406" s="33"/>
      <c r="D406" s="161"/>
      <c r="E406" s="109"/>
      <c r="F406" s="109"/>
      <c r="G406" s="109"/>
      <c r="H406" s="109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109"/>
      <c r="B418" s="44"/>
      <c r="C418" s="44"/>
      <c r="D418" s="84"/>
      <c r="E418" s="44"/>
      <c r="F418" s="44"/>
      <c r="G418" s="44"/>
      <c r="H418" s="44"/>
      <c r="I418" s="24"/>
      <c r="J418" s="24"/>
      <c r="K418" s="71"/>
    </row>
    <row r="419" spans="1:14" s="1" customFormat="1" ht="15.9" customHeight="1">
      <c r="A419" s="109"/>
      <c r="B419" s="33"/>
      <c r="C419" s="33"/>
      <c r="D419" s="161"/>
      <c r="E419" s="109"/>
      <c r="F419" s="109"/>
      <c r="G419" s="109"/>
      <c r="H419" s="109"/>
      <c r="I419" s="24"/>
    </row>
    <row r="420" spans="1:14" ht="18">
      <c r="A420" s="109"/>
      <c r="B420" s="33"/>
      <c r="C420" s="33"/>
      <c r="D420" s="161"/>
      <c r="E420" s="109"/>
      <c r="F420" s="109"/>
      <c r="G420" s="109"/>
      <c r="H420" s="109"/>
      <c r="I420" s="109"/>
      <c r="J420" s="99" t="str">
        <f>LEFT($J$111,11)&amp;"-04"</f>
        <v>FG-240-6P6R-04</v>
      </c>
      <c r="K420" s="7"/>
      <c r="L420" s="7"/>
      <c r="M420" s="2"/>
      <c r="N420" s="2"/>
    </row>
    <row r="421" spans="1:14" ht="12.75" customHeight="1">
      <c r="A421" s="109"/>
      <c r="B421" s="33"/>
      <c r="C421" s="33"/>
      <c r="D421" s="161"/>
      <c r="E421" s="109"/>
      <c r="F421" s="109"/>
      <c r="G421" s="109"/>
      <c r="H421" s="109"/>
      <c r="I421" s="109"/>
      <c r="J421" s="114"/>
      <c r="K421" s="7"/>
      <c r="L421" s="7"/>
      <c r="M421" s="2"/>
      <c r="N421" s="2"/>
    </row>
    <row r="422" spans="1:14" ht="30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90" t="str">
        <f>$J$2</f>
        <v>HOMELIFE</v>
      </c>
      <c r="K422" s="7"/>
      <c r="L422" s="7"/>
      <c r="M422" s="2"/>
      <c r="N422" s="2"/>
    </row>
    <row r="423" spans="1:14" ht="24.9" customHeight="1">
      <c r="A423" s="109"/>
      <c r="B423" s="33"/>
      <c r="C423" s="33"/>
      <c r="D423" s="161"/>
      <c r="E423" s="109"/>
      <c r="F423" s="109"/>
      <c r="G423" s="109"/>
      <c r="H423" s="109"/>
      <c r="I423" s="109"/>
      <c r="J423" s="91" t="str">
        <f>$J$3</f>
        <v>Fabricators Guide</v>
      </c>
      <c r="K423" s="7"/>
      <c r="L423" s="7"/>
      <c r="M423" s="2"/>
      <c r="N423" s="2"/>
    </row>
    <row r="424" spans="1:14" ht="24.9" customHeight="1">
      <c r="B424" s="217"/>
      <c r="C424" s="28"/>
      <c r="D424" s="28"/>
      <c r="E424" s="28"/>
      <c r="F424" s="28"/>
      <c r="G424" s="28"/>
      <c r="H424" s="28"/>
      <c r="I424" s="28"/>
      <c r="J424" s="91" t="str">
        <f>$J$4</f>
        <v xml:space="preserve">240 Series Bi Fold Door </v>
      </c>
      <c r="K424" s="48"/>
      <c r="L424" s="48"/>
      <c r="M424" s="4"/>
      <c r="N424" s="4"/>
    </row>
    <row r="425" spans="1:14" s="1" customFormat="1" ht="15" customHeight="1" thickBot="1">
      <c r="A425" s="78"/>
      <c r="B425" s="8"/>
      <c r="C425" s="28"/>
      <c r="D425" s="28"/>
      <c r="E425" s="28"/>
      <c r="F425" s="28"/>
      <c r="G425" s="28"/>
      <c r="H425" s="28"/>
      <c r="I425" s="78"/>
      <c r="J425" s="100"/>
      <c r="K425" s="4"/>
      <c r="L425" s="4"/>
      <c r="M425" s="4"/>
      <c r="N425" s="4"/>
    </row>
    <row r="426" spans="1:14" s="1" customFormat="1" ht="24.9" customHeight="1" thickBot="1">
      <c r="A426" s="502" t="s">
        <v>34</v>
      </c>
      <c r="B426" s="503"/>
      <c r="C426" s="503"/>
      <c r="D426" s="503"/>
      <c r="E426" s="503"/>
      <c r="F426" s="503"/>
      <c r="G426" s="503"/>
      <c r="H426" s="503"/>
      <c r="I426" s="503"/>
      <c r="J426" s="504"/>
      <c r="K426" s="4"/>
      <c r="L426" s="4"/>
      <c r="M426" s="4"/>
      <c r="N426" s="4"/>
    </row>
    <row r="427" spans="1:14" s="1" customFormat="1" ht="15" customHeight="1">
      <c r="A427" s="193"/>
      <c r="B427" s="194"/>
      <c r="C427" s="194"/>
      <c r="D427" s="194"/>
      <c r="E427" s="194"/>
      <c r="F427" s="194"/>
      <c r="G427" s="194"/>
      <c r="H427" s="194"/>
      <c r="I427" s="193"/>
      <c r="K427" s="56"/>
      <c r="L427" s="56"/>
      <c r="M427" s="56"/>
      <c r="N427" s="56"/>
    </row>
    <row r="428" spans="1:14" s="1" customFormat="1" ht="15" customHeight="1">
      <c r="A428" s="45"/>
      <c r="B428" s="193"/>
      <c r="C428" s="193"/>
      <c r="D428" s="193"/>
      <c r="E428" s="193"/>
      <c r="F428" s="193"/>
      <c r="G428" s="193"/>
      <c r="H428" s="193"/>
      <c r="I428" s="44"/>
      <c r="J428" s="119"/>
    </row>
    <row r="429" spans="1:14" s="1" customFormat="1" ht="15" customHeight="1">
      <c r="A429" s="109"/>
      <c r="B429" s="39"/>
      <c r="C429" s="33"/>
      <c r="D429" s="161"/>
      <c r="E429" s="35"/>
      <c r="F429" s="39"/>
      <c r="G429" s="193"/>
      <c r="H429" s="44"/>
      <c r="I429" s="44"/>
      <c r="J429" s="119"/>
    </row>
    <row r="430" spans="1:14" s="1" customFormat="1" ht="15" customHeight="1">
      <c r="A430" s="109"/>
      <c r="B430" s="33"/>
      <c r="C430" s="33"/>
      <c r="D430" s="161"/>
      <c r="E430" s="35"/>
      <c r="F430" s="161"/>
      <c r="G430" s="193"/>
      <c r="H430" s="44"/>
      <c r="I430" s="44"/>
      <c r="J430" s="119"/>
    </row>
    <row r="431" spans="1:14" s="1" customFormat="1" ht="15" customHeight="1">
      <c r="A431" s="109"/>
      <c r="B431" s="56"/>
      <c r="C431" s="56"/>
      <c r="D431" s="30"/>
      <c r="E431" s="29"/>
      <c r="F431" s="30"/>
      <c r="H431" s="44"/>
      <c r="I431" s="44"/>
      <c r="J431" s="119"/>
    </row>
    <row r="432" spans="1:14" s="1" customFormat="1" ht="15" customHeight="1">
      <c r="A432" s="109"/>
      <c r="B432" s="33"/>
      <c r="C432" s="161"/>
      <c r="D432" s="161"/>
      <c r="E432" s="109"/>
      <c r="F432" s="161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35"/>
      <c r="F433" s="163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1"/>
      <c r="H434" s="44"/>
      <c r="I434" s="44"/>
      <c r="J434" s="119"/>
    </row>
    <row r="435" spans="1:10" s="1" customFormat="1" ht="15" customHeight="1">
      <c r="A435" s="39"/>
      <c r="B435" s="33"/>
      <c r="C435" s="42"/>
      <c r="D435" s="161"/>
      <c r="E435" s="109"/>
      <c r="F435" s="69"/>
      <c r="H435" s="44"/>
      <c r="I435" s="44"/>
      <c r="J435" s="119"/>
    </row>
    <row r="436" spans="1:10" s="1" customFormat="1" ht="15" customHeight="1">
      <c r="A436" s="92"/>
      <c r="B436" s="39"/>
      <c r="C436" s="163"/>
      <c r="D436" s="161"/>
      <c r="E436" s="109"/>
      <c r="F436" s="68"/>
      <c r="H436" s="44"/>
      <c r="I436" s="44"/>
      <c r="J436" s="119"/>
    </row>
    <row r="437" spans="1:10" s="1" customFormat="1" ht="15" customHeight="1">
      <c r="B437" s="92"/>
      <c r="C437" s="161"/>
      <c r="D437" s="161"/>
      <c r="E437" s="109"/>
      <c r="F437" s="218"/>
      <c r="H437" s="44"/>
      <c r="I437" s="44"/>
      <c r="J437" s="119"/>
    </row>
    <row r="438" spans="1:10" s="1" customFormat="1" ht="15" customHeight="1">
      <c r="A438" s="64" t="str">
        <f>A18</f>
        <v>240-6 Panel (6R)</v>
      </c>
      <c r="B438" s="92"/>
      <c r="C438" s="161"/>
      <c r="D438" s="161"/>
      <c r="E438" s="109"/>
      <c r="F438" s="218"/>
      <c r="H438" s="44"/>
      <c r="I438" s="44"/>
      <c r="J438" s="119"/>
    </row>
    <row r="439" spans="1:10" s="1" customFormat="1" ht="15.9" customHeight="1">
      <c r="A439" s="76" t="str">
        <f>A19</f>
        <v xml:space="preserve">Outside Bi Fold Door </v>
      </c>
      <c r="C439" s="42"/>
      <c r="D439" s="161"/>
      <c r="E439" s="109"/>
      <c r="F439" s="68"/>
      <c r="H439" s="44"/>
      <c r="I439" s="44"/>
      <c r="J439" s="119"/>
    </row>
    <row r="440" spans="1:10" s="1" customFormat="1" ht="15.9" customHeight="1">
      <c r="A440" s="76"/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76"/>
      <c r="C441" s="42"/>
      <c r="D441" s="161"/>
      <c r="E441" s="109"/>
      <c r="F441" s="68"/>
      <c r="H441" s="44"/>
      <c r="I441" s="44"/>
      <c r="J441" s="119"/>
    </row>
    <row r="442" spans="1:10" s="1" customFormat="1" ht="15.9" customHeight="1">
      <c r="A442" s="76"/>
      <c r="C442" s="42"/>
      <c r="D442" s="161"/>
      <c r="E442" s="109"/>
      <c r="F442" s="68"/>
      <c r="H442" s="44"/>
      <c r="I442" s="44"/>
      <c r="J442" s="119"/>
    </row>
    <row r="443" spans="1:10" s="1" customFormat="1" ht="15.9" customHeight="1">
      <c r="A443" s="39"/>
      <c r="C443" s="161"/>
      <c r="D443" s="161"/>
      <c r="E443" s="109"/>
      <c r="F443" s="37"/>
      <c r="H443" s="44"/>
      <c r="I443" s="44"/>
      <c r="J443" s="119"/>
    </row>
    <row r="444" spans="1:10" s="1" customFormat="1" ht="15.9" customHeight="1">
      <c r="A444" s="44"/>
      <c r="B444" s="38"/>
      <c r="C444" s="43"/>
      <c r="D444" s="161"/>
      <c r="E444" s="109"/>
      <c r="F444" s="109"/>
      <c r="H444" s="44"/>
      <c r="I444" s="44"/>
      <c r="J444" s="119"/>
    </row>
    <row r="445" spans="1:10" s="1" customFormat="1" ht="15.9" customHeight="1">
      <c r="A445" s="40"/>
      <c r="C445" s="44"/>
      <c r="D445" s="84"/>
      <c r="E445" s="44"/>
      <c r="F445" s="44"/>
      <c r="H445" s="44"/>
      <c r="I445" s="44"/>
      <c r="J445" s="119"/>
    </row>
    <row r="446" spans="1:10" ht="15.6">
      <c r="B446" s="64"/>
      <c r="C446" s="163"/>
      <c r="D446" s="161"/>
      <c r="E446" s="109"/>
      <c r="F446" s="161"/>
      <c r="G446" s="109"/>
      <c r="H446" s="109"/>
    </row>
    <row r="451" spans="1:10" s="1" customFormat="1" ht="15.9" customHeight="1">
      <c r="A451" s="109"/>
      <c r="B451"/>
      <c r="C451"/>
      <c r="D451" s="81"/>
      <c r="E451"/>
      <c r="F451"/>
      <c r="G451"/>
      <c r="H451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33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44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161"/>
      <c r="D456" s="161"/>
      <c r="E456" s="109"/>
      <c r="F456" s="161"/>
      <c r="G456" s="109"/>
      <c r="H456" s="109"/>
      <c r="I456" s="24"/>
      <c r="J456" s="24"/>
    </row>
    <row r="457" spans="1:10" s="1" customFormat="1" ht="15.9" customHeight="1">
      <c r="A457" s="109"/>
      <c r="B457" s="33"/>
      <c r="C457" s="163"/>
      <c r="D457" s="161"/>
      <c r="E457" s="109"/>
      <c r="F457" s="161"/>
      <c r="G457" s="109"/>
      <c r="H457" s="109"/>
      <c r="I457" s="109"/>
      <c r="J457" s="24"/>
    </row>
    <row r="458" spans="1:10" s="1" customFormat="1" ht="15.9" customHeight="1">
      <c r="A458" s="109"/>
      <c r="B458" s="33"/>
      <c r="C458" s="161"/>
      <c r="D458" s="161"/>
      <c r="E458" s="109"/>
      <c r="F458" s="161"/>
      <c r="G458" s="109"/>
      <c r="H458" s="109"/>
      <c r="I458" s="24"/>
      <c r="J458" s="24"/>
    </row>
    <row r="459" spans="1:10" s="1" customFormat="1" ht="15.9" customHeight="1">
      <c r="A459" s="109"/>
      <c r="B459" s="33"/>
      <c r="C459" s="33"/>
      <c r="D459" s="161"/>
      <c r="E459" s="109"/>
      <c r="F459" s="109"/>
      <c r="G459" s="109"/>
      <c r="H459" s="109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7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" customHeight="1">
      <c r="A476" s="109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1" customFormat="1" ht="15" customHeight="1">
      <c r="A477" s="109"/>
      <c r="B477" s="33"/>
      <c r="C477" s="33"/>
      <c r="D477" s="161"/>
      <c r="E477" s="109"/>
      <c r="F477" s="109"/>
      <c r="G477" s="109"/>
      <c r="H477" s="109"/>
      <c r="I477" s="24"/>
      <c r="J477" s="24"/>
    </row>
    <row r="478" spans="1:10" s="23" customFormat="1" ht="15.9" customHeight="1">
      <c r="A478" s="109"/>
      <c r="B478" s="33"/>
      <c r="C478" s="33"/>
      <c r="D478" s="161"/>
      <c r="E478" s="109"/>
      <c r="F478" s="109"/>
      <c r="G478" s="109"/>
      <c r="H478" s="109"/>
      <c r="I478" s="109"/>
      <c r="J478" s="109"/>
    </row>
    <row r="479" spans="1:10" s="1" customFormat="1" ht="15.9" customHeight="1">
      <c r="A479" s="44"/>
      <c r="B479" s="33"/>
      <c r="C479" s="33"/>
      <c r="D479" s="161"/>
      <c r="E479" s="109"/>
      <c r="F479" s="109"/>
      <c r="G479" s="109"/>
      <c r="H479" s="109"/>
      <c r="I479" s="44"/>
      <c r="J479" s="119"/>
    </row>
    <row r="480" spans="1:10" s="1" customFormat="1" ht="15.9" customHeight="1">
      <c r="A480" s="40"/>
      <c r="B480" s="44"/>
      <c r="C480" s="44"/>
      <c r="D480" s="84"/>
      <c r="E480" s="44"/>
      <c r="F480" s="44"/>
      <c r="G480" s="44"/>
      <c r="H480" s="44"/>
      <c r="I480" s="32"/>
      <c r="J480" s="40"/>
    </row>
    <row r="481" spans="1:10" s="1" customFormat="1" ht="15.9" customHeight="1">
      <c r="A481" s="27"/>
      <c r="B481" s="40"/>
      <c r="C481" s="44"/>
      <c r="D481" s="85"/>
      <c r="E481" s="40"/>
      <c r="F481" s="32"/>
      <c r="G481" s="40"/>
      <c r="H481" s="32"/>
      <c r="I481" s="24"/>
      <c r="J481" s="24"/>
    </row>
    <row r="482" spans="1:10" s="1" customFormat="1" ht="15.9" customHeight="1">
      <c r="A482" s="27"/>
      <c r="B482" s="33"/>
      <c r="C482" s="42"/>
      <c r="D482" s="161"/>
      <c r="E482" s="109"/>
      <c r="F482" s="109"/>
      <c r="G482" s="109"/>
      <c r="H482" s="42"/>
      <c r="I482" s="67"/>
      <c r="J482" s="165"/>
    </row>
    <row r="483" spans="1:10" s="1" customFormat="1" ht="15.9" customHeight="1">
      <c r="A483" s="27"/>
      <c r="B483" s="33"/>
      <c r="C483" s="163"/>
      <c r="D483" s="161"/>
      <c r="E483" s="109"/>
      <c r="F483" s="109"/>
      <c r="G483" s="109"/>
      <c r="H483" s="67"/>
      <c r="I483" s="38"/>
      <c r="J483" s="109"/>
    </row>
    <row r="484" spans="1:10" s="1" customFormat="1" ht="15.9" customHeight="1">
      <c r="A484" s="27"/>
      <c r="B484" s="33"/>
      <c r="C484" s="161"/>
      <c r="D484" s="161"/>
      <c r="E484" s="109"/>
      <c r="F484" s="109"/>
      <c r="G484" s="109"/>
      <c r="H484" s="38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33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46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161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B492" s="33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B495" s="33"/>
      <c r="C495" s="33"/>
      <c r="D495" s="161"/>
      <c r="E495" s="109"/>
      <c r="F495" s="109"/>
      <c r="G495" s="109"/>
      <c r="H495" s="109"/>
      <c r="I495" s="24"/>
      <c r="J495" s="24"/>
    </row>
    <row r="496" spans="1:10" s="1" customFormat="1" ht="15.9" customHeight="1">
      <c r="A496" s="27"/>
      <c r="D496" s="161"/>
      <c r="E496" s="109"/>
      <c r="F496" s="109"/>
      <c r="G496" s="33"/>
      <c r="H496" s="33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109"/>
      <c r="I499" s="24"/>
      <c r="J499" s="24"/>
    </row>
    <row r="500" spans="1:10" s="1" customFormat="1" ht="15.9" customHeight="1">
      <c r="A500" s="27"/>
      <c r="B500" s="33"/>
      <c r="C500" s="33"/>
      <c r="D500" s="161"/>
      <c r="E500" s="109"/>
      <c r="F500" s="109"/>
      <c r="G500" s="109"/>
      <c r="H500" s="42"/>
      <c r="I500" s="67"/>
      <c r="J500" s="165"/>
    </row>
    <row r="501" spans="1:10" s="1" customFormat="1" ht="15.9" customHeight="1">
      <c r="A501" s="27"/>
      <c r="B501" s="33"/>
      <c r="C501" s="47"/>
      <c r="D501" s="161"/>
      <c r="E501" s="109"/>
      <c r="F501" s="109"/>
      <c r="G501" s="109"/>
      <c r="H501" s="67"/>
      <c r="I501" s="38"/>
      <c r="J501" s="109"/>
    </row>
    <row r="502" spans="1:10" s="1" customFormat="1" ht="15.9" customHeight="1">
      <c r="A502" s="27"/>
      <c r="B502" s="33"/>
      <c r="C502" s="46"/>
      <c r="D502" s="161"/>
      <c r="E502" s="109"/>
      <c r="F502" s="109"/>
      <c r="G502" s="109"/>
      <c r="H502" s="38"/>
      <c r="I502" s="24"/>
      <c r="J502" s="24"/>
    </row>
    <row r="503" spans="1:10" s="1" customFormat="1" ht="15.9" customHeight="1">
      <c r="A503" s="27"/>
      <c r="B503" s="33"/>
      <c r="C503" s="161"/>
      <c r="D503" s="161"/>
      <c r="E503" s="109"/>
      <c r="F503" s="109"/>
      <c r="G503" s="109"/>
      <c r="H503" s="42"/>
      <c r="I503" s="67"/>
      <c r="J503" s="165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67"/>
      <c r="I504" s="38"/>
      <c r="J504" s="109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38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24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109"/>
      <c r="J512" s="24"/>
    </row>
    <row r="513" spans="1:21" s="1" customFormat="1" ht="15.9" customHeight="1">
      <c r="A513" s="27"/>
      <c r="B513" s="33"/>
      <c r="C513" s="33"/>
      <c r="D513" s="161"/>
      <c r="E513" s="109"/>
      <c r="F513" s="109"/>
      <c r="G513" s="109"/>
      <c r="H513" s="109"/>
      <c r="I513" s="43"/>
      <c r="J513" s="107"/>
    </row>
    <row r="514" spans="1:21" s="1" customFormat="1" ht="15.9" customHeight="1">
      <c r="A514" s="44"/>
      <c r="B514" s="44"/>
      <c r="C514" s="44"/>
      <c r="D514" s="84"/>
      <c r="E514" s="44"/>
      <c r="F514" s="44"/>
      <c r="G514" s="44"/>
      <c r="H514" s="44"/>
      <c r="I514" s="44"/>
      <c r="J514" s="119"/>
    </row>
    <row r="515" spans="1:21" s="1" customFormat="1" ht="15.9" customHeight="1">
      <c r="A515" s="44"/>
      <c r="B515" s="44"/>
      <c r="C515" s="44"/>
      <c r="D515" s="84"/>
      <c r="E515" s="44"/>
      <c r="F515" s="44"/>
      <c r="G515" s="44"/>
      <c r="H515" s="44"/>
      <c r="I515" s="44"/>
      <c r="J515" s="119"/>
    </row>
    <row r="516" spans="1:21" s="1" customFormat="1" ht="15.9" customHeight="1">
      <c r="B516" s="44"/>
      <c r="C516" s="44"/>
      <c r="D516" s="84"/>
      <c r="E516" s="44"/>
      <c r="F516" s="44"/>
      <c r="G516" s="44"/>
      <c r="H516" s="44"/>
    </row>
    <row r="517" spans="1:21" s="1" customFormat="1" ht="15.9" customHeight="1" thickBot="1"/>
    <row r="518" spans="1:21" s="1" customFormat="1" ht="24.9" customHeight="1" thickBot="1">
      <c r="A518" s="502" t="s">
        <v>401</v>
      </c>
      <c r="B518" s="503"/>
      <c r="C518" s="503"/>
      <c r="D518" s="503"/>
      <c r="E518" s="503"/>
      <c r="F518" s="503"/>
      <c r="G518" s="503"/>
      <c r="H518" s="503"/>
      <c r="I518" s="503"/>
      <c r="J518" s="504"/>
    </row>
    <row r="519" spans="1:21" s="1" customFormat="1" ht="35.1" customHeight="1" thickBot="1">
      <c r="A519" s="102" t="s">
        <v>2</v>
      </c>
      <c r="B519" s="103" t="s">
        <v>3</v>
      </c>
      <c r="C519" s="103" t="s">
        <v>3</v>
      </c>
      <c r="D519" s="104" t="s">
        <v>35</v>
      </c>
      <c r="E519" s="103" t="s">
        <v>5</v>
      </c>
      <c r="F519" s="339" t="s">
        <v>27</v>
      </c>
      <c r="G519" s="305"/>
      <c r="H519" s="104" t="s">
        <v>27</v>
      </c>
      <c r="I519" s="104" t="s">
        <v>26</v>
      </c>
      <c r="J519" s="115" t="s">
        <v>6</v>
      </c>
      <c r="N519" s="249" t="s">
        <v>3</v>
      </c>
      <c r="O519" s="249" t="s">
        <v>3</v>
      </c>
    </row>
    <row r="520" spans="1:21" s="1" customFormat="1" ht="15.9" customHeight="1">
      <c r="A520" s="123">
        <f>IF(C520="","",1)</f>
        <v>1</v>
      </c>
      <c r="B520" s="121" t="str">
        <f>IF($D$127=5,N520,IF($D$127=6,N521,IF($D$127=8,N522,IF($D$127=10,N523,IF($D$127=12,N524,IF($D$127=14,N525,IF($D$127=18,N526,IF($D$127=20,N527,IF($D$127=22,N528,)))))))))</f>
        <v>กระจก 6 mm (สูง) (กว้าง)</v>
      </c>
      <c r="C520" s="121" t="str">
        <f>IF($D$127=5,O520,IF($D$127=6,O521,IF($D$127=8,O522,IF($D$127=10,O523,IF($D$127=12,O524,IF($D$127=14,O525,IF($D$127=18,O526,IF($D$127=20,O527,IF($D$127=22,O528,)))))))))</f>
        <v>GLASS thk.6 mm (H) (W)</v>
      </c>
      <c r="D520" s="124">
        <f>$J$123-215</f>
        <v>2285</v>
      </c>
      <c r="E520" s="123" t="s">
        <v>11</v>
      </c>
      <c r="F520" s="527" t="s">
        <v>271</v>
      </c>
      <c r="G520" s="528"/>
      <c r="H520" s="123" t="s">
        <v>408</v>
      </c>
      <c r="I520" s="124">
        <f>(($J$126-182-(113.25*5))/6)-13</f>
        <v>445.625</v>
      </c>
      <c r="J520" s="151">
        <f>$J$120*6</f>
        <v>6</v>
      </c>
      <c r="M520" s="1">
        <f>ROW()</f>
        <v>520</v>
      </c>
      <c r="N520" s="19" t="s">
        <v>194</v>
      </c>
      <c r="O520" s="19" t="s">
        <v>195</v>
      </c>
    </row>
    <row r="521" spans="1:21" s="1" customFormat="1" ht="15.9" customHeight="1">
      <c r="A521" s="346"/>
      <c r="B521" s="295"/>
      <c r="C521" s="295"/>
      <c r="D521" s="296"/>
      <c r="E521" s="238"/>
      <c r="F521" s="251"/>
      <c r="G521" s="297"/>
      <c r="H521" s="238"/>
      <c r="I521" s="298"/>
      <c r="J521" s="299"/>
      <c r="M521" s="1">
        <f>ROW()</f>
        <v>521</v>
      </c>
      <c r="N521" s="19" t="s">
        <v>53</v>
      </c>
      <c r="O521" s="19" t="s">
        <v>54</v>
      </c>
    </row>
    <row r="522" spans="1:21" s="1" customFormat="1" ht="15.9" customHeight="1">
      <c r="A522" s="346"/>
      <c r="B522" s="295"/>
      <c r="C522" s="295"/>
      <c r="D522" s="296"/>
      <c r="E522" s="238"/>
      <c r="F522" s="251"/>
      <c r="G522" s="297"/>
      <c r="H522" s="238"/>
      <c r="I522" s="298"/>
      <c r="J522" s="299"/>
      <c r="M522" s="1">
        <f>ROW()</f>
        <v>522</v>
      </c>
      <c r="N522" s="19" t="s">
        <v>257</v>
      </c>
      <c r="O522" s="19" t="s">
        <v>258</v>
      </c>
    </row>
    <row r="523" spans="1:21" s="1" customFormat="1" ht="15.9" customHeight="1">
      <c r="A523" s="129" t="str">
        <f>IF(B523="","",+#REF!+1)</f>
        <v/>
      </c>
      <c r="B523" s="127"/>
      <c r="C523" s="127"/>
      <c r="D523" s="128"/>
      <c r="E523" s="129"/>
      <c r="F523" s="155"/>
      <c r="G523" s="157"/>
      <c r="H523" s="129"/>
      <c r="I523" s="144"/>
      <c r="J523" s="130"/>
      <c r="M523" s="1">
        <f>ROW()</f>
        <v>523</v>
      </c>
      <c r="N523" s="19" t="s">
        <v>259</v>
      </c>
      <c r="O523" s="19" t="s">
        <v>265</v>
      </c>
    </row>
    <row r="524" spans="1:21" s="1" customFormat="1" ht="15.9" customHeight="1">
      <c r="A524" s="135" t="str">
        <f>IF(B524="","",+A523+1)</f>
        <v/>
      </c>
      <c r="B524" s="133"/>
      <c r="C524" s="133"/>
      <c r="D524" s="134"/>
      <c r="E524" s="135"/>
      <c r="F524" s="158"/>
      <c r="G524" s="159"/>
      <c r="H524" s="135"/>
      <c r="I524" s="145"/>
      <c r="J524" s="136"/>
      <c r="M524" s="1">
        <f>ROW()</f>
        <v>524</v>
      </c>
      <c r="N524" s="19" t="s">
        <v>260</v>
      </c>
      <c r="O524" s="19" t="s">
        <v>266</v>
      </c>
    </row>
    <row r="525" spans="1:21" s="1" customFormat="1" ht="15.9" customHeight="1">
      <c r="A525" s="17"/>
      <c r="B525" s="56"/>
      <c r="C525" s="56"/>
      <c r="D525" s="30"/>
      <c r="E525" s="17"/>
      <c r="F525" s="17"/>
      <c r="G525" s="17"/>
      <c r="H525" s="109"/>
      <c r="I525" s="109"/>
      <c r="J525" s="24"/>
      <c r="M525" s="1">
        <f>ROW()</f>
        <v>525</v>
      </c>
      <c r="N525" s="19" t="s">
        <v>261</v>
      </c>
      <c r="O525" s="19" t="s">
        <v>267</v>
      </c>
    </row>
    <row r="526" spans="1:21">
      <c r="H526" s="294"/>
      <c r="I526" s="294"/>
      <c r="J526" s="99" t="str">
        <f>LEFT($J$111,11)&amp;"-05"</f>
        <v>FG-240-6P6R-05</v>
      </c>
      <c r="M526" s="1">
        <f>ROW()</f>
        <v>526</v>
      </c>
      <c r="N526" s="19" t="s">
        <v>262</v>
      </c>
      <c r="O526" s="19" t="s">
        <v>268</v>
      </c>
      <c r="P526" s="1"/>
      <c r="Q526" s="1"/>
      <c r="R526" s="1"/>
      <c r="S526" s="1"/>
      <c r="T526" s="1"/>
      <c r="U526" s="1"/>
    </row>
    <row r="527" spans="1:21">
      <c r="M527" s="1">
        <f>ROW()</f>
        <v>527</v>
      </c>
      <c r="N527" s="19" t="s">
        <v>263</v>
      </c>
      <c r="O527" s="19" t="s">
        <v>269</v>
      </c>
    </row>
    <row r="528" spans="1:21">
      <c r="M528" s="1">
        <f>ROW()</f>
        <v>528</v>
      </c>
      <c r="N528" s="19" t="s">
        <v>264</v>
      </c>
      <c r="O528" s="19" t="s">
        <v>270</v>
      </c>
    </row>
  </sheetData>
  <dataConsolidate function="product">
    <dataRefs count="1">
      <dataRef ref="O154:O162" sheet="240_2Panel(L)" r:id="rId1"/>
    </dataRefs>
  </dataConsolidate>
  <mergeCells count="44">
    <mergeCell ref="H161:H162"/>
    <mergeCell ref="A169:J169"/>
    <mergeCell ref="I166:J167"/>
    <mergeCell ref="I168:J168"/>
    <mergeCell ref="D163:D166"/>
    <mergeCell ref="D167:D168"/>
    <mergeCell ref="H163:H166"/>
    <mergeCell ref="H167:H168"/>
    <mergeCell ref="I162:J165"/>
    <mergeCell ref="I161:J161"/>
    <mergeCell ref="D161:D162"/>
    <mergeCell ref="A131:J131"/>
    <mergeCell ref="I154:J154"/>
    <mergeCell ref="I155:J155"/>
    <mergeCell ref="I156:J156"/>
    <mergeCell ref="D129:G129"/>
    <mergeCell ref="I157:J157"/>
    <mergeCell ref="I158:J158"/>
    <mergeCell ref="D159:D160"/>
    <mergeCell ref="H159:H160"/>
    <mergeCell ref="I159:J160"/>
    <mergeCell ref="H123:I124"/>
    <mergeCell ref="J123:J124"/>
    <mergeCell ref="A125:B125"/>
    <mergeCell ref="H126:I127"/>
    <mergeCell ref="J126:J127"/>
    <mergeCell ref="D123:G123"/>
    <mergeCell ref="D125:G125"/>
    <mergeCell ref="D127:G127"/>
    <mergeCell ref="A6:J6"/>
    <mergeCell ref="H120:I121"/>
    <mergeCell ref="J120:J121"/>
    <mergeCell ref="A117:J117"/>
    <mergeCell ref="D119:G119"/>
    <mergeCell ref="D121:G121"/>
    <mergeCell ref="F520:G520"/>
    <mergeCell ref="A518:J518"/>
    <mergeCell ref="A426:J426"/>
    <mergeCell ref="A319:J319"/>
    <mergeCell ref="A212:J212"/>
    <mergeCell ref="F329:G329"/>
    <mergeCell ref="F330:G330"/>
    <mergeCell ref="F335:G335"/>
    <mergeCell ref="C309:E309"/>
  </mergeCells>
  <dataValidations count="4">
    <dataValidation type="list" allowBlank="1" showInputMessage="1" showErrorMessage="1" sqref="D127:G127">
      <formula1>$N$120:$N$128</formula1>
    </dataValidation>
    <dataValidation type="list" allowBlank="1" showInputMessage="1" showErrorMessage="1" sqref="C205">
      <formula1>$O$171:$O$189</formula1>
    </dataValidation>
    <dataValidation type="list" allowBlank="1" showInputMessage="1" showErrorMessage="1" sqref="D123:G123">
      <formula1>$P$119:$P$128</formula1>
    </dataValidation>
    <dataValidation type="list" allowBlank="1" showInputMessage="1" showErrorMessage="1" sqref="D129:G129">
      <formula1>$O$120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4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6" max="9" man="1"/>
    <brk id="313" max="16383" man="1"/>
    <brk id="420" max="9" man="1"/>
  </rowBreaks>
  <drawing r:id="rId3"/>
  <legacyDrawing r:id="rId4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2">
    <tabColor theme="5" tint="-0.249977111117893"/>
  </sheetPr>
  <dimension ref="A1:X528"/>
  <sheetViews>
    <sheetView showGridLines="0" view="pageBreakPreview" topLeftCell="A130" zoomScale="75" zoomScaleNormal="75" zoomScaleSheetLayoutView="75" workbookViewId="0">
      <selection activeCell="I135" sqref="I135"/>
    </sheetView>
  </sheetViews>
  <sheetFormatPr defaultRowHeight="14.4" outlineLevelRow="1" outlineLevelCol="1"/>
  <cols>
    <col min="1" max="1" width="7" customWidth="1"/>
    <col min="2" max="2" width="40.6640625" customWidth="1"/>
    <col min="3" max="3" width="61.10937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6.6640625" customWidth="1"/>
    <col min="9" max="9" width="11.109375" bestFit="1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0.4414062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23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23"/>
      <c r="E3" s="223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181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/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>
      <c r="G55" s="10"/>
    </row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344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23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23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8">
      <c r="A118" s="12"/>
      <c r="C118" s="8"/>
      <c r="D118" s="15"/>
      <c r="E118" s="13"/>
      <c r="J118" s="222"/>
      <c r="K118" s="11"/>
      <c r="L118" s="56"/>
      <c r="M118" s="56"/>
      <c r="N118" s="243" t="s">
        <v>191</v>
      </c>
      <c r="O118" s="12" t="s">
        <v>227</v>
      </c>
      <c r="P118" s="247" t="s">
        <v>16</v>
      </c>
    </row>
    <row r="119" spans="1:16" s="1" customFormat="1" ht="15" customHeight="1">
      <c r="A119" s="12"/>
      <c r="C119" s="110" t="s">
        <v>635</v>
      </c>
      <c r="D119" s="524"/>
      <c r="E119" s="525"/>
      <c r="F119" s="525"/>
      <c r="G119" s="526"/>
      <c r="I119" s="16"/>
      <c r="J119" s="12"/>
      <c r="N119" s="244">
        <v>5</v>
      </c>
      <c r="O119" s="12" t="s">
        <v>243</v>
      </c>
      <c r="P119" s="335" t="s">
        <v>389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5">
        <v>6</v>
      </c>
      <c r="O120" s="12" t="s">
        <v>244</v>
      </c>
      <c r="P120" s="336" t="s">
        <v>390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8</v>
      </c>
      <c r="P121" s="336" t="s">
        <v>391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10</v>
      </c>
      <c r="P122" s="336" t="s">
        <v>392</v>
      </c>
    </row>
    <row r="123" spans="1:16" s="1" customFormat="1" ht="15" customHeight="1">
      <c r="A123" s="12"/>
      <c r="C123" s="110" t="s">
        <v>629</v>
      </c>
      <c r="D123" s="524" t="s">
        <v>15</v>
      </c>
      <c r="E123" s="525"/>
      <c r="F123" s="525"/>
      <c r="G123" s="526"/>
      <c r="H123" s="519" t="s">
        <v>638</v>
      </c>
      <c r="I123" s="520"/>
      <c r="J123" s="517">
        <v>2000</v>
      </c>
      <c r="N123" s="245">
        <v>12</v>
      </c>
      <c r="P123" s="335" t="s">
        <v>393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14</v>
      </c>
      <c r="P124" s="335" t="s">
        <v>394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220"/>
      <c r="L125" s="77"/>
      <c r="N125" s="245">
        <v>18</v>
      </c>
      <c r="P125" s="335" t="s">
        <v>395</v>
      </c>
    </row>
    <row r="126" spans="1:16" s="1" customFormat="1" ht="15" customHeight="1">
      <c r="A126" s="222"/>
      <c r="B126" s="222"/>
      <c r="C126" s="423" t="s">
        <v>631</v>
      </c>
      <c r="D126" s="15"/>
      <c r="H126" s="519" t="s">
        <v>639</v>
      </c>
      <c r="I126" s="520"/>
      <c r="J126" s="517">
        <v>2000</v>
      </c>
      <c r="K126" s="220"/>
      <c r="L126" s="77"/>
      <c r="N126" s="245">
        <v>20</v>
      </c>
      <c r="P126" s="335" t="s">
        <v>396</v>
      </c>
    </row>
    <row r="127" spans="1:16" s="1" customFormat="1" ht="15" customHeight="1">
      <c r="A127" s="222"/>
      <c r="B127" s="222"/>
      <c r="C127" s="110" t="s">
        <v>633</v>
      </c>
      <c r="D127" s="534">
        <v>5</v>
      </c>
      <c r="E127" s="535"/>
      <c r="F127" s="535"/>
      <c r="G127" s="536"/>
      <c r="H127" s="520"/>
      <c r="I127" s="520"/>
      <c r="J127" s="518"/>
      <c r="N127" s="245">
        <v>22</v>
      </c>
      <c r="P127" s="335" t="s">
        <v>397</v>
      </c>
    </row>
    <row r="128" spans="1:16" s="1" customFormat="1" ht="18.75" customHeight="1">
      <c r="C128" s="423" t="s">
        <v>632</v>
      </c>
      <c r="I128" s="12"/>
      <c r="J128" s="12"/>
    </row>
    <row r="129" spans="1:23" s="1" customFormat="1" ht="15" customHeight="1">
      <c r="A129" s="88" t="str">
        <f>A18</f>
        <v>240-7 Panel (1L6R)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1940</v>
      </c>
      <c r="J133" s="125">
        <f t="shared" ref="J133:J153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14</v>
      </c>
      <c r="U133" s="283" t="s">
        <v>300</v>
      </c>
      <c r="V133" s="285">
        <f>($J$126-185-(113.25*6))/7</f>
        <v>162.21428571428572</v>
      </c>
      <c r="W133" s="286">
        <f>$J$120*T133</f>
        <v>14</v>
      </c>
    </row>
    <row r="134" spans="1:23" s="1" customFormat="1" ht="18" customHeight="1">
      <c r="A134" s="143">
        <f t="shared" ref="A134:A153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1914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14</v>
      </c>
      <c r="U134" s="129" t="s">
        <v>300</v>
      </c>
      <c r="V134" s="144">
        <f t="shared" ref="V134:V135" si="2">($J$126-185-(113.25*6))/7</f>
        <v>162.21428571428572</v>
      </c>
      <c r="W134" s="131">
        <f t="shared" ref="W134:W135" si="3">$J$120*T134</f>
        <v>14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1940</v>
      </c>
      <c r="J135" s="131">
        <f t="shared" ref="J135:J139" si="4">$J$120*G135</f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14</v>
      </c>
      <c r="U135" s="135" t="s">
        <v>300</v>
      </c>
      <c r="V135" s="145">
        <f t="shared" si="2"/>
        <v>162.21428571428572</v>
      </c>
      <c r="W135" s="293">
        <f t="shared" si="3"/>
        <v>14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1940</v>
      </c>
      <c r="J136" s="131">
        <f t="shared" si="4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14</v>
      </c>
      <c r="U136" s="283" t="s">
        <v>64</v>
      </c>
      <c r="V136" s="288">
        <f>$J$123-242</f>
        <v>1758</v>
      </c>
      <c r="W136" s="286">
        <f>$J$120*T136</f>
        <v>14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2000</v>
      </c>
      <c r="J137" s="131">
        <f t="shared" si="4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14</v>
      </c>
      <c r="U137" s="129" t="s">
        <v>64</v>
      </c>
      <c r="V137" s="130">
        <f>$J$123-242</f>
        <v>1758</v>
      </c>
      <c r="W137" s="131">
        <f t="shared" ref="W137:W138" si="5">$J$120*T137</f>
        <v>14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2000</v>
      </c>
      <c r="J138" s="131">
        <f t="shared" si="4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14</v>
      </c>
      <c r="U138" s="135" t="s">
        <v>64</v>
      </c>
      <c r="V138" s="136">
        <f>$J$123-242</f>
        <v>1758</v>
      </c>
      <c r="W138" s="293">
        <f t="shared" si="5"/>
        <v>14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1904</v>
      </c>
      <c r="J139" s="131">
        <f t="shared" si="4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1904</v>
      </c>
      <c r="J140" s="131">
        <f t="shared" ref="J140" si="6">$J$120*G140</f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7</v>
      </c>
      <c r="H141" s="143" t="s">
        <v>300</v>
      </c>
      <c r="I141" s="178">
        <f>($J$126-185-(113.25*6))/7</f>
        <v>162.21428571428572</v>
      </c>
      <c r="J141" s="131">
        <f t="shared" ref="J141:J149" si="7">$J$120*G141</f>
        <v>7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7</v>
      </c>
      <c r="H142" s="143" t="s">
        <v>300</v>
      </c>
      <c r="I142" s="178">
        <f>($J$126-185-(113.25*6))/7</f>
        <v>162.21428571428572</v>
      </c>
      <c r="J142" s="131">
        <f t="shared" si="7"/>
        <v>7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10</v>
      </c>
      <c r="H143" s="143" t="s">
        <v>63</v>
      </c>
      <c r="I143" s="130">
        <f>$J$123-92</f>
        <v>1908</v>
      </c>
      <c r="J143" s="131">
        <f t="shared" si="7"/>
        <v>10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496</v>
      </c>
      <c r="G144" s="143">
        <v>3</v>
      </c>
      <c r="H144" s="143" t="s">
        <v>63</v>
      </c>
      <c r="I144" s="130">
        <f t="shared" ref="I144:I145" si="8">$J$123-92</f>
        <v>1908</v>
      </c>
      <c r="J144" s="131">
        <f t="shared" si="7"/>
        <v>3</v>
      </c>
      <c r="N144" s="98"/>
    </row>
    <row r="145" spans="1:14" s="1" customFormat="1" ht="18" customHeight="1">
      <c r="A145" s="143">
        <f t="shared" si="1"/>
        <v>13</v>
      </c>
      <c r="B145" s="140" t="s">
        <v>116</v>
      </c>
      <c r="C145" s="140" t="s">
        <v>99</v>
      </c>
      <c r="D145" s="139" t="s">
        <v>50</v>
      </c>
      <c r="E145" s="143">
        <v>1.1060000000000001</v>
      </c>
      <c r="F145" s="139" t="s">
        <v>506</v>
      </c>
      <c r="G145" s="143">
        <v>1</v>
      </c>
      <c r="H145" s="143" t="s">
        <v>63</v>
      </c>
      <c r="I145" s="130">
        <f t="shared" si="8"/>
        <v>1908</v>
      </c>
      <c r="J145" s="131">
        <f t="shared" si="7"/>
        <v>1</v>
      </c>
      <c r="N145" s="98"/>
    </row>
    <row r="146" spans="1:14" s="1" customFormat="1" ht="18" customHeight="1">
      <c r="A146" s="143">
        <f t="shared" si="1"/>
        <v>14</v>
      </c>
      <c r="B146" s="140" t="str">
        <f t="shared" ref="B146:I146" si="9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40" t="str">
        <f t="shared" si="9"/>
        <v>5-6mm GLAZING BEAD HORIZONTAL</v>
      </c>
      <c r="D146" s="140" t="str">
        <f t="shared" si="9"/>
        <v>B24008</v>
      </c>
      <c r="E146" s="140">
        <f t="shared" si="9"/>
        <v>0.23100000000000001</v>
      </c>
      <c r="F146" s="140" t="str">
        <f t="shared" si="9"/>
        <v>B24008-001</v>
      </c>
      <c r="G146" s="143">
        <f t="shared" si="9"/>
        <v>14</v>
      </c>
      <c r="H146" s="129" t="str">
        <f t="shared" si="9"/>
        <v>(W-185-(113.25 × 6))/7</v>
      </c>
      <c r="I146" s="178">
        <f t="shared" si="9"/>
        <v>162.21428571428572</v>
      </c>
      <c r="J146" s="131">
        <f t="shared" si="7"/>
        <v>14</v>
      </c>
      <c r="N146" s="98"/>
    </row>
    <row r="147" spans="1:14" s="1" customFormat="1" ht="18" customHeight="1">
      <c r="A147" s="143">
        <f t="shared" si="1"/>
        <v>15</v>
      </c>
      <c r="B147" s="140" t="str">
        <f t="shared" ref="B147:I147" si="10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40" t="str">
        <f t="shared" si="10"/>
        <v>5-6mm GLAZING BEAD VERTICAL</v>
      </c>
      <c r="D147" s="140" t="str">
        <f t="shared" si="10"/>
        <v>B24008</v>
      </c>
      <c r="E147" s="140">
        <f t="shared" si="10"/>
        <v>0.23100000000000001</v>
      </c>
      <c r="F147" s="140" t="str">
        <f t="shared" si="10"/>
        <v>B24008-002</v>
      </c>
      <c r="G147" s="143">
        <f t="shared" si="10"/>
        <v>14</v>
      </c>
      <c r="H147" s="129" t="str">
        <f t="shared" si="10"/>
        <v>H-242</v>
      </c>
      <c r="I147" s="144">
        <f t="shared" si="10"/>
        <v>1758</v>
      </c>
      <c r="J147" s="131">
        <f t="shared" si="7"/>
        <v>14</v>
      </c>
      <c r="N147" s="98"/>
    </row>
    <row r="148" spans="1:14" s="1" customFormat="1" ht="18" customHeight="1">
      <c r="A148" s="143">
        <f t="shared" si="1"/>
        <v>16</v>
      </c>
      <c r="B148" s="140" t="s">
        <v>125</v>
      </c>
      <c r="C148" s="140" t="s">
        <v>124</v>
      </c>
      <c r="D148" s="139" t="s">
        <v>123</v>
      </c>
      <c r="E148" s="143"/>
      <c r="F148" s="139" t="s">
        <v>362</v>
      </c>
      <c r="G148" s="143">
        <v>1</v>
      </c>
      <c r="H148" s="143" t="s">
        <v>63</v>
      </c>
      <c r="I148" s="130">
        <f>$J$123-92</f>
        <v>1908</v>
      </c>
      <c r="J148" s="131">
        <f t="shared" si="7"/>
        <v>1</v>
      </c>
      <c r="N148" s="98"/>
    </row>
    <row r="149" spans="1:14" s="1" customFormat="1" ht="18" customHeight="1">
      <c r="A149" s="143">
        <f t="shared" si="1"/>
        <v>17</v>
      </c>
      <c r="B149" s="140" t="s">
        <v>125</v>
      </c>
      <c r="C149" s="140" t="s">
        <v>124</v>
      </c>
      <c r="D149" s="139" t="s">
        <v>123</v>
      </c>
      <c r="E149" s="143"/>
      <c r="F149" s="139" t="s">
        <v>363</v>
      </c>
      <c r="G149" s="143">
        <v>1</v>
      </c>
      <c r="H149" s="143" t="s">
        <v>63</v>
      </c>
      <c r="I149" s="130">
        <f>$J$123-92</f>
        <v>1908</v>
      </c>
      <c r="J149" s="131">
        <f t="shared" si="7"/>
        <v>1</v>
      </c>
      <c r="N149" s="98"/>
    </row>
    <row r="150" spans="1:14" s="1" customFormat="1" ht="18" customHeight="1">
      <c r="A150" s="143" t="str">
        <f t="shared" si="1"/>
        <v/>
      </c>
      <c r="B150" s="140"/>
      <c r="C150" s="140"/>
      <c r="D150" s="139"/>
      <c r="E150" s="143"/>
      <c r="F150" s="139"/>
      <c r="G150" s="143"/>
      <c r="H150" s="143"/>
      <c r="I150" s="130"/>
      <c r="J150" s="131"/>
      <c r="N150" s="98"/>
    </row>
    <row r="151" spans="1:14" s="1" customFormat="1" ht="18" customHeight="1">
      <c r="A151" s="143" t="str">
        <f t="shared" si="1"/>
        <v/>
      </c>
      <c r="B151" s="140"/>
      <c r="C151" s="140"/>
      <c r="D151" s="139"/>
      <c r="E151" s="143"/>
      <c r="F151" s="139"/>
      <c r="G151" s="143"/>
      <c r="H151" s="143"/>
      <c r="I151" s="130"/>
      <c r="J151" s="131"/>
      <c r="N151" s="98"/>
    </row>
    <row r="152" spans="1:14" s="1" customFormat="1" ht="18" customHeight="1">
      <c r="A152" s="143" t="str">
        <f t="shared" si="1"/>
        <v/>
      </c>
      <c r="B152" s="127"/>
      <c r="C152" s="127"/>
      <c r="D152" s="128"/>
      <c r="E152" s="129"/>
      <c r="F152" s="128"/>
      <c r="G152" s="129"/>
      <c r="H152" s="129"/>
      <c r="I152" s="144"/>
      <c r="J152" s="131">
        <f t="shared" si="0"/>
        <v>0</v>
      </c>
      <c r="N152" s="98"/>
    </row>
    <row r="153" spans="1:14" s="1" customFormat="1" ht="18" customHeight="1" thickBot="1">
      <c r="A153" s="143" t="str">
        <f t="shared" si="1"/>
        <v/>
      </c>
      <c r="B153" s="167"/>
      <c r="C153" s="167"/>
      <c r="D153" s="168"/>
      <c r="E153" s="166"/>
      <c r="F153" s="168"/>
      <c r="G153" s="166"/>
      <c r="H153" s="166"/>
      <c r="I153" s="171"/>
      <c r="J153" s="172">
        <f t="shared" si="0"/>
        <v>0</v>
      </c>
    </row>
    <row r="154" spans="1:14" s="1" customFormat="1" ht="27" outlineLevel="1" thickBot="1">
      <c r="A154" s="169" t="s">
        <v>2</v>
      </c>
      <c r="B154" s="169" t="s">
        <v>29</v>
      </c>
      <c r="C154" s="169" t="s">
        <v>3</v>
      </c>
      <c r="D154" s="169" t="s">
        <v>4</v>
      </c>
      <c r="E154" s="169" t="s">
        <v>5</v>
      </c>
      <c r="F154" s="177" t="s">
        <v>85</v>
      </c>
      <c r="G154" s="169" t="s">
        <v>22</v>
      </c>
      <c r="H154" s="170" t="s">
        <v>23</v>
      </c>
      <c r="I154" s="540"/>
      <c r="J154" s="541"/>
    </row>
    <row r="155" spans="1:14" s="1" customFormat="1" ht="15" customHeight="1" outlineLevel="1">
      <c r="A155" s="21">
        <f>IF(B155="","",1)</f>
        <v>1</v>
      </c>
      <c r="B155" s="173" t="str">
        <f t="shared" ref="B155:C161" si="11">B133</f>
        <v>เฟรมบน</v>
      </c>
      <c r="C155" s="173" t="str">
        <f t="shared" si="11"/>
        <v>HEAD</v>
      </c>
      <c r="D155" s="174" t="str">
        <f>VLOOKUP(C155,$C$133:$H$153,2,0)</f>
        <v>B24001</v>
      </c>
      <c r="E155" s="175">
        <f t="shared" ref="E155:E161" si="12">VLOOKUP(C155,$C$133:$H$153,3,0)</f>
        <v>1.603</v>
      </c>
      <c r="F155" s="353">
        <f>VLOOKUP(C155,$C$133:$J$153,7,0)</f>
        <v>1940</v>
      </c>
      <c r="G155" s="175">
        <f t="shared" ref="G155:G161" si="13">VLOOKUP(C155,$C$133:$J$153,8,0)</f>
        <v>1</v>
      </c>
      <c r="H155" s="191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ref="A156" si="14">IF(B156="","",+A155+1)</f>
        <v>2</v>
      </c>
      <c r="B156" s="173" t="str">
        <f t="shared" si="11"/>
        <v>บังใบบน</v>
      </c>
      <c r="C156" s="173" t="str">
        <f t="shared" si="11"/>
        <v>DOOR STOP HEAD</v>
      </c>
      <c r="D156" s="174" t="str">
        <f>VLOOKUP(C156,$C$133:$H$153,2,0)</f>
        <v>B24002</v>
      </c>
      <c r="E156" s="175">
        <f t="shared" si="12"/>
        <v>0.27800000000000002</v>
      </c>
      <c r="F156" s="353">
        <f t="shared" ref="F156:F161" si="15">VLOOKUP(C156,$C$133:$I$153,7,0)</f>
        <v>1914</v>
      </c>
      <c r="G156" s="175">
        <f t="shared" si="13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ref="A157:A161" si="16">IF(B157="","",+A156+1)</f>
        <v>3</v>
      </c>
      <c r="B157" s="173" t="str">
        <f t="shared" si="11"/>
        <v xml:space="preserve">เฟรมล่าง </v>
      </c>
      <c r="C157" s="173" t="str">
        <f t="shared" si="11"/>
        <v>SILL</v>
      </c>
      <c r="D157" s="174" t="str">
        <f>VLOOKUP(C157,$C$133:$H$153,2,0)</f>
        <v>B24003</v>
      </c>
      <c r="E157" s="175">
        <f t="shared" si="12"/>
        <v>1.603</v>
      </c>
      <c r="F157" s="353">
        <f t="shared" si="15"/>
        <v>1940</v>
      </c>
      <c r="G157" s="175">
        <f t="shared" si="13"/>
        <v>1</v>
      </c>
      <c r="H157" s="192">
        <f t="shared" ref="H157:H158" si="17">ROUNDUP((F157*G157)/6400,0)</f>
        <v>1</v>
      </c>
      <c r="I157" s="501"/>
      <c r="J157" s="501"/>
    </row>
    <row r="158" spans="1:14" s="1" customFormat="1" ht="15" customHeight="1" outlineLevel="1">
      <c r="A158" s="18">
        <f t="shared" si="16"/>
        <v>4</v>
      </c>
      <c r="B158" s="173" t="str">
        <f t="shared" si="11"/>
        <v>ตัวตับธรณี</v>
      </c>
      <c r="C158" s="173" t="str">
        <f t="shared" si="11"/>
        <v>DOOR STOP SILL</v>
      </c>
      <c r="D158" s="174" t="str">
        <f>VLOOKUP(C158,$C$133:$H$153,2,0)</f>
        <v>B24004</v>
      </c>
      <c r="E158" s="175">
        <f t="shared" si="12"/>
        <v>0.51600000000000001</v>
      </c>
      <c r="F158" s="353">
        <f t="shared" si="15"/>
        <v>1940</v>
      </c>
      <c r="G158" s="175">
        <f t="shared" si="13"/>
        <v>1</v>
      </c>
      <c r="H158" s="192">
        <f t="shared" si="17"/>
        <v>1</v>
      </c>
      <c r="I158" s="501"/>
      <c r="J158" s="501"/>
    </row>
    <row r="159" spans="1:14" s="1" customFormat="1" ht="15" customHeight="1" outlineLevel="1">
      <c r="A159" s="18">
        <f t="shared" si="16"/>
        <v>5</v>
      </c>
      <c r="B159" s="173" t="str">
        <f t="shared" si="11"/>
        <v>เฟรมข้าง (ซ้าย)</v>
      </c>
      <c r="C159" s="173" t="str">
        <f t="shared" si="11"/>
        <v>JAMB (L)</v>
      </c>
      <c r="D159" s="508" t="str">
        <f>VLOOKUP(C159,$C$133:$H$153,2,0)</f>
        <v>B24005</v>
      </c>
      <c r="E159" s="175">
        <f t="shared" si="12"/>
        <v>0.89300000000000002</v>
      </c>
      <c r="F159" s="353">
        <f t="shared" si="15"/>
        <v>2000</v>
      </c>
      <c r="G159" s="175">
        <f t="shared" si="13"/>
        <v>1</v>
      </c>
      <c r="H159" s="516">
        <f>ROUNDUP(((F159*G159)+(F160*G160))/6400,0)</f>
        <v>1</v>
      </c>
      <c r="I159" s="506"/>
      <c r="J159" s="506"/>
    </row>
    <row r="160" spans="1:14" s="1" customFormat="1" ht="15" customHeight="1" outlineLevel="1">
      <c r="A160" s="18">
        <f t="shared" si="16"/>
        <v>6</v>
      </c>
      <c r="B160" s="173" t="str">
        <f t="shared" si="11"/>
        <v>เฟรมข้าง (ขวา)</v>
      </c>
      <c r="C160" s="173" t="str">
        <f t="shared" si="11"/>
        <v>JAMB (R)</v>
      </c>
      <c r="D160" s="509"/>
      <c r="E160" s="175">
        <f t="shared" si="12"/>
        <v>0.89300000000000002</v>
      </c>
      <c r="F160" s="353">
        <f t="shared" si="15"/>
        <v>2000</v>
      </c>
      <c r="G160" s="175">
        <f t="shared" si="13"/>
        <v>1</v>
      </c>
      <c r="H160" s="516"/>
      <c r="I160" s="506"/>
      <c r="J160" s="506"/>
    </row>
    <row r="161" spans="1:23" s="1" customFormat="1" ht="15" customHeight="1" outlineLevel="1">
      <c r="A161" s="18">
        <f t="shared" si="16"/>
        <v>7</v>
      </c>
      <c r="B161" s="173" t="str">
        <f t="shared" si="11"/>
        <v>บังใบข้าง (ซ้าย)</v>
      </c>
      <c r="C161" s="173" t="str">
        <f t="shared" si="11"/>
        <v>DOOR STOP JAMB (L)</v>
      </c>
      <c r="D161" s="508" t="str">
        <f>VLOOKUP(C161,$C$133:$H$153,2,0)</f>
        <v>B24006</v>
      </c>
      <c r="E161" s="175">
        <f t="shared" si="12"/>
        <v>0.23499999999999999</v>
      </c>
      <c r="F161" s="353">
        <f t="shared" si="15"/>
        <v>1904</v>
      </c>
      <c r="G161" s="175">
        <f t="shared" si="13"/>
        <v>1</v>
      </c>
      <c r="H161" s="516">
        <f>ROUNDUP(((F161*G161)+(F162*G162))/6400,0)</f>
        <v>1</v>
      </c>
      <c r="I161" s="501"/>
      <c r="J161" s="501"/>
    </row>
    <row r="162" spans="1:23" s="1" customFormat="1" ht="15" customHeight="1" outlineLevel="1">
      <c r="A162" s="18">
        <f t="shared" ref="A162:A171" si="18">IF(B162="","",+A161+1)</f>
        <v>8</v>
      </c>
      <c r="B162" s="173" t="str">
        <f t="shared" ref="B162:C162" si="19">B140</f>
        <v>บังใบข้าง (ขวา)</v>
      </c>
      <c r="C162" s="173" t="str">
        <f t="shared" si="19"/>
        <v>DOOR STOP JAMB (R)</v>
      </c>
      <c r="D162" s="509"/>
      <c r="E162" s="175">
        <f t="shared" ref="E162:E171" si="20">VLOOKUP(C162,$C$133:$H$153,3,0)</f>
        <v>0.23499999999999999</v>
      </c>
      <c r="F162" s="353">
        <f t="shared" ref="F162:F171" si="21">VLOOKUP(C162,$C$133:$I$153,7,0)</f>
        <v>1904</v>
      </c>
      <c r="G162" s="175">
        <f t="shared" ref="G162:G171" si="22">VLOOKUP(C162,$C$133:$J$153,8,0)</f>
        <v>1</v>
      </c>
      <c r="H162" s="516"/>
      <c r="I162" s="506"/>
      <c r="J162" s="506"/>
    </row>
    <row r="163" spans="1:23" s="1" customFormat="1" ht="13.8" outlineLevel="1">
      <c r="A163" s="18">
        <f t="shared" si="18"/>
        <v>9</v>
      </c>
      <c r="B163" s="173" t="str">
        <f t="shared" ref="B163:C163" si="23">B141</f>
        <v>ขวางบน</v>
      </c>
      <c r="C163" s="173" t="str">
        <f t="shared" si="23"/>
        <v>SASH (Hor) (T)</v>
      </c>
      <c r="D163" s="508" t="str">
        <f t="shared" ref="D163:D170" si="24">VLOOKUP(C163,$C$133:$H$153,2,0)</f>
        <v>B24007</v>
      </c>
      <c r="E163" s="175">
        <f t="shared" si="20"/>
        <v>1.1060000000000001</v>
      </c>
      <c r="F163" s="353">
        <f t="shared" si="21"/>
        <v>162.21428571428572</v>
      </c>
      <c r="G163" s="175">
        <f t="shared" si="22"/>
        <v>7</v>
      </c>
      <c r="H163" s="512">
        <f>ROUNDUP(((F163*G163)+(F164*G164)+(F165*G165)+(F166*G166)+(F167*G167))/6400,0)</f>
        <v>5</v>
      </c>
      <c r="I163" s="506"/>
      <c r="J163" s="506"/>
    </row>
    <row r="164" spans="1:23" s="1" customFormat="1" ht="13.8" outlineLevel="1">
      <c r="A164" s="18">
        <f t="shared" si="18"/>
        <v>10</v>
      </c>
      <c r="B164" s="173" t="str">
        <f t="shared" ref="B164:C164" si="25">B142</f>
        <v>ขวางล่าง</v>
      </c>
      <c r="C164" s="173" t="str">
        <f t="shared" si="25"/>
        <v>SASH (Hor) (B)</v>
      </c>
      <c r="D164" s="510"/>
      <c r="E164" s="175">
        <f t="shared" si="20"/>
        <v>1.1060000000000001</v>
      </c>
      <c r="F164" s="353">
        <f t="shared" si="21"/>
        <v>162.21428571428572</v>
      </c>
      <c r="G164" s="175">
        <f t="shared" si="22"/>
        <v>7</v>
      </c>
      <c r="H164" s="514"/>
      <c r="I164" s="506"/>
      <c r="J164" s="506"/>
    </row>
    <row r="165" spans="1:23" s="1" customFormat="1" ht="13.8" outlineLevel="1">
      <c r="A165" s="18">
        <f t="shared" si="18"/>
        <v>11</v>
      </c>
      <c r="B165" s="173" t="str">
        <f t="shared" ref="B165:C165" si="26">B143</f>
        <v>เสา</v>
      </c>
      <c r="C165" s="173" t="str">
        <f t="shared" si="26"/>
        <v xml:space="preserve">SASH (Ver) </v>
      </c>
      <c r="D165" s="510"/>
      <c r="E165" s="175">
        <f t="shared" si="20"/>
        <v>1.1060000000000001</v>
      </c>
      <c r="F165" s="353">
        <f t="shared" si="21"/>
        <v>1908</v>
      </c>
      <c r="G165" s="175">
        <f t="shared" si="22"/>
        <v>10</v>
      </c>
      <c r="H165" s="514"/>
      <c r="I165" s="506"/>
      <c r="J165" s="506"/>
    </row>
    <row r="166" spans="1:23" s="1" customFormat="1" ht="13.8" outlineLevel="1">
      <c r="A166" s="18">
        <f t="shared" si="18"/>
        <v>12</v>
      </c>
      <c r="B166" s="173" t="str">
        <f t="shared" ref="B166:C166" si="27">B144</f>
        <v>เสากุญแจ</v>
      </c>
      <c r="C166" s="173" t="str">
        <f t="shared" si="27"/>
        <v xml:space="preserve">SASH (Ver) LOCK </v>
      </c>
      <c r="D166" s="510"/>
      <c r="E166" s="175">
        <f t="shared" si="20"/>
        <v>1.1060000000000001</v>
      </c>
      <c r="F166" s="353">
        <f t="shared" si="21"/>
        <v>1908</v>
      </c>
      <c r="G166" s="175">
        <f t="shared" si="22"/>
        <v>3</v>
      </c>
      <c r="H166" s="514"/>
      <c r="I166" s="506"/>
      <c r="J166" s="506"/>
    </row>
    <row r="167" spans="1:23" s="1" customFormat="1" ht="15" customHeight="1" outlineLevel="1">
      <c r="A167" s="18">
        <f t="shared" si="18"/>
        <v>13</v>
      </c>
      <c r="B167" s="173" t="str">
        <f t="shared" ref="B167:C167" si="28">B145</f>
        <v>เสากุญแจมือจับ</v>
      </c>
      <c r="C167" s="173" t="str">
        <f t="shared" si="28"/>
        <v>SASH (Ver) LOCK HANDLE</v>
      </c>
      <c r="D167" s="509"/>
      <c r="E167" s="175">
        <f t="shared" si="20"/>
        <v>1.1060000000000001</v>
      </c>
      <c r="F167" s="353">
        <f t="shared" si="21"/>
        <v>1908</v>
      </c>
      <c r="G167" s="175">
        <f t="shared" si="22"/>
        <v>1</v>
      </c>
      <c r="H167" s="515"/>
      <c r="I167" s="506"/>
      <c r="J167" s="506"/>
    </row>
    <row r="168" spans="1:23" s="1" customFormat="1" ht="13.8" outlineLevel="1">
      <c r="A168" s="18">
        <f t="shared" si="18"/>
        <v>14</v>
      </c>
      <c r="B168" s="173" t="str">
        <f t="shared" ref="B168:C168" si="29">B146</f>
        <v>5-6mm คิ้วตบกระจกแนวนอน</v>
      </c>
      <c r="C168" s="173" t="str">
        <f t="shared" si="29"/>
        <v>5-6mm GLAZING BEAD HORIZONTAL</v>
      </c>
      <c r="D168" s="508" t="str">
        <f t="shared" si="24"/>
        <v>B24008</v>
      </c>
      <c r="E168" s="175">
        <f t="shared" si="20"/>
        <v>0.23100000000000001</v>
      </c>
      <c r="F168" s="353">
        <f t="shared" si="21"/>
        <v>162.21428571428572</v>
      </c>
      <c r="G168" s="175">
        <f t="shared" si="22"/>
        <v>14</v>
      </c>
      <c r="H168" s="516">
        <f>ROUNDUP(((F168*G168)+(F169*G169))/6400,0)</f>
        <v>5</v>
      </c>
      <c r="I168" s="501"/>
      <c r="J168" s="501"/>
    </row>
    <row r="169" spans="1:23" s="1" customFormat="1" ht="15" customHeight="1" outlineLevel="1">
      <c r="A169" s="18">
        <f t="shared" si="18"/>
        <v>15</v>
      </c>
      <c r="B169" s="173" t="str">
        <f t="shared" ref="B169:C169" si="30">B147</f>
        <v>5-6mm คิ้วตบกระจกแนวตั้ง</v>
      </c>
      <c r="C169" s="173" t="str">
        <f t="shared" si="30"/>
        <v>5-6mm GLAZING BEAD VERTICAL</v>
      </c>
      <c r="D169" s="509"/>
      <c r="E169" s="175">
        <f t="shared" si="20"/>
        <v>0.23100000000000001</v>
      </c>
      <c r="F169" s="353">
        <f t="shared" si="21"/>
        <v>1758</v>
      </c>
      <c r="G169" s="175">
        <f t="shared" si="22"/>
        <v>14</v>
      </c>
      <c r="H169" s="516"/>
      <c r="I169" s="224"/>
      <c r="J169" s="224"/>
    </row>
    <row r="170" spans="1:23" s="1" customFormat="1" ht="13.8" outlineLevel="1">
      <c r="A170" s="18">
        <f t="shared" si="18"/>
        <v>16</v>
      </c>
      <c r="B170" s="173" t="str">
        <f t="shared" ref="B170:C170" si="31">B148</f>
        <v>บังใบ</v>
      </c>
      <c r="C170" s="173" t="str">
        <f t="shared" si="31"/>
        <v>SASH STOP</v>
      </c>
      <c r="D170" s="508" t="str">
        <f t="shared" si="24"/>
        <v>B24009</v>
      </c>
      <c r="E170" s="175">
        <f t="shared" si="20"/>
        <v>0</v>
      </c>
      <c r="F170" s="353">
        <f t="shared" si="21"/>
        <v>1908</v>
      </c>
      <c r="G170" s="175">
        <f t="shared" si="22"/>
        <v>1</v>
      </c>
      <c r="H170" s="516">
        <f>ROUNDUP(((F170*G170)+(F171*G171))/6400,0)</f>
        <v>1</v>
      </c>
      <c r="I170" s="224"/>
      <c r="J170" s="224"/>
    </row>
    <row r="171" spans="1:23" s="1" customFormat="1" outlineLevel="1" thickBot="1">
      <c r="A171" s="18">
        <f t="shared" si="18"/>
        <v>17</v>
      </c>
      <c r="B171" s="173" t="str">
        <f t="shared" ref="B171:C171" si="32">B149</f>
        <v>บังใบ</v>
      </c>
      <c r="C171" s="173" t="str">
        <f t="shared" si="32"/>
        <v>SASH STOP</v>
      </c>
      <c r="D171" s="511"/>
      <c r="E171" s="175">
        <f t="shared" si="20"/>
        <v>0</v>
      </c>
      <c r="F171" s="353">
        <f t="shared" si="21"/>
        <v>1908</v>
      </c>
      <c r="G171" s="175">
        <f t="shared" si="22"/>
        <v>1</v>
      </c>
      <c r="H171" s="516"/>
      <c r="I171" s="224"/>
      <c r="J171" s="224"/>
    </row>
    <row r="172" spans="1:23" s="1" customFormat="1" ht="24.9" customHeight="1" thickBot="1">
      <c r="A172" s="529" t="s">
        <v>9</v>
      </c>
      <c r="B172" s="530"/>
      <c r="C172" s="530"/>
      <c r="D172" s="530"/>
      <c r="E172" s="530"/>
      <c r="F172" s="530"/>
      <c r="G172" s="530"/>
      <c r="H172" s="530"/>
      <c r="I172" s="530"/>
      <c r="J172" s="531"/>
    </row>
    <row r="173" spans="1:23" s="1" customFormat="1" ht="35.1" customHeight="1" thickBot="1">
      <c r="A173" s="102" t="s">
        <v>2</v>
      </c>
      <c r="B173" s="103" t="s">
        <v>29</v>
      </c>
      <c r="C173" s="103" t="s">
        <v>3</v>
      </c>
      <c r="D173" s="103" t="s">
        <v>199</v>
      </c>
      <c r="E173" s="103" t="s">
        <v>5</v>
      </c>
      <c r="F173" s="104" t="s">
        <v>28</v>
      </c>
      <c r="G173" s="103" t="s">
        <v>19</v>
      </c>
      <c r="H173" s="104" t="s">
        <v>200</v>
      </c>
      <c r="I173" s="104" t="s">
        <v>20</v>
      </c>
      <c r="J173" s="115" t="s">
        <v>201</v>
      </c>
      <c r="N173" s="101" t="s">
        <v>191</v>
      </c>
      <c r="O173" s="246" t="s">
        <v>29</v>
      </c>
      <c r="P173" s="246" t="s">
        <v>3</v>
      </c>
      <c r="Q173" s="246" t="s">
        <v>199</v>
      </c>
      <c r="R173" s="246" t="s">
        <v>5</v>
      </c>
      <c r="S173" s="246" t="s">
        <v>28</v>
      </c>
      <c r="T173" s="246" t="s">
        <v>19</v>
      </c>
      <c r="U173" s="246" t="s">
        <v>200</v>
      </c>
      <c r="V173" s="246" t="s">
        <v>20</v>
      </c>
      <c r="W173" s="246" t="s">
        <v>201</v>
      </c>
    </row>
    <row r="174" spans="1:23" s="1" customFormat="1" ht="18" customHeight="1">
      <c r="A174" s="200">
        <f>IF(B174="","",1)</f>
        <v>1</v>
      </c>
      <c r="B174" s="140" t="s">
        <v>111</v>
      </c>
      <c r="C174" s="140" t="s">
        <v>67</v>
      </c>
      <c r="D174" s="139" t="s">
        <v>74</v>
      </c>
      <c r="E174" s="143"/>
      <c r="F174" s="143" t="s">
        <v>74</v>
      </c>
      <c r="G174" s="143" t="s">
        <v>202</v>
      </c>
      <c r="H174" s="143">
        <v>14</v>
      </c>
      <c r="I174" s="130"/>
      <c r="J174" s="131">
        <f>$J$120*H174</f>
        <v>14</v>
      </c>
      <c r="N174" s="101" t="s">
        <v>226</v>
      </c>
      <c r="O174" s="280" t="s">
        <v>252</v>
      </c>
      <c r="P174" s="290" t="s">
        <v>248</v>
      </c>
      <c r="Q174" s="280" t="s">
        <v>69</v>
      </c>
      <c r="R174" s="213"/>
      <c r="S174" s="213" t="s">
        <v>69</v>
      </c>
      <c r="T174" s="213" t="s">
        <v>198</v>
      </c>
      <c r="U174" s="291">
        <f>((($I$141*$G$141)+($I$142*$G$142)+($I$143*$G$143)+($I$144*$G$144)+($I$145*$G$145))/1000)*$J$120</f>
        <v>28.983000000000001</v>
      </c>
      <c r="V174" s="291">
        <v>100</v>
      </c>
      <c r="W174" s="292" t="e">
        <f>ROUNDUP((#REF!)/100,0)</f>
        <v>#REF!</v>
      </c>
    </row>
    <row r="175" spans="1:23" s="1" customFormat="1" ht="18" customHeight="1">
      <c r="A175" s="201">
        <f>IF(B175="","",+A174+1)</f>
        <v>2</v>
      </c>
      <c r="B175" s="140" t="s">
        <v>106</v>
      </c>
      <c r="C175" s="140" t="s">
        <v>503</v>
      </c>
      <c r="D175" s="139" t="s">
        <v>75</v>
      </c>
      <c r="E175" s="143"/>
      <c r="F175" s="143" t="s">
        <v>75</v>
      </c>
      <c r="G175" s="143" t="s">
        <v>202</v>
      </c>
      <c r="H175" s="143">
        <v>2</v>
      </c>
      <c r="I175" s="130"/>
      <c r="J175" s="131">
        <f t="shared" ref="J175:J198" si="33">$J$120*H175</f>
        <v>2</v>
      </c>
      <c r="N175" s="101" t="s">
        <v>230</v>
      </c>
      <c r="O175" s="280" t="s">
        <v>253</v>
      </c>
      <c r="P175" s="290" t="s">
        <v>249</v>
      </c>
      <c r="Q175" s="280" t="s">
        <v>188</v>
      </c>
      <c r="R175" s="213"/>
      <c r="S175" s="213" t="s">
        <v>188</v>
      </c>
      <c r="T175" s="213" t="s">
        <v>198</v>
      </c>
      <c r="U175" s="291">
        <f>((($I$141*$G$141)+($I$142*$G$142)+($I$143*$G$143)+($I$144*$G$144)+($I$145*$G$145))/1000)*$J$120</f>
        <v>28.983000000000001</v>
      </c>
      <c r="V175" s="291">
        <v>100</v>
      </c>
      <c r="W175" s="292" t="e">
        <f>ROUNDUP((#REF!)/100,0)</f>
        <v>#REF!</v>
      </c>
    </row>
    <row r="176" spans="1:23" s="1" customFormat="1" ht="18" customHeight="1">
      <c r="A176" s="201">
        <f t="shared" ref="A176:A204" si="34">IF(B176="","",+A175+1)</f>
        <v>3</v>
      </c>
      <c r="B176" s="140" t="s">
        <v>107</v>
      </c>
      <c r="C176" s="140" t="s">
        <v>504</v>
      </c>
      <c r="D176" s="139" t="s">
        <v>76</v>
      </c>
      <c r="E176" s="143"/>
      <c r="F176" s="143" t="s">
        <v>76</v>
      </c>
      <c r="G176" s="143" t="s">
        <v>202</v>
      </c>
      <c r="H176" s="143">
        <v>2</v>
      </c>
      <c r="I176" s="130"/>
      <c r="J176" s="131">
        <f t="shared" si="33"/>
        <v>2</v>
      </c>
      <c r="N176" s="101" t="s">
        <v>229</v>
      </c>
      <c r="O176" s="290" t="s">
        <v>254</v>
      </c>
      <c r="P176" s="290" t="s">
        <v>250</v>
      </c>
      <c r="Q176" s="280" t="s">
        <v>70</v>
      </c>
      <c r="R176" s="213"/>
      <c r="S176" s="213" t="s">
        <v>70</v>
      </c>
      <c r="T176" s="213" t="s">
        <v>198</v>
      </c>
      <c r="U176" s="291">
        <f>((($I$141*$G$141)+($I$142*$G$142)+($I$143*$G$143)+($I$144*$G$144)+($I$145*$G$145))/1000)*$J$120</f>
        <v>28.983000000000001</v>
      </c>
      <c r="V176" s="291">
        <v>100</v>
      </c>
      <c r="W176" s="292" t="e">
        <f>ROUNDUP((#REF!)/100,0)</f>
        <v>#REF!</v>
      </c>
    </row>
    <row r="177" spans="1:23" s="1" customFormat="1" ht="18" customHeight="1">
      <c r="A177" s="201">
        <f t="shared" si="34"/>
        <v>4</v>
      </c>
      <c r="B177" s="140" t="s">
        <v>108</v>
      </c>
      <c r="C177" s="140" t="s">
        <v>10</v>
      </c>
      <c r="D177" s="139">
        <v>9</v>
      </c>
      <c r="E177" s="143"/>
      <c r="F177" s="143">
        <v>9</v>
      </c>
      <c r="G177" s="143" t="s">
        <v>202</v>
      </c>
      <c r="H177" s="143">
        <v>8</v>
      </c>
      <c r="I177" s="130"/>
      <c r="J177" s="131">
        <f t="shared" si="33"/>
        <v>8</v>
      </c>
      <c r="N177" s="101" t="s">
        <v>231</v>
      </c>
      <c r="O177" s="290" t="s">
        <v>255</v>
      </c>
      <c r="P177" s="290" t="s">
        <v>251</v>
      </c>
      <c r="Q177" s="280" t="s">
        <v>189</v>
      </c>
      <c r="R177" s="213"/>
      <c r="S177" s="213" t="s">
        <v>189</v>
      </c>
      <c r="T177" s="213" t="s">
        <v>198</v>
      </c>
      <c r="U177" s="291">
        <f>((($I$141*$G$141)+($I$142*$G$142)+($I$143*$G$143)+($I$144*$G$144)+($I$145*$G$145))/1000)*$J$120</f>
        <v>28.983000000000001</v>
      </c>
      <c r="V177" s="291">
        <v>100</v>
      </c>
      <c r="W177" s="292" t="e">
        <f>ROUNDUP((#REF!)/100,0)</f>
        <v>#REF!</v>
      </c>
    </row>
    <row r="178" spans="1:23" s="1" customFormat="1" ht="18" customHeight="1">
      <c r="A178" s="201">
        <f t="shared" si="34"/>
        <v>5</v>
      </c>
      <c r="B178" s="140" t="s">
        <v>109</v>
      </c>
      <c r="C178" s="140" t="s">
        <v>68</v>
      </c>
      <c r="D178" s="139">
        <v>9</v>
      </c>
      <c r="E178" s="143"/>
      <c r="F178" s="143">
        <v>9</v>
      </c>
      <c r="G178" s="143" t="s">
        <v>202</v>
      </c>
      <c r="H178" s="143">
        <v>110</v>
      </c>
      <c r="I178" s="130"/>
      <c r="J178" s="131">
        <f t="shared" si="33"/>
        <v>110</v>
      </c>
      <c r="N178" s="101" t="s">
        <v>232</v>
      </c>
      <c r="O178" s="290" t="s">
        <v>256</v>
      </c>
      <c r="P178" s="290" t="s">
        <v>247</v>
      </c>
      <c r="Q178" s="280" t="s">
        <v>233</v>
      </c>
      <c r="R178" s="213"/>
      <c r="S178" s="213" t="s">
        <v>233</v>
      </c>
      <c r="T178" s="213" t="s">
        <v>198</v>
      </c>
      <c r="U178" s="291">
        <f>((($I$141*$G$141)+($I$142*$G$142)+($I$143*$G$143)+($I$144*$G$144)+($I$145*$G$145))/1000)*$J$120</f>
        <v>28.983000000000001</v>
      </c>
      <c r="V178" s="291">
        <v>100</v>
      </c>
      <c r="W178" s="292">
        <f>ROUNDUP((U178)/100,0)</f>
        <v>1</v>
      </c>
    </row>
    <row r="179" spans="1:23" s="1" customFormat="1" ht="18" customHeight="1">
      <c r="A179" s="201">
        <f t="shared" si="34"/>
        <v>6</v>
      </c>
      <c r="B179" s="140" t="s">
        <v>132</v>
      </c>
      <c r="C179" s="140" t="s">
        <v>79</v>
      </c>
      <c r="D179" s="139" t="s">
        <v>82</v>
      </c>
      <c r="E179" s="143"/>
      <c r="F179" s="143" t="s">
        <v>82</v>
      </c>
      <c r="G179" s="143" t="s">
        <v>185</v>
      </c>
      <c r="H179" s="143">
        <v>1</v>
      </c>
      <c r="I179" s="130"/>
      <c r="J179" s="131">
        <f t="shared" si="33"/>
        <v>1</v>
      </c>
    </row>
    <row r="180" spans="1:23" s="1" customFormat="1" ht="18" customHeight="1">
      <c r="A180" s="201">
        <f t="shared" si="34"/>
        <v>7</v>
      </c>
      <c r="B180" s="140" t="s">
        <v>143</v>
      </c>
      <c r="C180" s="140" t="s">
        <v>121</v>
      </c>
      <c r="D180" s="139" t="s">
        <v>103</v>
      </c>
      <c r="E180" s="143"/>
      <c r="F180" s="143" t="s">
        <v>103</v>
      </c>
      <c r="G180" s="143" t="s">
        <v>185</v>
      </c>
      <c r="H180" s="143">
        <v>2</v>
      </c>
      <c r="I180" s="130"/>
      <c r="J180" s="131">
        <f t="shared" si="33"/>
        <v>2</v>
      </c>
    </row>
    <row r="181" spans="1:23" s="1" customFormat="1" ht="18" customHeight="1">
      <c r="A181" s="201">
        <f t="shared" si="34"/>
        <v>8</v>
      </c>
      <c r="B181" s="140" t="s">
        <v>118</v>
      </c>
      <c r="C181" s="140" t="s">
        <v>77</v>
      </c>
      <c r="D181" s="139" t="s">
        <v>80</v>
      </c>
      <c r="E181" s="143"/>
      <c r="F181" s="143" t="s">
        <v>80</v>
      </c>
      <c r="G181" s="143" t="s">
        <v>185</v>
      </c>
      <c r="H181" s="143">
        <v>1</v>
      </c>
      <c r="I181" s="130"/>
      <c r="J181" s="131">
        <f t="shared" si="33"/>
        <v>1</v>
      </c>
    </row>
    <row r="182" spans="1:23" s="1" customFormat="1" ht="18" customHeight="1">
      <c r="A182" s="201">
        <f t="shared" si="34"/>
        <v>9</v>
      </c>
      <c r="B182" s="140" t="s">
        <v>120</v>
      </c>
      <c r="C182" s="140" t="s">
        <v>94</v>
      </c>
      <c r="D182" s="139" t="s">
        <v>96</v>
      </c>
      <c r="E182" s="143"/>
      <c r="F182" s="143" t="s">
        <v>96</v>
      </c>
      <c r="G182" s="143" t="s">
        <v>185</v>
      </c>
      <c r="H182" s="143">
        <v>1</v>
      </c>
      <c r="I182" s="130"/>
      <c r="J182" s="131">
        <f t="shared" si="33"/>
        <v>1</v>
      </c>
    </row>
    <row r="183" spans="1:23" s="1" customFormat="1" ht="18" customHeight="1">
      <c r="A183" s="201">
        <f t="shared" si="34"/>
        <v>10</v>
      </c>
      <c r="B183" s="140" t="s">
        <v>119</v>
      </c>
      <c r="C183" s="140" t="s">
        <v>95</v>
      </c>
      <c r="D183" s="139" t="s">
        <v>97</v>
      </c>
      <c r="E183" s="143"/>
      <c r="F183" s="143" t="s">
        <v>97</v>
      </c>
      <c r="G183" s="143" t="s">
        <v>185</v>
      </c>
      <c r="H183" s="143">
        <v>1</v>
      </c>
      <c r="I183" s="130"/>
      <c r="J183" s="131">
        <f t="shared" si="33"/>
        <v>1</v>
      </c>
      <c r="N183" s="56"/>
      <c r="O183" s="56"/>
      <c r="P183" s="56"/>
      <c r="Q183" s="289"/>
      <c r="R183" s="289"/>
      <c r="S183" s="289"/>
      <c r="T183" s="17"/>
      <c r="U183" s="17"/>
      <c r="V183" s="17"/>
      <c r="W183" s="56"/>
    </row>
    <row r="184" spans="1:23" s="1" customFormat="1" ht="18" customHeight="1">
      <c r="A184" s="201">
        <f t="shared" si="34"/>
        <v>11</v>
      </c>
      <c r="B184" s="140" t="s">
        <v>131</v>
      </c>
      <c r="C184" s="140" t="s">
        <v>100</v>
      </c>
      <c r="D184" s="139" t="s">
        <v>102</v>
      </c>
      <c r="E184" s="143"/>
      <c r="F184" s="143" t="s">
        <v>102</v>
      </c>
      <c r="G184" s="143" t="s">
        <v>185</v>
      </c>
      <c r="H184" s="143">
        <v>2</v>
      </c>
      <c r="I184" s="144"/>
      <c r="J184" s="131">
        <f t="shared" si="33"/>
        <v>2</v>
      </c>
      <c r="N184" s="101" t="s">
        <v>227</v>
      </c>
      <c r="O184" s="246" t="s">
        <v>29</v>
      </c>
      <c r="P184" s="246" t="s">
        <v>3</v>
      </c>
      <c r="Q184" s="246" t="s">
        <v>199</v>
      </c>
      <c r="R184" s="246" t="s">
        <v>5</v>
      </c>
      <c r="S184" s="246" t="s">
        <v>28</v>
      </c>
      <c r="T184" s="246" t="s">
        <v>19</v>
      </c>
      <c r="U184" s="246" t="s">
        <v>200</v>
      </c>
      <c r="V184" s="246" t="s">
        <v>20</v>
      </c>
      <c r="W184" s="246" t="s">
        <v>201</v>
      </c>
    </row>
    <row r="185" spans="1:23" s="1" customFormat="1" ht="18" customHeight="1">
      <c r="A185" s="201">
        <f t="shared" si="34"/>
        <v>12</v>
      </c>
      <c r="B185" s="140" t="s">
        <v>113</v>
      </c>
      <c r="C185" s="140" t="s">
        <v>502</v>
      </c>
      <c r="D185" s="139" t="s">
        <v>83</v>
      </c>
      <c r="E185" s="143"/>
      <c r="F185" s="143" t="s">
        <v>83</v>
      </c>
      <c r="G185" s="143" t="s">
        <v>185</v>
      </c>
      <c r="H185" s="143">
        <v>3</v>
      </c>
      <c r="I185" s="144"/>
      <c r="J185" s="131">
        <f t="shared" si="33"/>
        <v>3</v>
      </c>
      <c r="N185" s="101" t="s">
        <v>240</v>
      </c>
      <c r="O185" s="290" t="s">
        <v>234</v>
      </c>
      <c r="P185" s="290" t="s">
        <v>236</v>
      </c>
      <c r="Q185" s="280" t="s">
        <v>190</v>
      </c>
      <c r="R185" s="213"/>
      <c r="S185" s="213" t="s">
        <v>190</v>
      </c>
      <c r="T185" s="213" t="s">
        <v>198</v>
      </c>
      <c r="U185" s="291">
        <f>((($I$134*$G$134)+($I$136*$G$136)+($I$139*$G$139))/1000)*$J$120</f>
        <v>5.758</v>
      </c>
      <c r="V185" s="291">
        <v>300</v>
      </c>
      <c r="W185" s="292">
        <f>ROUNDUP((U185)/V185,0)</f>
        <v>1</v>
      </c>
    </row>
    <row r="186" spans="1:23" s="1" customFormat="1" ht="18" customHeight="1">
      <c r="A186" s="201">
        <f t="shared" si="34"/>
        <v>13</v>
      </c>
      <c r="B186" s="140" t="s">
        <v>122</v>
      </c>
      <c r="C186" s="140" t="s">
        <v>101</v>
      </c>
      <c r="D186" s="139" t="s">
        <v>104</v>
      </c>
      <c r="E186" s="143"/>
      <c r="F186" s="143" t="s">
        <v>104</v>
      </c>
      <c r="G186" s="143" t="s">
        <v>185</v>
      </c>
      <c r="H186" s="143">
        <v>1</v>
      </c>
      <c r="I186" s="130"/>
      <c r="J186" s="131">
        <f t="shared" si="33"/>
        <v>1</v>
      </c>
      <c r="N186" s="101" t="s">
        <v>241</v>
      </c>
      <c r="O186" s="290" t="s">
        <v>235</v>
      </c>
      <c r="P186" s="290" t="s">
        <v>238</v>
      </c>
      <c r="Q186" s="280" t="s">
        <v>71</v>
      </c>
      <c r="R186" s="213"/>
      <c r="S186" s="213" t="s">
        <v>71</v>
      </c>
      <c r="T186" s="213" t="s">
        <v>198</v>
      </c>
      <c r="U186" s="291">
        <f>((($I$134*$G$134)+($I$136*$G$136)+($I$139*$G$139))/1000)*$J$120</f>
        <v>5.758</v>
      </c>
      <c r="V186" s="291">
        <v>100</v>
      </c>
      <c r="W186" s="292">
        <f t="shared" ref="W186:W188" si="35">ROUNDUP((U186)/V186,0)</f>
        <v>1</v>
      </c>
    </row>
    <row r="187" spans="1:23" s="1" customFormat="1" ht="18" customHeight="1">
      <c r="A187" s="201">
        <f t="shared" si="34"/>
        <v>14</v>
      </c>
      <c r="B187" s="140" t="s">
        <v>112</v>
      </c>
      <c r="C187" s="140" t="s">
        <v>114</v>
      </c>
      <c r="D187" s="128" t="s">
        <v>520</v>
      </c>
      <c r="E187" s="129"/>
      <c r="F187" s="129" t="s">
        <v>520</v>
      </c>
      <c r="G187" s="143" t="s">
        <v>202</v>
      </c>
      <c r="H187" s="143">
        <v>6</v>
      </c>
      <c r="I187" s="130"/>
      <c r="J187" s="131">
        <f t="shared" si="33"/>
        <v>6</v>
      </c>
      <c r="N187" s="101" t="s">
        <v>240</v>
      </c>
      <c r="O187" s="290" t="s">
        <v>245</v>
      </c>
      <c r="P187" s="290" t="s">
        <v>237</v>
      </c>
      <c r="Q187" s="280" t="s">
        <v>72</v>
      </c>
      <c r="R187" s="213"/>
      <c r="S187" s="213" t="s">
        <v>72</v>
      </c>
      <c r="T187" s="213" t="s">
        <v>198</v>
      </c>
      <c r="U187" s="291">
        <f>((($I$141*$G$141*2)+($I$143*$G$143*2)+(($I$144*($G$144-1))*2))/1000)*$J$120</f>
        <v>48.063000000000002</v>
      </c>
      <c r="V187" s="291">
        <v>350</v>
      </c>
      <c r="W187" s="292">
        <f t="shared" si="35"/>
        <v>1</v>
      </c>
    </row>
    <row r="188" spans="1:23" s="1" customFormat="1" ht="18" customHeight="1">
      <c r="A188" s="201">
        <f t="shared" si="34"/>
        <v>15</v>
      </c>
      <c r="B188" s="140" t="s">
        <v>115</v>
      </c>
      <c r="C188" s="140" t="s">
        <v>45</v>
      </c>
      <c r="D188" s="139" t="s">
        <v>84</v>
      </c>
      <c r="E188" s="143"/>
      <c r="F188" s="143" t="s">
        <v>84</v>
      </c>
      <c r="G188" s="143" t="s">
        <v>202</v>
      </c>
      <c r="H188" s="143">
        <v>1</v>
      </c>
      <c r="I188" s="130"/>
      <c r="J188" s="131">
        <f t="shared" si="33"/>
        <v>1</v>
      </c>
      <c r="N188" s="101" t="s">
        <v>241</v>
      </c>
      <c r="O188" s="290" t="s">
        <v>246</v>
      </c>
      <c r="P188" s="290" t="s">
        <v>239</v>
      </c>
      <c r="Q188" s="280" t="s">
        <v>193</v>
      </c>
      <c r="R188" s="213"/>
      <c r="S188" s="213" t="s">
        <v>193</v>
      </c>
      <c r="T188" s="213" t="s">
        <v>198</v>
      </c>
      <c r="U188" s="291">
        <f>((($I$141*$G$141*2)+($I$143*$G$143*2)+(($I$144*($G$144-1))*2))/1000)*$J$120</f>
        <v>48.063000000000002</v>
      </c>
      <c r="V188" s="291">
        <v>100</v>
      </c>
      <c r="W188" s="292">
        <f t="shared" si="35"/>
        <v>1</v>
      </c>
    </row>
    <row r="189" spans="1:23" s="1" customFormat="1" ht="18" customHeight="1">
      <c r="A189" s="201">
        <f t="shared" si="34"/>
        <v>16</v>
      </c>
      <c r="B189" s="140" t="s">
        <v>110</v>
      </c>
      <c r="C189" s="140" t="s">
        <v>66</v>
      </c>
      <c r="D189" s="139" t="s">
        <v>73</v>
      </c>
      <c r="E189" s="143"/>
      <c r="F189" s="143" t="s">
        <v>73</v>
      </c>
      <c r="G189" s="143" t="s">
        <v>202</v>
      </c>
      <c r="H189" s="143">
        <v>3</v>
      </c>
      <c r="I189" s="130"/>
      <c r="J189" s="131">
        <f t="shared" si="33"/>
        <v>3</v>
      </c>
    </row>
    <row r="190" spans="1:23" s="1" customFormat="1" ht="18" customHeight="1">
      <c r="A190" s="201">
        <f t="shared" si="34"/>
        <v>17</v>
      </c>
      <c r="B190" s="140" t="s">
        <v>512</v>
      </c>
      <c r="C190" s="140" t="s">
        <v>135</v>
      </c>
      <c r="D190" s="139" t="s">
        <v>137</v>
      </c>
      <c r="E190" s="143"/>
      <c r="F190" s="143" t="s">
        <v>137</v>
      </c>
      <c r="G190" s="143" t="s">
        <v>198</v>
      </c>
      <c r="H190" s="261">
        <f>((($I$148*$G$148)+($I$149*$G$149))/1000)*$J$120</f>
        <v>3.8159999999999998</v>
      </c>
      <c r="I190" s="258">
        <v>100</v>
      </c>
      <c r="J190" s="267">
        <f>ROUNDUP((H190)/100,0)</f>
        <v>1</v>
      </c>
    </row>
    <row r="191" spans="1:23" s="1" customFormat="1" ht="18" customHeight="1">
      <c r="A191" s="201">
        <f t="shared" si="34"/>
        <v>18</v>
      </c>
      <c r="B191" s="140" t="s">
        <v>513</v>
      </c>
      <c r="C191" s="140" t="s">
        <v>136</v>
      </c>
      <c r="D191" s="139" t="s">
        <v>138</v>
      </c>
      <c r="E191" s="143"/>
      <c r="F191" s="143" t="s">
        <v>138</v>
      </c>
      <c r="G191" s="143" t="s">
        <v>198</v>
      </c>
      <c r="H191" s="261">
        <f>((($I$144*$G$144)+($I$145*$G$145))/1000)*$J$120</f>
        <v>7.6319999999999997</v>
      </c>
      <c r="I191" s="258">
        <v>100</v>
      </c>
      <c r="J191" s="267">
        <f>ROUNDUP((H191)/100,0)</f>
        <v>1</v>
      </c>
    </row>
    <row r="192" spans="1:23" s="1" customFormat="1" ht="18" customHeight="1">
      <c r="A192" s="201">
        <f t="shared" si="34"/>
        <v>19</v>
      </c>
      <c r="B192" s="139" t="str">
        <f t="shared" ref="B192:I192" si="36">IF($D$129="Standard",O185,IF($D$129="Soumdproof",O186,))</f>
        <v>ยางเฟรมกันน้ำ (ธรรมดา)</v>
      </c>
      <c r="C192" s="139" t="str">
        <f t="shared" si="36"/>
        <v>FRAME SEAL (Standard)</v>
      </c>
      <c r="D192" s="139" t="str">
        <f t="shared" si="36"/>
        <v>02-026</v>
      </c>
      <c r="E192" s="139">
        <f t="shared" si="36"/>
        <v>0</v>
      </c>
      <c r="F192" s="143" t="str">
        <f t="shared" si="36"/>
        <v>02-026</v>
      </c>
      <c r="G192" s="143" t="str">
        <f t="shared" si="36"/>
        <v>M</v>
      </c>
      <c r="H192" s="261">
        <f t="shared" si="36"/>
        <v>5.758</v>
      </c>
      <c r="I192" s="258">
        <f t="shared" si="36"/>
        <v>300</v>
      </c>
      <c r="J192" s="267">
        <f>ROUNDUP((H192)/100,0)</f>
        <v>1</v>
      </c>
    </row>
    <row r="193" spans="1:24" s="1" customFormat="1" ht="18" customHeight="1">
      <c r="A193" s="201">
        <f t="shared" si="34"/>
        <v>20</v>
      </c>
      <c r="B193" s="139" t="str">
        <f t="shared" ref="B193:I193" si="37">IF($D$129="Standard",O187,IF($D$129="Soumdproof",O188,))</f>
        <v>ยางแซชกันน้ำ (ธรรมดา)</v>
      </c>
      <c r="C193" s="139" t="str">
        <f t="shared" si="37"/>
        <v>SASH SEAL FOAM (Standard)</v>
      </c>
      <c r="D193" s="139" t="str">
        <f t="shared" si="37"/>
        <v>02-031</v>
      </c>
      <c r="E193" s="139">
        <f t="shared" si="37"/>
        <v>0</v>
      </c>
      <c r="F193" s="143" t="str">
        <f t="shared" si="37"/>
        <v>02-031</v>
      </c>
      <c r="G193" s="143" t="str">
        <f t="shared" si="37"/>
        <v>M</v>
      </c>
      <c r="H193" s="261">
        <f t="shared" si="37"/>
        <v>48.063000000000002</v>
      </c>
      <c r="I193" s="258">
        <f t="shared" si="37"/>
        <v>350</v>
      </c>
      <c r="J193" s="267">
        <f>ROUNDUP((H193)/100,0)</f>
        <v>1</v>
      </c>
    </row>
    <row r="194" spans="1:24" ht="18" customHeight="1">
      <c r="A194" s="201">
        <f t="shared" si="34"/>
        <v>21</v>
      </c>
      <c r="B194" s="241" t="str">
        <f>IF($D$127=5,$O$176,IF($D$127=6,$O$177,IF($D$127=8,$O$178,IF($D$127=10,$O$176,IF($D$127=12,$O$176,IF($D$127=14,$O$178,IF($D$127=18,$O$176,IF($D$127=20,$O$177,IF($D$127=22,"")))))))))</f>
        <v>5,8,10,12,18 mmยางอัดกระจก</v>
      </c>
      <c r="C194" s="241" t="str">
        <f>IF($D$127=5,$P$176,IF($D$127=6,$P$177,IF($D$127=8,$P$178,IF($D$127=10,$P$176,IF($D$127=12,$P$176,IF($D$127=14,$P$178,IF($D$127=18,$P$176,IF($D$127=20,$P$177,IF($D$127=22,"")))))))))</f>
        <v>5,8,10,12,18 mm ROLL IN WEDGE</v>
      </c>
      <c r="D194" s="241" t="str">
        <f>IF($D$127=5,$Q$176,IF($D$127=6,$Q$177,IF($D$127=8,$Q$178,IF($D$127=10,$Q$176,IF($D$127=12,$Q$176,IF($D$127=14,$Q$178,IF($D$127=18,$Q$176,IF($D$127=20,$Q$177,IF($D$127=22,"")))))))))</f>
        <v>02-033</v>
      </c>
      <c r="E194" s="241">
        <f>IF($D$129=5,R181,IF($D$129=6,R182,IF($D$129=8,R183,IF($D$129=10,R181,IF($D$129=12,R181,IF($D$129=14,R183,IF($D$129=18,R181,IF($D$129=20,R182,IF($D$129=22,"",)))))))))</f>
        <v>0</v>
      </c>
      <c r="F194" s="242" t="str">
        <f>IF($D$127=5,$S$176,IF($D$127=6,$S$177,IF($D$127=8,$S$178,IF($D$127=10,$S$176,IF($D$127=12,$S$176,IF($D$127=14,$S$178,IF($D$127=18,$S$176,IF($D$127=20,$S$177,IF($D$127=22,"")))))))))</f>
        <v>02-033</v>
      </c>
      <c r="G194" s="242" t="str">
        <f>IF($D$127=5,$T$176,IF($D$127=6,$T$177,IF($D$127=8,$T$178,IF($D$127=10,$T$176,IF($D$127=12,$T$176,IF($D$127=14,$T$178,IF($D$127=18,$T$176,IF($D$127=20,$T$177,IF($D$127=22,"")))))))))</f>
        <v>M</v>
      </c>
      <c r="H194" s="261">
        <f>IF($D$127=5,$U$176,IF($D$127=6,$U$177,IF($D$127=8,$U$178,IF($D$127=10,$U$176*2,IF($D$127=12,$U$176,IF($D$127=14,$U$178*2,IF($D$127=18,$U$176,IF($D$127=20,$U$177,IF($D$127=22,"")))))))))</f>
        <v>28.983000000000001</v>
      </c>
      <c r="I194" s="258">
        <f>IF($D$127=5,$V$176,IF($D$127=6,$V$177,IF($D$127=8,$V$178,IF($D$127=10,$V$176,IF($D$127=12,$V$176,IF($D$127=14,$V$178,IF($D$127=18,$V$176,IF($D$127=20,$V$177,IF($D$127=22,"")))))))))</f>
        <v>100</v>
      </c>
      <c r="J194" s="260">
        <f t="shared" ref="J194:J195" si="38">ROUNDUP((H194)/100,0)</f>
        <v>1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s="1" customFormat="1" ht="18" customHeight="1">
      <c r="A195" s="201">
        <f t="shared" si="34"/>
        <v>22</v>
      </c>
      <c r="B195" s="241" t="str">
        <f>IF($D$127=5,$O$174,IF($D$127=6,$O$174,IF($D$127=8,$O$176,IF($D$127=10,"",IF($D$127=12,$O$175,IF($D$127=14,"",IF($D$127=18,$O$174,IF($D$127=20,$O$175,IF($D$127=22,"",)))))))))</f>
        <v>5,6,18 mm ยางรองกระจก</v>
      </c>
      <c r="C195" s="241" t="str">
        <f>IF($D$127=5,$P$174,IF($D$127=6,$P$174,IF($D$127=8,$P$176,IF($D$127=10,"",IF($D$127=12,$P$175,IF($D$127=14,"",IF($D$127=18,$P$174,IF($D$127=20,$P$175,IF($D$127=22,"",)))))))))</f>
        <v>5,6,18 mm CAPTIVE WEDGE</v>
      </c>
      <c r="D195" s="241" t="str">
        <f>IF($D$127=5,$Q$174,IF($D$127=6,$Q$174,IF($D$127=8,$Q$176,IF($D$127=10,"",IF($D$127=12,$Q$175,IF($D$127=14,"",IF($D$127=18,$Q$174,IF($D$127=20,$Q$175,IF($D$127=22,"",)))))))))</f>
        <v>02-022</v>
      </c>
      <c r="E195" s="241">
        <f>IF($D$129=5,R179,IF($D$129=6,R179,IF($D$129=8,R181,IF($D$129=10,"",IF($D$129=12,R180,IF($D$129=14,"",IF($D$129=18,R179,IF($D$129=20,R180,IF($D$129=22,"",)))))))))</f>
        <v>0</v>
      </c>
      <c r="F195" s="242" t="str">
        <f>IF($D$127=5,$S$174,IF($D$127=6,$S$174,IF($D$127=8,$S$176,IF($D$127=10,"",IF($D$127=12,$S$175,IF($D$127=14,"",IF($D$127=18,$S$174,IF($D$127=20,$S$175,IF($D$127=22,"",)))))))))</f>
        <v>02-022</v>
      </c>
      <c r="G195" s="242" t="str">
        <f>IF($D$127=5,$T$174,IF($D$127=6,$T$174,IF($D$127=8,$T$176,IF($D$127=10,"",IF($D$127=12,$T$175,IF($D$127=14,"",IF($D$127=18,$T$174,IF($D$127=20,$T$175,IF($D$127=22,"",)))))))))</f>
        <v>M</v>
      </c>
      <c r="H195" s="261">
        <f>IF($D$127=5,$U$174,IF($D$127=6,$U$174,IF($D$127=8,$U$176,IF($D$127=10,"",IF($D$127=12,$U$175,IF($D$127=14,"",IF($D$127=18,$U$174,IF($D$127=20,$U$175,IF($D$127=22,"")))))))))</f>
        <v>28.983000000000001</v>
      </c>
      <c r="I195" s="258">
        <f>IF($D$127=5,$V$174,IF($D$127=6,$V$174,IF($D$127=8,$V$176,IF($D$127=10,"",IF($D$127=12,$V$175,IF($D$127=14,"",IF($D$127=18,$V$174,IF($D$127=20,$V$175,IF($D$127=22,"",)))))))))</f>
        <v>100</v>
      </c>
      <c r="J195" s="260">
        <f t="shared" si="38"/>
        <v>1</v>
      </c>
    </row>
    <row r="196" spans="1:24" s="1" customFormat="1" ht="18" customHeight="1">
      <c r="A196" s="201" t="str">
        <f t="shared" si="34"/>
        <v/>
      </c>
      <c r="B196" s="140"/>
      <c r="C196" s="140"/>
      <c r="D196" s="139"/>
      <c r="E196" s="143"/>
      <c r="F196" s="143"/>
      <c r="G196" s="143"/>
      <c r="H196" s="143"/>
      <c r="I196" s="130"/>
      <c r="J196" s="131"/>
    </row>
    <row r="197" spans="1:24" s="1" customFormat="1" ht="18" customHeight="1">
      <c r="A197" s="201" t="str">
        <f t="shared" si="34"/>
        <v/>
      </c>
      <c r="B197" s="140"/>
      <c r="C197" s="140"/>
      <c r="D197" s="139"/>
      <c r="E197" s="143"/>
      <c r="F197" s="143"/>
      <c r="G197" s="143"/>
      <c r="H197" s="143"/>
      <c r="I197" s="130"/>
      <c r="J197" s="131">
        <f t="shared" si="33"/>
        <v>0</v>
      </c>
    </row>
    <row r="198" spans="1:24" s="1" customFormat="1" ht="18" customHeight="1">
      <c r="A198" s="201" t="str">
        <f t="shared" si="34"/>
        <v/>
      </c>
      <c r="B198" s="140"/>
      <c r="C198" s="140"/>
      <c r="D198" s="139"/>
      <c r="E198" s="143"/>
      <c r="F198" s="143"/>
      <c r="G198" s="143"/>
      <c r="H198" s="143"/>
      <c r="I198" s="130"/>
      <c r="J198" s="131">
        <f t="shared" si="33"/>
        <v>0</v>
      </c>
    </row>
    <row r="199" spans="1:24" s="1" customFormat="1" ht="18" customHeight="1">
      <c r="A199" s="201" t="str">
        <f t="shared" si="34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 t="shared" ref="J199:J204" si="39">$J$120*H199</f>
        <v>0</v>
      </c>
    </row>
    <row r="200" spans="1:24" s="1" customFormat="1" ht="18" customHeight="1">
      <c r="A200" s="201" t="str">
        <f t="shared" si="34"/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si="39"/>
        <v>0</v>
      </c>
    </row>
    <row r="201" spans="1:24" s="1" customFormat="1" ht="18" customHeight="1">
      <c r="A201" s="201" t="str">
        <f t="shared" si="34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si="39"/>
        <v>0</v>
      </c>
    </row>
    <row r="202" spans="1:24" s="1" customFormat="1" ht="18" customHeight="1">
      <c r="A202" s="201" t="str">
        <f t="shared" si="34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si="39"/>
        <v>0</v>
      </c>
    </row>
    <row r="203" spans="1:24" s="1" customFormat="1" ht="18" customHeight="1">
      <c r="A203" s="201" t="str">
        <f t="shared" si="34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si="39"/>
        <v>0</v>
      </c>
    </row>
    <row r="204" spans="1:24" s="1" customFormat="1" ht="18" customHeight="1">
      <c r="A204" s="201" t="str">
        <f t="shared" si="34"/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 t="shared" si="39"/>
        <v>0</v>
      </c>
    </row>
    <row r="205" spans="1:24" s="1" customFormat="1" ht="18" customHeight="1">
      <c r="A205" s="317" t="str">
        <f>IF(B205="","",+#REF!+1)</f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>$J$120*H205</f>
        <v>0</v>
      </c>
    </row>
    <row r="206" spans="1:24" s="1" customFormat="1" ht="18" customHeight="1">
      <c r="A206" s="25"/>
      <c r="B206" s="161"/>
      <c r="C206" s="33"/>
      <c r="D206" s="30"/>
      <c r="E206" s="17"/>
      <c r="F206" s="30"/>
      <c r="G206" s="30"/>
      <c r="H206" s="161"/>
      <c r="I206" s="24"/>
      <c r="J206" s="24"/>
    </row>
    <row r="207" spans="1:24" ht="18" customHeight="1">
      <c r="A207" s="17"/>
      <c r="J207" s="99" t="str">
        <f>LEFT($J$111,13)&amp;"-02"</f>
        <v>FG-240-7P1L6R-02</v>
      </c>
    </row>
    <row r="208" spans="1:24" ht="12.75" customHeight="1">
      <c r="B208" s="56"/>
      <c r="C208" s="56"/>
      <c r="D208" s="30"/>
      <c r="E208" s="17"/>
      <c r="F208" s="17"/>
      <c r="G208" s="17"/>
      <c r="H208" s="17"/>
      <c r="K208" s="7"/>
      <c r="L208" s="7"/>
      <c r="M208" s="2"/>
      <c r="N208" s="2"/>
    </row>
    <row r="209" spans="1:14" ht="30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223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223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/>
      <c r="C215"/>
      <c r="D215" s="81"/>
      <c r="E215"/>
      <c r="F215"/>
      <c r="G215"/>
      <c r="H215"/>
      <c r="I215" s="160"/>
      <c r="J215" s="116"/>
    </row>
    <row r="216" spans="1:14" s="1" customFormat="1" ht="15" customHeight="1">
      <c r="A216" s="17"/>
      <c r="B216" s="93"/>
      <c r="C216" s="56"/>
      <c r="D216" s="30"/>
      <c r="E216" s="29"/>
      <c r="F216" s="160"/>
      <c r="G216" s="160"/>
      <c r="H216" s="16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s="1" customFormat="1" ht="15.6">
      <c r="A218" s="109"/>
      <c r="B218" s="33"/>
      <c r="C218" s="327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378</v>
      </c>
      <c r="D220" s="30"/>
      <c r="E220" s="29"/>
      <c r="F220" s="30"/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89"/>
      <c r="J221" s="12"/>
    </row>
    <row r="222" spans="1:14" s="1" customFormat="1" ht="15" customHeight="1">
      <c r="A222" s="109"/>
      <c r="B222" s="33"/>
      <c r="C222" s="327" t="s">
        <v>273</v>
      </c>
      <c r="D222" s="161"/>
      <c r="E222" s="109"/>
      <c r="F222" s="161"/>
      <c r="J222" s="12"/>
    </row>
    <row r="223" spans="1:14" s="1" customFormat="1" ht="15" customHeight="1">
      <c r="A223" s="109"/>
      <c r="B223" s="33"/>
      <c r="C223" s="374">
        <f>$I$133</f>
        <v>1940</v>
      </c>
      <c r="D223" s="161"/>
      <c r="E223" s="35"/>
      <c r="F223" s="161"/>
      <c r="G223" s="68"/>
      <c r="J223" s="12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326"/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326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327"/>
      <c r="D229" s="161"/>
      <c r="E229" s="109"/>
      <c r="F229" s="161"/>
      <c r="H229" s="109"/>
      <c r="I229" s="221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221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221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221"/>
      <c r="J232" s="117"/>
    </row>
    <row r="233" spans="1:10" s="1" customFormat="1" ht="15.9" customHeight="1">
      <c r="A233" s="44"/>
      <c r="B233" s="44"/>
      <c r="C233" s="89" t="s">
        <v>369</v>
      </c>
      <c r="D233" s="84"/>
      <c r="E233" s="44"/>
      <c r="F233" s="44"/>
      <c r="G233" s="109"/>
      <c r="H233" s="109"/>
      <c r="I233" s="221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1914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221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21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109"/>
      <c r="J242" s="24"/>
    </row>
    <row r="243" spans="1:10" s="1" customFormat="1" ht="15.9" customHeight="1">
      <c r="A243" s="109"/>
      <c r="B243" s="33"/>
      <c r="C243" s="89" t="s">
        <v>370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.9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" customHeight="1">
      <c r="A245" s="109"/>
      <c r="B245" s="33"/>
      <c r="C245" s="327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1940</v>
      </c>
      <c r="D246" s="161"/>
      <c r="E246" s="109"/>
      <c r="F246" s="161"/>
      <c r="G246" s="109"/>
      <c r="H246" s="109"/>
      <c r="I246" s="44"/>
      <c r="J246" s="119"/>
    </row>
    <row r="247" spans="1:10" s="1" customFormat="1" ht="15.9" customHeight="1">
      <c r="A247" s="109"/>
      <c r="B247" s="33"/>
      <c r="C247" s="363">
        <f>$J$135</f>
        <v>1</v>
      </c>
      <c r="D247" s="161"/>
      <c r="E247" s="109"/>
      <c r="F247" s="161"/>
      <c r="G247" s="109"/>
      <c r="H247" s="109"/>
      <c r="I247" s="32"/>
      <c r="J247" s="40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0"/>
      <c r="H251" s="109"/>
      <c r="I251" s="24"/>
      <c r="J251" s="24"/>
    </row>
    <row r="252" spans="1:10" s="1" customFormat="1" ht="15.9" customHeight="1">
      <c r="A252" s="109"/>
      <c r="B252" s="33"/>
      <c r="C252" s="33"/>
      <c r="D252" s="161"/>
      <c r="E252" s="109"/>
      <c r="F252" s="109"/>
      <c r="G252" s="40"/>
      <c r="H252" s="109"/>
      <c r="I252" s="24"/>
      <c r="J252" s="24"/>
    </row>
    <row r="253" spans="1:10" s="1" customFormat="1" ht="15.9" customHeight="1">
      <c r="A253" s="109"/>
      <c r="B253" s="33"/>
      <c r="D253" s="161"/>
      <c r="E253" s="109"/>
      <c r="F253" s="109"/>
      <c r="G253" s="109"/>
      <c r="H253" s="109"/>
      <c r="I253" s="24"/>
      <c r="J253" s="24"/>
    </row>
    <row r="254" spans="1:10" s="1" customFormat="1" ht="15.9" customHeight="1">
      <c r="A254" s="44"/>
      <c r="B254" s="44"/>
      <c r="D254" s="84"/>
      <c r="E254" s="44"/>
      <c r="F254" s="44"/>
      <c r="G254" s="109"/>
      <c r="H254" s="109"/>
      <c r="I254" s="24"/>
      <c r="J254" s="24"/>
    </row>
    <row r="255" spans="1:10" s="1" customFormat="1" ht="15.9" customHeight="1">
      <c r="A255" s="40"/>
      <c r="B255" s="40"/>
      <c r="C255" s="89" t="s">
        <v>371</v>
      </c>
      <c r="D255" s="85"/>
      <c r="E255" s="40"/>
      <c r="F255" s="32"/>
      <c r="G255" s="109"/>
      <c r="I255" s="24"/>
      <c r="J255" s="24"/>
    </row>
    <row r="256" spans="1:10" s="1" customFormat="1" ht="15.9" customHeight="1">
      <c r="A256" s="27"/>
      <c r="B256" s="33"/>
      <c r="C256" s="328" t="s">
        <v>275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27" t="s">
        <v>273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74">
        <f>$I$136</f>
        <v>1940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63">
        <f>$J$136</f>
        <v>1</v>
      </c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33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46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161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33"/>
      <c r="D264" s="161"/>
      <c r="E264" s="109"/>
      <c r="F264" s="109"/>
      <c r="G264" s="109"/>
      <c r="I264" s="24"/>
      <c r="J264" s="24"/>
    </row>
    <row r="265" spans="1:10" s="1" customFormat="1" ht="15.9" customHeight="1">
      <c r="A265" s="27"/>
      <c r="B265" s="33"/>
      <c r="C265" s="89" t="s">
        <v>373</v>
      </c>
      <c r="D265" s="161"/>
      <c r="E265" s="109"/>
      <c r="F265" s="109"/>
      <c r="G265" s="109"/>
      <c r="H265" s="109"/>
      <c r="I265" s="24"/>
      <c r="J265" s="24"/>
    </row>
    <row r="266" spans="1:10" s="1" customFormat="1" ht="15.9" customHeight="1">
      <c r="A266" s="27"/>
      <c r="B266" s="33"/>
      <c r="C266" s="328" t="s">
        <v>379</v>
      </c>
      <c r="D266" s="328"/>
      <c r="E266" s="328"/>
      <c r="F266" s="109"/>
      <c r="G266" s="109"/>
      <c r="H266" s="109"/>
      <c r="I266" s="24"/>
      <c r="J266" s="24"/>
    </row>
    <row r="267" spans="1:10" s="1" customFormat="1" ht="15.9" customHeight="1">
      <c r="A267" s="27"/>
      <c r="B267" s="33"/>
      <c r="C267" s="327" t="s">
        <v>279</v>
      </c>
      <c r="D267" s="327"/>
      <c r="E267" s="327"/>
      <c r="F267" s="109"/>
      <c r="G267" s="109"/>
      <c r="H267" s="109"/>
      <c r="J267" s="12"/>
    </row>
    <row r="268" spans="1:10" s="1" customFormat="1" ht="15.9" customHeight="1">
      <c r="A268" s="27"/>
      <c r="B268" s="33"/>
      <c r="C268" s="374">
        <f>$I$137</f>
        <v>2000</v>
      </c>
      <c r="D268" s="161"/>
      <c r="E268" s="109"/>
      <c r="F268" s="109"/>
      <c r="G268" s="33"/>
      <c r="H268" s="33"/>
      <c r="J268" s="12"/>
    </row>
    <row r="269" spans="1:10" s="1" customFormat="1" ht="15.9" customHeight="1">
      <c r="A269" s="27"/>
      <c r="B269" s="33"/>
      <c r="C269" s="363">
        <f>$J$137+$J$138</f>
        <v>2</v>
      </c>
      <c r="D269" s="161"/>
      <c r="E269" s="10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B271" s="33"/>
      <c r="D271" s="89"/>
      <c r="E271" s="89"/>
      <c r="F271" s="109"/>
      <c r="G271" s="109"/>
      <c r="H271" s="109"/>
      <c r="J271" s="12"/>
    </row>
    <row r="272" spans="1:10" s="1" customFormat="1" ht="15.9" customHeight="1">
      <c r="A272" s="27"/>
      <c r="D272" s="328"/>
      <c r="E272" s="328"/>
      <c r="F272" s="109"/>
      <c r="G272" s="109"/>
      <c r="H272" s="109"/>
      <c r="J272" s="12"/>
    </row>
    <row r="273" spans="1:10" s="1" customFormat="1" ht="15.9" customHeight="1">
      <c r="A273" s="27"/>
      <c r="D273" s="328"/>
      <c r="E273" s="328"/>
      <c r="F273" s="109"/>
      <c r="G273" s="109"/>
      <c r="H273" s="109"/>
      <c r="J273" s="12"/>
    </row>
    <row r="274" spans="1:10" s="1" customFormat="1" ht="15.9" customHeight="1">
      <c r="A274" s="27"/>
      <c r="B274" s="33"/>
      <c r="D274" s="328"/>
      <c r="E274" s="328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33"/>
      <c r="D275" s="161"/>
      <c r="E275" s="109"/>
      <c r="F275" s="109"/>
      <c r="G275" s="109"/>
      <c r="I275" s="24"/>
      <c r="J275" s="24"/>
    </row>
    <row r="276" spans="1:10" s="1" customFormat="1" ht="15.9" customHeight="1">
      <c r="A276" s="27"/>
      <c r="B276" s="33"/>
      <c r="C276" s="89" t="s">
        <v>374</v>
      </c>
      <c r="D276" s="162"/>
      <c r="E276" s="24"/>
      <c r="F276" s="109"/>
      <c r="G276" s="109"/>
      <c r="I276" s="24"/>
      <c r="J276" s="24"/>
    </row>
    <row r="277" spans="1:10" s="1" customFormat="1" ht="15.9" customHeight="1">
      <c r="A277" s="27"/>
      <c r="B277" s="33"/>
      <c r="C277" s="328" t="s">
        <v>649</v>
      </c>
      <c r="D277" s="328"/>
      <c r="E277" s="328"/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433" t="s">
        <v>650</v>
      </c>
      <c r="D278" s="327"/>
      <c r="E278" s="327"/>
      <c r="F278" s="109"/>
      <c r="G278" s="109"/>
      <c r="I278" s="109"/>
      <c r="J278" s="24"/>
    </row>
    <row r="279" spans="1:10" s="1" customFormat="1" ht="15.9" customHeight="1">
      <c r="A279" s="27"/>
      <c r="B279" s="33"/>
      <c r="C279" s="374">
        <f>$I$139</f>
        <v>1904</v>
      </c>
      <c r="F279" s="109"/>
      <c r="G279" s="109"/>
      <c r="I279" s="109"/>
      <c r="J279" s="24"/>
    </row>
    <row r="280" spans="1:10" s="1" customFormat="1" ht="15.9" customHeight="1">
      <c r="A280" s="27"/>
      <c r="B280" s="33"/>
      <c r="C280" s="363">
        <f>$J$139+$J$140</f>
        <v>2</v>
      </c>
      <c r="F280" s="109"/>
      <c r="G280" s="109"/>
      <c r="I280" s="109"/>
      <c r="J280" s="24"/>
    </row>
    <row r="281" spans="1:10" s="1" customFormat="1" ht="15.9" customHeight="1">
      <c r="A281" s="27"/>
      <c r="B281" s="33"/>
      <c r="F281" s="109"/>
      <c r="G281" s="109"/>
      <c r="H281" s="109"/>
      <c r="J281" s="12"/>
    </row>
    <row r="282" spans="1:10" s="1" customFormat="1" ht="15.9" customHeight="1">
      <c r="A282" s="27"/>
      <c r="B282" s="33"/>
      <c r="C282" s="33"/>
      <c r="D282" s="161"/>
      <c r="E282" s="109"/>
      <c r="F282" s="109"/>
      <c r="G282" s="109"/>
      <c r="H282" s="109"/>
      <c r="J282" s="12"/>
    </row>
    <row r="283" spans="1:10" s="1" customFormat="1" ht="15.9" customHeight="1">
      <c r="A283" s="27"/>
      <c r="B283" s="33"/>
      <c r="F283" s="109"/>
      <c r="G283" s="109"/>
      <c r="H283" s="109"/>
      <c r="J283" s="12"/>
    </row>
    <row r="284" spans="1:10" s="1" customFormat="1" ht="15.9" customHeight="1">
      <c r="A284" s="27"/>
      <c r="B284" s="33"/>
      <c r="F284" s="109"/>
      <c r="G284" s="109"/>
      <c r="H284" s="109"/>
      <c r="I284" s="162"/>
      <c r="J284" s="24"/>
    </row>
    <row r="285" spans="1:10" s="1" customFormat="1" ht="15.9" customHeight="1">
      <c r="A285" s="27"/>
      <c r="B285" s="33"/>
      <c r="C285" s="89" t="s">
        <v>375</v>
      </c>
      <c r="F285" s="109"/>
      <c r="G285" s="109"/>
      <c r="H285" s="109"/>
      <c r="I285" s="109"/>
      <c r="J285" s="24"/>
    </row>
    <row r="286" spans="1:10" s="1" customFormat="1" ht="15.9" customHeight="1">
      <c r="A286" s="27"/>
      <c r="B286" s="33"/>
      <c r="C286" s="94" t="s">
        <v>444</v>
      </c>
      <c r="D286" s="161"/>
      <c r="E286" s="109"/>
      <c r="F286" s="109"/>
      <c r="G286" s="109"/>
      <c r="H286" s="109"/>
      <c r="I286" s="24"/>
      <c r="J286" s="24"/>
    </row>
    <row r="287" spans="1:10" s="1" customFormat="1" ht="15.9" customHeight="1">
      <c r="A287" s="27"/>
      <c r="B287" s="33"/>
      <c r="C287" s="327" t="s">
        <v>445</v>
      </c>
      <c r="D287" s="161"/>
      <c r="E287" s="109"/>
      <c r="F287" s="109"/>
      <c r="G287" s="109"/>
      <c r="H287" s="109"/>
      <c r="I287" s="24"/>
      <c r="J287" s="24"/>
    </row>
    <row r="288" spans="1:10" s="1" customFormat="1" ht="15.9" customHeight="1">
      <c r="A288" s="27"/>
      <c r="B288" s="33"/>
      <c r="C288" s="328" t="s">
        <v>281</v>
      </c>
      <c r="D288" s="328"/>
      <c r="E288" s="328"/>
      <c r="F288" s="109"/>
      <c r="G288" s="109"/>
      <c r="I288" s="24"/>
      <c r="J288" s="24"/>
    </row>
    <row r="289" spans="1:10" s="23" customFormat="1" ht="15.9" customHeight="1">
      <c r="A289" s="27"/>
      <c r="B289" s="33"/>
      <c r="C289" s="327" t="s">
        <v>282</v>
      </c>
      <c r="D289" s="327"/>
      <c r="E289" s="327"/>
      <c r="F289" s="109"/>
      <c r="G289" s="109"/>
      <c r="H289" s="1"/>
      <c r="I289" s="109"/>
      <c r="J289" s="109"/>
    </row>
    <row r="290" spans="1:10" s="1" customFormat="1" ht="15.9" customHeight="1">
      <c r="A290" s="27"/>
      <c r="B290" s="33"/>
      <c r="C290" s="374">
        <f>$I$141</f>
        <v>162.21428571428572</v>
      </c>
      <c r="F290" s="109"/>
      <c r="G290" s="109"/>
      <c r="I290" s="44"/>
      <c r="J290" s="119"/>
    </row>
    <row r="291" spans="1:10" s="1" customFormat="1" ht="15.9" customHeight="1">
      <c r="A291" s="27"/>
      <c r="B291" s="33"/>
      <c r="C291" s="363">
        <f>$J$141+$J$142</f>
        <v>14</v>
      </c>
      <c r="D291" s="161"/>
      <c r="E291" s="109"/>
      <c r="F291" s="109"/>
      <c r="G291" s="109"/>
      <c r="H291" s="161"/>
      <c r="I291" s="32"/>
      <c r="J291" s="40"/>
    </row>
    <row r="292" spans="1:10" s="1" customFormat="1" ht="15.9" customHeight="1">
      <c r="A292" s="27"/>
      <c r="B292" s="33"/>
      <c r="C292" s="374">
        <f>$I$143</f>
        <v>1908</v>
      </c>
      <c r="D292" s="161"/>
      <c r="E292" s="109"/>
      <c r="F292" s="109"/>
      <c r="G292" s="109"/>
      <c r="H292" s="109"/>
      <c r="I292" s="24"/>
      <c r="J292" s="24"/>
    </row>
    <row r="293" spans="1:10" s="1" customFormat="1" ht="15.9" customHeight="1">
      <c r="A293" s="27"/>
      <c r="B293" s="33"/>
      <c r="C293" s="363">
        <f>$J$143+$J$144+$J$145</f>
        <v>14</v>
      </c>
      <c r="D293" s="161"/>
      <c r="E293" s="109"/>
      <c r="F293" s="109"/>
      <c r="G293" s="109"/>
      <c r="H293" s="109"/>
      <c r="I293" s="24"/>
      <c r="J293" s="24"/>
    </row>
    <row r="294" spans="1:10" s="1" customFormat="1" ht="15.9" customHeight="1">
      <c r="A294" s="27"/>
      <c r="B294" s="33"/>
      <c r="D294" s="161"/>
      <c r="E294" s="109"/>
      <c r="F294" s="109"/>
      <c r="G294" s="109"/>
      <c r="H294" s="109"/>
      <c r="I294" s="24"/>
      <c r="J294" s="24"/>
    </row>
    <row r="295" spans="1:10" s="1" customFormat="1" ht="15.9" customHeight="1">
      <c r="A295" s="27"/>
      <c r="B295" s="33"/>
      <c r="C295" s="33"/>
      <c r="D295" s="161"/>
      <c r="E295" s="109"/>
      <c r="F295" s="109"/>
      <c r="G295" s="109"/>
      <c r="H295" s="109"/>
      <c r="I295" s="109"/>
      <c r="J295" s="24"/>
    </row>
    <row r="296" spans="1:10" s="1" customFormat="1" ht="15.9" customHeight="1">
      <c r="A296" s="27"/>
      <c r="B296" s="33"/>
      <c r="C296" s="23"/>
      <c r="D296" s="161"/>
      <c r="E296" s="109"/>
      <c r="F296" s="109"/>
      <c r="G296" s="109"/>
      <c r="H296" s="109"/>
      <c r="I296" s="109"/>
      <c r="J296" s="24"/>
    </row>
    <row r="297" spans="1:10" s="1" customFormat="1" ht="15.9" customHeight="1">
      <c r="A297" s="27"/>
      <c r="B297" s="33"/>
      <c r="C297" s="89" t="s">
        <v>376</v>
      </c>
      <c r="D297" s="161"/>
      <c r="E297" s="109"/>
      <c r="F297" s="109"/>
      <c r="G297" s="109"/>
      <c r="H297" s="109"/>
      <c r="I297" s="109"/>
      <c r="J297" s="24"/>
    </row>
    <row r="298" spans="1:10" s="1" customFormat="1" ht="15.9" customHeight="1">
      <c r="A298" s="27"/>
      <c r="B298" s="33"/>
      <c r="C298" s="94" t="s">
        <v>444</v>
      </c>
      <c r="D298" s="161"/>
      <c r="E298" s="109"/>
      <c r="F298" s="109"/>
      <c r="G298" s="44"/>
      <c r="H298" s="44"/>
      <c r="I298" s="109"/>
      <c r="J298" s="24"/>
    </row>
    <row r="299" spans="1:10" s="1" customFormat="1" ht="15.9" customHeight="1">
      <c r="A299" s="27"/>
      <c r="B299" s="33"/>
      <c r="C299" s="327" t="s">
        <v>445</v>
      </c>
      <c r="D299" s="328"/>
      <c r="E299" s="328"/>
      <c r="F299" s="109"/>
      <c r="G299" s="40"/>
      <c r="H299" s="32"/>
      <c r="I299" s="109"/>
      <c r="J299" s="24"/>
    </row>
    <row r="300" spans="1:10" s="1" customFormat="1" ht="15.9" customHeight="1">
      <c r="A300" s="41"/>
      <c r="B300" s="33"/>
      <c r="C300" s="328" t="s">
        <v>286</v>
      </c>
      <c r="D300" s="327"/>
      <c r="E300" s="327"/>
      <c r="F300" s="109"/>
      <c r="G300" s="109"/>
      <c r="H300" s="109"/>
      <c r="I300" s="109"/>
      <c r="J300" s="24"/>
    </row>
    <row r="301" spans="1:10" s="1" customFormat="1" ht="15.9" customHeight="1">
      <c r="A301" s="44"/>
      <c r="B301" s="44"/>
      <c r="C301" s="327" t="s">
        <v>285</v>
      </c>
      <c r="D301" s="86"/>
      <c r="E301" s="79"/>
      <c r="F301" s="44"/>
      <c r="G301" s="109"/>
      <c r="H301" s="109"/>
      <c r="I301" s="109"/>
      <c r="J301" s="24"/>
    </row>
    <row r="302" spans="1:10" s="1" customFormat="1" ht="15.9" customHeight="1">
      <c r="A302" s="40"/>
      <c r="B302" s="40"/>
      <c r="C302" s="374">
        <f>$I$146</f>
        <v>162.21428571428572</v>
      </c>
      <c r="D302" s="87"/>
      <c r="E302" s="80"/>
      <c r="F302" s="32"/>
      <c r="G302" s="109"/>
      <c r="H302" s="109"/>
      <c r="I302" s="109"/>
      <c r="J302" s="24"/>
    </row>
    <row r="303" spans="1:10" s="1" customFormat="1" ht="15.9" customHeight="1">
      <c r="A303" s="109"/>
      <c r="B303" s="33"/>
      <c r="C303" s="363">
        <f>$J$146</f>
        <v>14</v>
      </c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C304" s="374">
        <f>$I$147</f>
        <v>1758</v>
      </c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C305" s="363">
        <f>$J$147</f>
        <v>14</v>
      </c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D306" s="15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89" t="s">
        <v>377</v>
      </c>
      <c r="D307" s="161"/>
      <c r="E307" s="109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328" t="s">
        <v>281</v>
      </c>
      <c r="D308" s="328"/>
      <c r="E308" s="328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542" t="s">
        <v>282</v>
      </c>
      <c r="D309" s="542"/>
      <c r="E309" s="542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74">
        <f>$I$148</f>
        <v>1908</v>
      </c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C311" s="363">
        <f>$J$148+$J$149</f>
        <v>2</v>
      </c>
      <c r="D311" s="328"/>
      <c r="E311" s="328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33"/>
      <c r="D314" s="162"/>
      <c r="E314" s="24"/>
      <c r="F314" s="109"/>
      <c r="G314" s="109"/>
      <c r="H314" s="109"/>
      <c r="I314" s="27"/>
      <c r="J314" s="99" t="str">
        <f>LEFT($J$111,13)&amp;"-03"</f>
        <v>FG-240-7P1L6R-03</v>
      </c>
    </row>
    <row r="315" spans="1:14" ht="12.75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30" customHeight="1">
      <c r="A316" s="17"/>
      <c r="B316" s="26"/>
      <c r="C316" s="26"/>
      <c r="D316" s="83"/>
      <c r="E316" s="25"/>
      <c r="F316" s="25"/>
      <c r="G316" s="25"/>
      <c r="H316" s="25"/>
      <c r="I316" s="179"/>
      <c r="J316" s="90" t="str">
        <f>$J$2</f>
        <v>HOMELIFE</v>
      </c>
    </row>
    <row r="317" spans="1:14" ht="24.9" customHeight="1">
      <c r="B317" s="223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223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s="1" customFormat="1" ht="15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  <c r="K320" s="4"/>
      <c r="L320" s="4"/>
      <c r="M320" s="4"/>
      <c r="N320" s="4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220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220"/>
      <c r="I331" s="161"/>
      <c r="J331" s="109"/>
    </row>
    <row r="332" spans="1:10" s="1" customFormat="1" ht="15" customHeight="1">
      <c r="A332" s="64" t="str">
        <f>A18</f>
        <v>240-7 Panel (1L6R)</v>
      </c>
      <c r="B332" s="92"/>
      <c r="C332" s="161"/>
      <c r="D332" s="161"/>
      <c r="E332" s="109"/>
      <c r="F332" s="220"/>
      <c r="G332" s="220"/>
      <c r="H332" s="220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92"/>
      <c r="C333" s="161"/>
      <c r="D333" s="161"/>
      <c r="E333" s="109"/>
      <c r="F333" s="220"/>
      <c r="G333" s="220"/>
      <c r="H333" s="220"/>
      <c r="I333" s="109"/>
      <c r="J333" s="109"/>
    </row>
    <row r="334" spans="1:10" s="1" customFormat="1" ht="15.9" customHeight="1">
      <c r="A334" s="109"/>
      <c r="B334" s="45"/>
      <c r="C334" s="42"/>
      <c r="D334" s="161"/>
      <c r="E334" s="109"/>
      <c r="F334" s="507"/>
      <c r="G334" s="507"/>
      <c r="H334" s="220"/>
      <c r="I334" s="109"/>
      <c r="J334" s="109"/>
    </row>
    <row r="335" spans="1:10" s="1" customFormat="1" ht="15.9" customHeight="1">
      <c r="A335" s="39"/>
      <c r="B335" s="109"/>
      <c r="C335" s="161"/>
      <c r="D335" s="161"/>
      <c r="E335" s="109"/>
      <c r="F335" s="37"/>
      <c r="G335" s="38"/>
      <c r="H335" s="109"/>
      <c r="I335" s="109"/>
      <c r="J335" s="109"/>
    </row>
    <row r="336" spans="1:10" s="1" customFormat="1" ht="15.9" customHeight="1">
      <c r="A336" s="44"/>
      <c r="C336" s="43"/>
      <c r="D336" s="161"/>
      <c r="E336" s="109"/>
      <c r="F336" s="109"/>
      <c r="G336" s="109"/>
      <c r="H336" s="109"/>
      <c r="I336" s="44"/>
      <c r="J336" s="119"/>
    </row>
    <row r="337" spans="1:10" s="1" customFormat="1" ht="15.9" customHeight="1">
      <c r="A337" s="40"/>
      <c r="C337" s="44"/>
      <c r="D337" s="84"/>
      <c r="E337" s="44"/>
      <c r="F337" s="44"/>
      <c r="G337" s="44"/>
      <c r="H337" s="44"/>
      <c r="I337" s="32"/>
      <c r="J337" s="40"/>
    </row>
    <row r="338" spans="1:10" s="1" customFormat="1" ht="15.9" customHeight="1">
      <c r="A338" s="109"/>
      <c r="C338" s="161"/>
      <c r="D338" s="85"/>
      <c r="E338" s="40"/>
      <c r="F338" s="32"/>
      <c r="G338" s="40"/>
      <c r="H338" s="32"/>
      <c r="I338" s="24"/>
      <c r="J338" s="24"/>
    </row>
    <row r="339" spans="1:10" s="1" customFormat="1" ht="15.9" customHeight="1">
      <c r="A339" s="109"/>
      <c r="C339" s="163"/>
      <c r="D339" s="161"/>
      <c r="E339" s="109"/>
      <c r="F339" s="161"/>
      <c r="G339" s="109"/>
      <c r="H339" s="109"/>
      <c r="I339" s="24"/>
      <c r="J339" s="24"/>
    </row>
    <row r="340" spans="1:10" s="1" customFormat="1" ht="15.9" customHeight="1">
      <c r="A340" s="109"/>
      <c r="B340" s="33"/>
      <c r="C340" s="161"/>
      <c r="D340" s="161"/>
      <c r="E340" s="109"/>
      <c r="F340" s="161"/>
      <c r="G340" s="109"/>
      <c r="H340" s="109"/>
      <c r="I340" s="162"/>
      <c r="J340" s="162"/>
    </row>
    <row r="341" spans="1:10" s="1" customFormat="1" ht="15.9" customHeight="1">
      <c r="A341" s="109"/>
      <c r="B341" s="33"/>
      <c r="C341" s="44"/>
      <c r="D341" s="161"/>
      <c r="E341" s="109"/>
      <c r="F341" s="161"/>
      <c r="G341" s="109"/>
      <c r="H341" s="162"/>
      <c r="I341" s="161"/>
      <c r="J341" s="161"/>
    </row>
    <row r="342" spans="1:10" s="1" customFormat="1" ht="15.9" customHeight="1">
      <c r="A342" s="109"/>
      <c r="B342" s="33"/>
      <c r="C342" s="42"/>
      <c r="D342" s="161"/>
      <c r="E342" s="109"/>
      <c r="F342" s="161"/>
      <c r="G342" s="109"/>
      <c r="H342" s="161"/>
      <c r="I342" s="161"/>
      <c r="J342" s="161"/>
    </row>
    <row r="343" spans="1:10" s="1" customFormat="1" ht="15.9" customHeight="1">
      <c r="A343" s="109"/>
      <c r="B343" s="33"/>
      <c r="C343" s="163"/>
      <c r="D343" s="161"/>
      <c r="E343" s="109"/>
      <c r="F343" s="161"/>
      <c r="G343" s="109"/>
      <c r="H343" s="161"/>
      <c r="I343" s="109"/>
      <c r="J343" s="24"/>
    </row>
    <row r="344" spans="1:10" s="1" customFormat="1" ht="15.9" customHeight="1">
      <c r="A344" s="109"/>
      <c r="B344" s="33"/>
      <c r="C344" s="161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44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3"/>
      <c r="D350" s="161"/>
      <c r="E350" s="109"/>
      <c r="F350" s="161"/>
      <c r="G350" s="109"/>
      <c r="H350" s="109"/>
      <c r="I350" s="109"/>
      <c r="J350" s="24"/>
    </row>
    <row r="351" spans="1:10" s="1" customFormat="1" ht="15.9" customHeight="1">
      <c r="A351" s="109"/>
      <c r="B351" s="33"/>
      <c r="C351" s="161"/>
      <c r="D351" s="161"/>
      <c r="E351" s="109"/>
      <c r="F351" s="161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1" customFormat="1" ht="15" customHeight="1">
      <c r="A353" s="109"/>
      <c r="B353" s="33"/>
      <c r="C353" s="33"/>
      <c r="D353" s="161"/>
      <c r="E353" s="109"/>
      <c r="F353" s="109"/>
      <c r="G353" s="109"/>
      <c r="H353" s="107"/>
      <c r="I353" s="24"/>
      <c r="J353" s="24"/>
    </row>
    <row r="354" spans="1:10" s="23" customFormat="1" ht="15.9" customHeight="1">
      <c r="A354" s="109"/>
      <c r="B354" s="33"/>
      <c r="C354" s="33"/>
      <c r="D354" s="161"/>
      <c r="E354" s="109"/>
      <c r="F354" s="109"/>
      <c r="G354" s="109"/>
      <c r="H354" s="109"/>
      <c r="I354" s="109"/>
      <c r="J354" s="109"/>
    </row>
    <row r="355" spans="1:10" s="1" customFormat="1" ht="15.9" customHeight="1">
      <c r="A355" s="44"/>
      <c r="B355" s="33"/>
      <c r="C355" s="33"/>
      <c r="D355" s="161"/>
      <c r="E355" s="109"/>
      <c r="F355" s="109"/>
      <c r="G355" s="109"/>
      <c r="H355" s="109"/>
      <c r="I355" s="44"/>
      <c r="J355" s="119"/>
    </row>
    <row r="356" spans="1:10" s="1" customFormat="1" ht="15.9" customHeight="1">
      <c r="A356" s="40"/>
      <c r="B356" s="44"/>
      <c r="C356" s="44"/>
      <c r="D356" s="84"/>
      <c r="E356" s="44"/>
      <c r="F356" s="44"/>
      <c r="G356" s="44"/>
      <c r="H356" s="44"/>
      <c r="I356" s="32"/>
      <c r="J356" s="40"/>
    </row>
    <row r="357" spans="1:10" s="1" customFormat="1" ht="15.9" customHeight="1">
      <c r="A357" s="27"/>
      <c r="B357" s="40"/>
      <c r="C357" s="44"/>
      <c r="D357" s="85"/>
      <c r="E357" s="40"/>
      <c r="F357" s="32"/>
      <c r="G357" s="40"/>
      <c r="H357" s="32"/>
      <c r="I357" s="24"/>
      <c r="J357" s="24"/>
    </row>
    <row r="358" spans="1:10" s="1" customFormat="1" ht="15.9" customHeight="1">
      <c r="A358" s="27"/>
      <c r="B358" s="33"/>
      <c r="C358" s="42"/>
      <c r="D358" s="161"/>
      <c r="E358" s="109"/>
      <c r="F358" s="109"/>
      <c r="G358" s="109"/>
      <c r="H358" s="42"/>
      <c r="I358" s="163"/>
      <c r="J358" s="163"/>
    </row>
    <row r="359" spans="1:10" s="1" customFormat="1" ht="15.9" customHeight="1">
      <c r="A359" s="27"/>
      <c r="B359" s="33"/>
      <c r="C359" s="163"/>
      <c r="D359" s="161"/>
      <c r="E359" s="109"/>
      <c r="F359" s="109"/>
      <c r="G359" s="109"/>
      <c r="H359" s="163"/>
      <c r="I359" s="161"/>
      <c r="J359" s="161"/>
    </row>
    <row r="360" spans="1:10" s="1" customFormat="1" ht="15.9" customHeight="1">
      <c r="A360" s="27"/>
      <c r="B360" s="33"/>
      <c r="C360" s="161"/>
      <c r="D360" s="161"/>
      <c r="E360" s="109"/>
      <c r="F360" s="109"/>
      <c r="G360" s="109"/>
      <c r="H360" s="161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46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161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D372" s="161"/>
      <c r="E372" s="109"/>
      <c r="F372" s="109"/>
      <c r="G372" s="33"/>
      <c r="H372" s="33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42"/>
      <c r="I376" s="163"/>
      <c r="J376" s="163"/>
    </row>
    <row r="377" spans="1:10" s="1" customFormat="1" ht="15.9" customHeight="1">
      <c r="A377" s="27"/>
      <c r="B377" s="33"/>
      <c r="C377" s="47"/>
      <c r="D377" s="161"/>
      <c r="E377" s="109"/>
      <c r="F377" s="109"/>
      <c r="G377" s="109"/>
      <c r="H377" s="163"/>
      <c r="I377" s="161"/>
      <c r="J377" s="161"/>
    </row>
    <row r="378" spans="1:10" s="1" customFormat="1" ht="15.9" customHeight="1">
      <c r="A378" s="27"/>
      <c r="B378" s="33"/>
      <c r="C378" s="46"/>
      <c r="D378" s="161"/>
      <c r="E378" s="109"/>
      <c r="F378" s="109"/>
      <c r="G378" s="109"/>
      <c r="H378" s="161"/>
      <c r="I378" s="24"/>
      <c r="J378" s="24"/>
    </row>
    <row r="379" spans="1:10" s="1" customFormat="1" ht="15.9" customHeight="1">
      <c r="A379" s="27"/>
      <c r="B379" s="33"/>
      <c r="C379" s="161"/>
      <c r="D379" s="161"/>
      <c r="E379" s="109"/>
      <c r="F379" s="109"/>
      <c r="G379" s="109"/>
      <c r="H379" s="42"/>
      <c r="I379" s="163"/>
      <c r="J379" s="163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3"/>
      <c r="I380" s="161"/>
      <c r="J380" s="161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1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64"/>
      <c r="J388" s="16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4"/>
      <c r="I389" s="165"/>
      <c r="J389" s="165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5"/>
      <c r="I390" s="161"/>
      <c r="J390" s="161"/>
    </row>
    <row r="391" spans="1:10" s="1" customFormat="1" ht="15.9" customHeight="1">
      <c r="A391" s="27"/>
      <c r="B391" s="33"/>
      <c r="C391" s="47"/>
      <c r="D391" s="161"/>
      <c r="E391" s="109"/>
      <c r="F391" s="109"/>
      <c r="G391" s="109"/>
      <c r="H391" s="161"/>
      <c r="I391" s="24"/>
      <c r="J391" s="24"/>
    </row>
    <row r="392" spans="1:10" s="1" customFormat="1" ht="15.9" customHeight="1">
      <c r="A392" s="27"/>
      <c r="B392" s="33"/>
      <c r="C392" s="46"/>
      <c r="D392" s="161"/>
      <c r="E392" s="109"/>
      <c r="F392" s="109"/>
      <c r="G392" s="109"/>
      <c r="H392" s="109"/>
      <c r="I392" s="109"/>
      <c r="J392" s="24"/>
    </row>
    <row r="393" spans="1:10" s="1" customFormat="1" ht="15.9" customHeight="1">
      <c r="A393" s="27"/>
      <c r="B393" s="33"/>
      <c r="C393" s="161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23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1" customFormat="1" ht="15.9" customHeight="1">
      <c r="A405" s="44"/>
      <c r="B405" s="33"/>
      <c r="C405" s="33"/>
      <c r="D405" s="161"/>
      <c r="E405" s="109"/>
      <c r="F405" s="109"/>
      <c r="G405" s="109"/>
      <c r="H405" s="109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109"/>
      <c r="B419" s="44"/>
      <c r="C419" s="44"/>
      <c r="D419" s="84"/>
      <c r="E419" s="44"/>
      <c r="F419" s="44"/>
      <c r="G419" s="44"/>
      <c r="H419" s="44"/>
      <c r="I419" s="24"/>
      <c r="J419" s="24"/>
      <c r="K419" s="71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LEFT($J$111,13)&amp;"-04"</f>
        <v>FG-240-7P1L6R-04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A423" s="109"/>
      <c r="B423" s="33"/>
      <c r="C423" s="33"/>
      <c r="D423" s="161"/>
      <c r="E423" s="109"/>
      <c r="F423" s="109"/>
      <c r="G423" s="109"/>
      <c r="H423" s="109"/>
      <c r="I423" s="109"/>
      <c r="J423" s="90" t="str">
        <f>$J$2</f>
        <v>HOMELIFE</v>
      </c>
      <c r="K423" s="7"/>
      <c r="L423" s="7"/>
      <c r="M423" s="2"/>
      <c r="N423" s="2"/>
    </row>
    <row r="424" spans="1:14" ht="24.9" customHeight="1">
      <c r="A424" s="109"/>
      <c r="B424" s="33"/>
      <c r="C424" s="33"/>
      <c r="D424" s="161"/>
      <c r="E424" s="109"/>
      <c r="F424" s="109"/>
      <c r="G424" s="109"/>
      <c r="H424" s="109"/>
      <c r="I424" s="109"/>
      <c r="J424" s="91" t="str">
        <f>$J$3</f>
        <v>Fabricators Guide</v>
      </c>
      <c r="K424" s="7"/>
      <c r="L424" s="7"/>
      <c r="M424" s="2"/>
      <c r="N424" s="2"/>
    </row>
    <row r="425" spans="1:14" ht="24.9" customHeight="1">
      <c r="B425" s="223"/>
      <c r="C425" s="28"/>
      <c r="D425" s="28"/>
      <c r="E425" s="28"/>
      <c r="F425" s="28"/>
      <c r="G425" s="28"/>
      <c r="H425" s="28"/>
      <c r="I425" s="28"/>
      <c r="J425" s="91" t="str">
        <f>$J$4</f>
        <v xml:space="preserve">240 Series Bi Fold Door </v>
      </c>
      <c r="K425" s="48"/>
      <c r="L425" s="48"/>
      <c r="M425" s="4"/>
      <c r="N425" s="4"/>
    </row>
    <row r="426" spans="1:14" s="1" customFormat="1" ht="15" customHeight="1" thickBot="1">
      <c r="A426" s="78"/>
      <c r="B426" s="8"/>
      <c r="C426" s="28"/>
      <c r="D426" s="28"/>
      <c r="E426" s="28"/>
      <c r="F426" s="28"/>
      <c r="G426" s="28"/>
      <c r="H426" s="2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  <c r="K427" s="4"/>
      <c r="L427" s="4"/>
      <c r="M427" s="4"/>
      <c r="N427" s="4"/>
    </row>
    <row r="428" spans="1:14" s="1" customFormat="1" ht="15" customHeight="1">
      <c r="A428" s="193"/>
      <c r="B428" s="194"/>
      <c r="C428" s="194"/>
      <c r="D428" s="194"/>
      <c r="E428" s="194"/>
      <c r="F428" s="194"/>
      <c r="G428" s="194"/>
      <c r="H428" s="194"/>
      <c r="I428" s="193"/>
      <c r="K428" s="56"/>
      <c r="L428" s="56"/>
      <c r="M428" s="56"/>
      <c r="N428" s="56"/>
    </row>
    <row r="429" spans="1:14" s="1" customFormat="1" ht="15" customHeight="1">
      <c r="A429" s="45"/>
      <c r="B429" s="193"/>
      <c r="C429" s="193"/>
      <c r="D429" s="193"/>
      <c r="E429" s="193"/>
      <c r="F429" s="193"/>
      <c r="G429" s="193"/>
      <c r="H429" s="193"/>
      <c r="I429" s="44"/>
      <c r="J429" s="119"/>
    </row>
    <row r="430" spans="1:14" s="1" customFormat="1" ht="15" customHeight="1">
      <c r="A430" s="109"/>
      <c r="B430" s="39"/>
      <c r="C430" s="33"/>
      <c r="D430" s="161"/>
      <c r="E430" s="35"/>
      <c r="F430" s="39"/>
      <c r="G430" s="193"/>
      <c r="H430" s="44"/>
      <c r="I430" s="44"/>
      <c r="J430" s="119"/>
    </row>
    <row r="431" spans="1:14" s="1" customFormat="1" ht="15" customHeight="1">
      <c r="A431" s="109"/>
      <c r="B431" s="33"/>
      <c r="C431" s="33"/>
      <c r="D431" s="161"/>
      <c r="E431" s="35"/>
      <c r="F431" s="161"/>
      <c r="G431" s="193"/>
      <c r="H431" s="44"/>
      <c r="I431" s="44"/>
      <c r="J431" s="119"/>
    </row>
    <row r="432" spans="1:14" s="1" customFormat="1" ht="15" customHeight="1">
      <c r="A432" s="109"/>
      <c r="B432" s="56"/>
      <c r="C432" s="56"/>
      <c r="D432" s="30"/>
      <c r="E432" s="29"/>
      <c r="F432" s="30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109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3"/>
      <c r="H434" s="44"/>
      <c r="I434" s="44"/>
      <c r="J434" s="119"/>
    </row>
    <row r="435" spans="1:10" s="1" customFormat="1" ht="15" customHeight="1">
      <c r="A435" s="109"/>
      <c r="B435" s="33"/>
      <c r="C435" s="161"/>
      <c r="D435" s="161"/>
      <c r="E435" s="35"/>
      <c r="F435" s="161"/>
      <c r="H435" s="44"/>
      <c r="I435" s="44"/>
      <c r="J435" s="119"/>
    </row>
    <row r="436" spans="1:10" s="1" customFormat="1" ht="15" customHeight="1">
      <c r="A436" s="39"/>
      <c r="B436" s="33"/>
      <c r="C436" s="42"/>
      <c r="D436" s="161"/>
      <c r="E436" s="109"/>
      <c r="F436" s="69"/>
      <c r="H436" s="44"/>
      <c r="I436" s="44"/>
      <c r="J436" s="119"/>
    </row>
    <row r="437" spans="1:10" s="1" customFormat="1" ht="15" customHeight="1">
      <c r="A437" s="92"/>
      <c r="B437" s="39"/>
      <c r="C437" s="163"/>
      <c r="D437" s="161"/>
      <c r="E437" s="109"/>
      <c r="F437" s="68"/>
      <c r="H437" s="44"/>
      <c r="I437" s="44"/>
      <c r="J437" s="119"/>
    </row>
    <row r="438" spans="1:10" s="1" customFormat="1" ht="15" customHeight="1">
      <c r="B438" s="92"/>
      <c r="C438" s="161"/>
      <c r="D438" s="161"/>
      <c r="E438" s="109"/>
      <c r="F438" s="220"/>
      <c r="H438" s="44"/>
      <c r="I438" s="44"/>
      <c r="J438" s="119"/>
    </row>
    <row r="439" spans="1:10" s="1" customFormat="1" ht="15" customHeight="1">
      <c r="A439" s="64" t="str">
        <f>A18</f>
        <v>240-7 Panel (1L6R)</v>
      </c>
      <c r="B439" s="92"/>
      <c r="C439" s="161"/>
      <c r="D439" s="161"/>
      <c r="E439" s="109"/>
      <c r="F439" s="220"/>
      <c r="H439" s="44"/>
      <c r="I439" s="44"/>
      <c r="J439" s="119"/>
    </row>
    <row r="440" spans="1:10" s="1" customFormat="1" ht="15.9" customHeight="1">
      <c r="A440" s="76" t="str">
        <f>A19</f>
        <v xml:space="preserve">Outside Bi Fold Door </v>
      </c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44"/>
      <c r="B442" s="38"/>
      <c r="C442" s="43"/>
      <c r="D442" s="161"/>
      <c r="E442" s="109"/>
      <c r="F442" s="109"/>
      <c r="H442" s="44"/>
      <c r="I442" s="44"/>
      <c r="J442" s="119"/>
    </row>
    <row r="443" spans="1:10" s="1" customFormat="1" ht="15.9" customHeight="1">
      <c r="A443" s="40"/>
      <c r="C443" s="44"/>
      <c r="D443" s="84"/>
      <c r="E443" s="44"/>
      <c r="F443" s="44"/>
      <c r="H443" s="44"/>
      <c r="I443" s="44"/>
      <c r="J443" s="119"/>
    </row>
    <row r="444" spans="1:10" s="1" customFormat="1" ht="35.1" customHeight="1">
      <c r="A444" s="109"/>
      <c r="C444" s="161"/>
      <c r="D444" s="85"/>
      <c r="E444" s="40"/>
      <c r="F444" s="32"/>
      <c r="H444" s="44"/>
      <c r="I444" s="24"/>
      <c r="J444" s="24"/>
    </row>
    <row r="445" spans="1:10" ht="15.6">
      <c r="B445" s="64"/>
      <c r="C445" s="163"/>
      <c r="D445" s="161"/>
      <c r="E445" s="109"/>
      <c r="F445" s="161"/>
      <c r="G445" s="109"/>
      <c r="H445" s="109"/>
    </row>
    <row r="450" spans="1:10" s="1" customFormat="1" ht="15.9" customHeight="1">
      <c r="A450" s="109"/>
      <c r="B450"/>
      <c r="C450"/>
      <c r="D450" s="81"/>
      <c r="E450"/>
      <c r="F450"/>
      <c r="G450"/>
      <c r="H450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44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1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163"/>
      <c r="D456" s="161"/>
      <c r="E456" s="109"/>
      <c r="F456" s="161"/>
      <c r="G456" s="109"/>
      <c r="H456" s="109"/>
      <c r="I456" s="109"/>
      <c r="J456" s="24"/>
    </row>
    <row r="457" spans="1:10" s="1" customFormat="1" ht="15.9" customHeight="1">
      <c r="A457" s="109"/>
      <c r="B457" s="33"/>
      <c r="C457" s="161"/>
      <c r="D457" s="161"/>
      <c r="E457" s="109"/>
      <c r="F457" s="161"/>
      <c r="G457" s="109"/>
      <c r="H457" s="109"/>
      <c r="I457" s="24"/>
      <c r="J457" s="24"/>
    </row>
    <row r="458" spans="1:10" s="1" customFormat="1" ht="15.9" customHeight="1">
      <c r="A458" s="109"/>
      <c r="B458" s="33"/>
      <c r="C458" s="33"/>
      <c r="D458" s="161"/>
      <c r="E458" s="109"/>
      <c r="F458" s="109"/>
      <c r="G458" s="109"/>
      <c r="H458" s="109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7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" customHeight="1">
      <c r="A476" s="109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23" customFormat="1" ht="15.9" customHeight="1">
      <c r="A477" s="109"/>
      <c r="B477" s="33"/>
      <c r="C477" s="33"/>
      <c r="D477" s="161"/>
      <c r="E477" s="109"/>
      <c r="F477" s="109"/>
      <c r="G477" s="109"/>
      <c r="H477" s="109"/>
      <c r="I477" s="109"/>
      <c r="J477" s="109"/>
    </row>
    <row r="478" spans="1:10" s="1" customFormat="1" ht="15.9" customHeight="1">
      <c r="A478" s="44"/>
      <c r="B478" s="33"/>
      <c r="C478" s="33"/>
      <c r="D478" s="161"/>
      <c r="E478" s="109"/>
      <c r="F478" s="109"/>
      <c r="G478" s="109"/>
      <c r="H478" s="109"/>
      <c r="I478" s="44"/>
      <c r="J478" s="119"/>
    </row>
    <row r="479" spans="1:10" s="1" customFormat="1" ht="15.9" customHeight="1">
      <c r="A479" s="40"/>
      <c r="B479" s="44"/>
      <c r="C479" s="44"/>
      <c r="D479" s="84"/>
      <c r="E479" s="44"/>
      <c r="F479" s="44"/>
      <c r="G479" s="44"/>
      <c r="H479" s="44"/>
      <c r="I479" s="32"/>
      <c r="J479" s="40"/>
    </row>
    <row r="480" spans="1:10" s="1" customFormat="1" ht="15.9" customHeight="1">
      <c r="A480" s="27"/>
      <c r="B480" s="40"/>
      <c r="C480" s="44"/>
      <c r="D480" s="85"/>
      <c r="E480" s="40"/>
      <c r="F480" s="32"/>
      <c r="G480" s="40"/>
      <c r="H480" s="32"/>
      <c r="I480" s="24"/>
      <c r="J480" s="24"/>
    </row>
    <row r="481" spans="1:10" s="1" customFormat="1" ht="15.9" customHeight="1">
      <c r="A481" s="27"/>
      <c r="B481" s="33"/>
      <c r="C481" s="42"/>
      <c r="D481" s="161"/>
      <c r="E481" s="109"/>
      <c r="F481" s="109"/>
      <c r="G481" s="109"/>
      <c r="H481" s="42"/>
      <c r="I481" s="67"/>
      <c r="J481" s="165"/>
    </row>
    <row r="482" spans="1:10" s="1" customFormat="1" ht="15.9" customHeight="1">
      <c r="A482" s="27"/>
      <c r="B482" s="33"/>
      <c r="C482" s="163"/>
      <c r="D482" s="161"/>
      <c r="E482" s="109"/>
      <c r="F482" s="109"/>
      <c r="G482" s="109"/>
      <c r="H482" s="67"/>
      <c r="I482" s="38"/>
      <c r="J482" s="109"/>
    </row>
    <row r="483" spans="1:10" s="1" customFormat="1" ht="15.9" customHeight="1">
      <c r="A483" s="27"/>
      <c r="B483" s="33"/>
      <c r="C483" s="161"/>
      <c r="D483" s="161"/>
      <c r="E483" s="109"/>
      <c r="F483" s="109"/>
      <c r="G483" s="109"/>
      <c r="H483" s="38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46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161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D495" s="161"/>
      <c r="E495" s="109"/>
      <c r="F495" s="109"/>
      <c r="G495" s="33"/>
      <c r="H495" s="33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42"/>
      <c r="I499" s="67"/>
      <c r="J499" s="165"/>
    </row>
    <row r="500" spans="1:10" s="1" customFormat="1" ht="15.9" customHeight="1">
      <c r="A500" s="27"/>
      <c r="B500" s="33"/>
      <c r="C500" s="47"/>
      <c r="D500" s="161"/>
      <c r="E500" s="109"/>
      <c r="F500" s="109"/>
      <c r="G500" s="109"/>
      <c r="H500" s="67"/>
      <c r="I500" s="38"/>
      <c r="J500" s="109"/>
    </row>
    <row r="501" spans="1:10" s="1" customFormat="1" ht="15.9" customHeight="1">
      <c r="A501" s="27"/>
      <c r="B501" s="33"/>
      <c r="C501" s="46"/>
      <c r="D501" s="161"/>
      <c r="E501" s="109"/>
      <c r="F501" s="109"/>
      <c r="G501" s="109"/>
      <c r="H501" s="38"/>
      <c r="I501" s="24"/>
      <c r="J501" s="24"/>
    </row>
    <row r="502" spans="1:10" s="1" customFormat="1" ht="15.9" customHeight="1">
      <c r="A502" s="27"/>
      <c r="B502" s="33"/>
      <c r="C502" s="161"/>
      <c r="D502" s="161"/>
      <c r="E502" s="109"/>
      <c r="F502" s="109"/>
      <c r="G502" s="109"/>
      <c r="H502" s="42"/>
      <c r="I502" s="67"/>
      <c r="J502" s="165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67"/>
      <c r="I503" s="38"/>
      <c r="J503" s="109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38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109"/>
      <c r="J512" s="24"/>
    </row>
    <row r="513" spans="1:15" s="1" customFormat="1" ht="15.9" customHeight="1">
      <c r="A513" s="27"/>
      <c r="B513" s="33"/>
      <c r="C513" s="33"/>
      <c r="D513" s="161"/>
      <c r="E513" s="109"/>
      <c r="F513" s="109"/>
      <c r="G513" s="109"/>
      <c r="H513" s="109"/>
      <c r="I513" s="43"/>
      <c r="J513" s="107"/>
    </row>
    <row r="514" spans="1:15" s="1" customFormat="1" ht="15.9" customHeight="1">
      <c r="A514" s="27"/>
      <c r="B514" s="33"/>
      <c r="C514" s="33"/>
      <c r="D514" s="161"/>
      <c r="E514" s="109"/>
      <c r="F514" s="109"/>
      <c r="G514" s="109"/>
      <c r="H514" s="66"/>
      <c r="I514" s="38"/>
      <c r="J514" s="109"/>
    </row>
    <row r="515" spans="1:15" s="1" customFormat="1" ht="15.9" customHeight="1">
      <c r="A515" s="44"/>
      <c r="B515" s="44"/>
      <c r="C515" s="44"/>
      <c r="D515" s="84"/>
      <c r="E515" s="44"/>
      <c r="F515" s="44"/>
      <c r="G515" s="44"/>
      <c r="H515" s="44"/>
      <c r="I515" s="44"/>
      <c r="J515" s="119"/>
    </row>
    <row r="516" spans="1:15" s="1" customFormat="1" ht="15.9" customHeight="1">
      <c r="B516" s="44"/>
      <c r="C516" s="44"/>
      <c r="D516" s="84"/>
      <c r="E516" s="44"/>
      <c r="F516" s="44"/>
      <c r="G516" s="44"/>
      <c r="H516" s="44"/>
    </row>
    <row r="517" spans="1:15" s="1" customFormat="1" ht="15.9" customHeight="1" thickBot="1"/>
    <row r="518" spans="1:15" s="1" customFormat="1" ht="24.9" customHeight="1" thickBot="1">
      <c r="A518" s="502" t="s">
        <v>401</v>
      </c>
      <c r="B518" s="503"/>
      <c r="C518" s="503"/>
      <c r="D518" s="503"/>
      <c r="E518" s="503"/>
      <c r="F518" s="503"/>
      <c r="G518" s="503"/>
      <c r="H518" s="503"/>
      <c r="I518" s="503"/>
      <c r="J518" s="504"/>
    </row>
    <row r="519" spans="1:15" s="1" customFormat="1" ht="35.1" customHeight="1" thickBot="1">
      <c r="A519" s="102" t="s">
        <v>2</v>
      </c>
      <c r="B519" s="103" t="s">
        <v>3</v>
      </c>
      <c r="C519" s="103" t="s">
        <v>3</v>
      </c>
      <c r="D519" s="104" t="s">
        <v>35</v>
      </c>
      <c r="E519" s="103" t="s">
        <v>5</v>
      </c>
      <c r="F519" s="339" t="s">
        <v>27</v>
      </c>
      <c r="G519" s="305"/>
      <c r="H519" s="104" t="s">
        <v>27</v>
      </c>
      <c r="I519" s="104" t="s">
        <v>26</v>
      </c>
      <c r="J519" s="115" t="s">
        <v>6</v>
      </c>
      <c r="N519" s="249" t="s">
        <v>3</v>
      </c>
      <c r="O519" s="249" t="s">
        <v>3</v>
      </c>
    </row>
    <row r="520" spans="1:15" s="1" customFormat="1" ht="15.9" customHeight="1">
      <c r="A520" s="123">
        <f>IF(C520="","",1)</f>
        <v>1</v>
      </c>
      <c r="B520" s="121" t="str">
        <f>IF($D$127=5,N520,IF($D$127=6,N521,IF($D$127=8,N522,IF($D$127=10,N523,IF($D$127=12,N524,IF($D$127=14,N525,IF($D$127=18,N526,IF($D$127=20,N527,IF($D$127=22,N528,)))))))))</f>
        <v>กระจก 5 mm (สูง) (กว้าง)</v>
      </c>
      <c r="C520" s="121" t="str">
        <f>IF($D$127=5,O520,IF($D$127=6,O521,IF($D$127=8,O522,IF($D$127=10,O523,IF($D$127=12,O524,IF($D$127=14,O525,IF($D$127=18,O526,IF($D$127=20,O527,IF($D$127=22,O528,)))))))))</f>
        <v>GLASS thk.5 mm (H) (W)</v>
      </c>
      <c r="D520" s="124">
        <f>$J$123-215</f>
        <v>1785</v>
      </c>
      <c r="E520" s="123" t="s">
        <v>11</v>
      </c>
      <c r="F520" s="527" t="s">
        <v>271</v>
      </c>
      <c r="G520" s="528"/>
      <c r="H520" s="123" t="s">
        <v>409</v>
      </c>
      <c r="I520" s="124">
        <f>(($J$126-185-(113.25*6))/7)-13</f>
        <v>149.21428571428572</v>
      </c>
      <c r="J520" s="151">
        <f>$J$120*7</f>
        <v>7</v>
      </c>
      <c r="M520" s="1">
        <f>ROW()</f>
        <v>520</v>
      </c>
      <c r="N520" s="19" t="s">
        <v>194</v>
      </c>
      <c r="O520" s="19" t="s">
        <v>195</v>
      </c>
    </row>
    <row r="521" spans="1:15" s="1" customFormat="1" ht="15.9" customHeight="1">
      <c r="A521" s="346"/>
      <c r="B521" s="295"/>
      <c r="C521" s="295"/>
      <c r="D521" s="296"/>
      <c r="E521" s="238"/>
      <c r="F521" s="251"/>
      <c r="G521" s="297"/>
      <c r="H521" s="238"/>
      <c r="I521" s="298"/>
      <c r="J521" s="299"/>
      <c r="M521" s="1">
        <f>ROW()</f>
        <v>521</v>
      </c>
      <c r="N521" s="19" t="s">
        <v>53</v>
      </c>
      <c r="O521" s="19" t="s">
        <v>54</v>
      </c>
    </row>
    <row r="522" spans="1:15" s="1" customFormat="1" ht="15.9" customHeight="1">
      <c r="A522" s="346"/>
      <c r="B522" s="295"/>
      <c r="C522" s="295"/>
      <c r="D522" s="296"/>
      <c r="E522" s="238"/>
      <c r="F522" s="251"/>
      <c r="G522" s="297"/>
      <c r="H522" s="238"/>
      <c r="I522" s="298"/>
      <c r="J522" s="299"/>
      <c r="M522" s="1">
        <f>ROW()</f>
        <v>522</v>
      </c>
      <c r="N522" s="19" t="s">
        <v>257</v>
      </c>
      <c r="O522" s="19" t="s">
        <v>258</v>
      </c>
    </row>
    <row r="523" spans="1:15" s="1" customFormat="1" ht="15.9" customHeight="1">
      <c r="A523" s="129" t="str">
        <f>IF(B523="","",+#REF!+1)</f>
        <v/>
      </c>
      <c r="B523" s="127"/>
      <c r="C523" s="127"/>
      <c r="D523" s="128"/>
      <c r="E523" s="129"/>
      <c r="F523" s="155"/>
      <c r="G523" s="157"/>
      <c r="H523" s="129"/>
      <c r="I523" s="144"/>
      <c r="J523" s="130"/>
      <c r="M523" s="1">
        <f>ROW()</f>
        <v>523</v>
      </c>
      <c r="N523" s="19" t="s">
        <v>259</v>
      </c>
      <c r="O523" s="19" t="s">
        <v>265</v>
      </c>
    </row>
    <row r="524" spans="1:15" s="1" customFormat="1" ht="15.9" customHeight="1">
      <c r="A524" s="135" t="str">
        <f>IF(B524="","",+A523+1)</f>
        <v/>
      </c>
      <c r="B524" s="133"/>
      <c r="C524" s="133"/>
      <c r="D524" s="134"/>
      <c r="E524" s="135"/>
      <c r="F524" s="158"/>
      <c r="G524" s="159"/>
      <c r="H524" s="135"/>
      <c r="I524" s="145"/>
      <c r="J524" s="136"/>
      <c r="M524" s="1">
        <f>ROW()</f>
        <v>524</v>
      </c>
      <c r="N524" s="19" t="s">
        <v>260</v>
      </c>
      <c r="O524" s="19" t="s">
        <v>266</v>
      </c>
    </row>
    <row r="525" spans="1:15" s="1" customFormat="1" ht="15.9" customHeight="1">
      <c r="A525" s="17"/>
      <c r="B525" s="56"/>
      <c r="C525" s="56"/>
      <c r="D525" s="30"/>
      <c r="E525" s="17"/>
      <c r="F525" s="17"/>
      <c r="G525" s="17"/>
      <c r="H525" s="109"/>
      <c r="I525" s="109"/>
      <c r="J525" s="24"/>
      <c r="M525" s="1">
        <f>ROW()</f>
        <v>525</v>
      </c>
      <c r="N525" s="19" t="s">
        <v>261</v>
      </c>
      <c r="O525" s="19" t="s">
        <v>267</v>
      </c>
    </row>
    <row r="526" spans="1:15">
      <c r="H526" s="294"/>
      <c r="I526" s="294"/>
      <c r="J526" s="99" t="str">
        <f>LEFT($J$111,13)&amp;"-05"</f>
        <v>FG-240-7P1L6R-05</v>
      </c>
      <c r="M526" s="1">
        <f>ROW()</f>
        <v>526</v>
      </c>
      <c r="N526" s="19" t="s">
        <v>262</v>
      </c>
      <c r="O526" s="19" t="s">
        <v>268</v>
      </c>
    </row>
    <row r="527" spans="1:15">
      <c r="M527" s="1">
        <f>ROW()</f>
        <v>527</v>
      </c>
      <c r="N527" s="19" t="s">
        <v>263</v>
      </c>
      <c r="O527" s="19" t="s">
        <v>269</v>
      </c>
    </row>
    <row r="528" spans="1:15">
      <c r="M528" s="1">
        <f>ROW()</f>
        <v>528</v>
      </c>
      <c r="N528" s="19" t="s">
        <v>264</v>
      </c>
      <c r="O528" s="19" t="s">
        <v>270</v>
      </c>
    </row>
  </sheetData>
  <sheetProtection selectLockedCells="1" selectUnlockedCells="1"/>
  <dataConsolidate function="product">
    <dataRefs count="1">
      <dataRef ref="O154:O162" sheet="240_2Panel(L)" r:id="rId1"/>
    </dataRefs>
  </dataConsolidate>
  <mergeCells count="46">
    <mergeCell ref="A6:J6"/>
    <mergeCell ref="H120:I121"/>
    <mergeCell ref="J120:J121"/>
    <mergeCell ref="A117:J117"/>
    <mergeCell ref="D119:G119"/>
    <mergeCell ref="D121:G121"/>
    <mergeCell ref="I158:J158"/>
    <mergeCell ref="D159:D160"/>
    <mergeCell ref="H159:H160"/>
    <mergeCell ref="I159:J160"/>
    <mergeCell ref="D127:G127"/>
    <mergeCell ref="A131:J131"/>
    <mergeCell ref="D129:G129"/>
    <mergeCell ref="I154:J154"/>
    <mergeCell ref="I155:J155"/>
    <mergeCell ref="I156:J156"/>
    <mergeCell ref="H123:I124"/>
    <mergeCell ref="J123:J124"/>
    <mergeCell ref="A125:B125"/>
    <mergeCell ref="H126:I127"/>
    <mergeCell ref="J126:J127"/>
    <mergeCell ref="D123:G123"/>
    <mergeCell ref="D125:G125"/>
    <mergeCell ref="D163:D167"/>
    <mergeCell ref="D168:D169"/>
    <mergeCell ref="D170:D171"/>
    <mergeCell ref="H163:H167"/>
    <mergeCell ref="H161:H162"/>
    <mergeCell ref="H168:H169"/>
    <mergeCell ref="H170:H171"/>
    <mergeCell ref="F520:G520"/>
    <mergeCell ref="I161:J161"/>
    <mergeCell ref="I157:J157"/>
    <mergeCell ref="A518:J518"/>
    <mergeCell ref="A427:J427"/>
    <mergeCell ref="A320:J320"/>
    <mergeCell ref="A213:J213"/>
    <mergeCell ref="F331:G331"/>
    <mergeCell ref="F334:G334"/>
    <mergeCell ref="F330:G330"/>
    <mergeCell ref="C309:E309"/>
    <mergeCell ref="A172:J172"/>
    <mergeCell ref="I162:J165"/>
    <mergeCell ref="I166:J167"/>
    <mergeCell ref="I168:J168"/>
    <mergeCell ref="D161:D162"/>
  </mergeCells>
  <dataValidations count="4">
    <dataValidation type="list" allowBlank="1" showInputMessage="1" showErrorMessage="1" sqref="C206">
      <formula1>$O$174:$O$192</formula1>
    </dataValidation>
    <dataValidation type="list" allowBlank="1" showInputMessage="1" showErrorMessage="1" sqref="D123:G123">
      <formula1>$P$118:$P$127</formula1>
    </dataValidation>
    <dataValidation type="list" allowBlank="1" showInputMessage="1" showErrorMessage="1" sqref="D127:G127">
      <formula1>$N$119:$N$127</formula1>
    </dataValidation>
    <dataValidation type="list" allowBlank="1" showInputMessage="1" showErrorMessage="1" sqref="D129:G129">
      <formula1>$O$119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16383" man="1"/>
    <brk id="421" max="9" man="1"/>
  </rowBreaks>
  <drawing r:id="rId3"/>
  <legacyDrawing r:id="rId4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>
    <tabColor theme="5" tint="-0.249977111117893"/>
  </sheetPr>
  <dimension ref="A1:X528"/>
  <sheetViews>
    <sheetView showGridLines="0" view="pageBreakPreview" topLeftCell="A114" zoomScale="75" zoomScaleNormal="75" zoomScaleSheetLayoutView="75" workbookViewId="0">
      <selection activeCell="I135" sqref="I135"/>
    </sheetView>
  </sheetViews>
  <sheetFormatPr defaultRowHeight="14.4" outlineLevelRow="1" outlineLevelCol="1"/>
  <cols>
    <col min="1" max="1" width="7" customWidth="1"/>
    <col min="2" max="2" width="40.6640625" customWidth="1"/>
    <col min="3" max="3" width="61.10937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6.6640625" customWidth="1"/>
    <col min="9" max="9" width="11.109375" bestFit="1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1.664062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31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31"/>
      <c r="E3" s="231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182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/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>
      <c r="G55" s="10"/>
    </row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345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31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31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8">
      <c r="A118" s="12"/>
      <c r="C118" s="8"/>
      <c r="D118" s="15"/>
      <c r="E118" s="13"/>
      <c r="J118" s="230"/>
      <c r="K118" s="11"/>
      <c r="L118" s="56"/>
      <c r="M118" s="56"/>
      <c r="N118" s="243" t="s">
        <v>191</v>
      </c>
      <c r="O118" s="12" t="s">
        <v>227</v>
      </c>
      <c r="P118" s="247" t="s">
        <v>16</v>
      </c>
    </row>
    <row r="119" spans="1:16" s="1" customFormat="1" ht="15" customHeight="1">
      <c r="A119" s="12"/>
      <c r="C119" s="110" t="s">
        <v>635</v>
      </c>
      <c r="D119" s="524"/>
      <c r="E119" s="525"/>
      <c r="F119" s="525"/>
      <c r="G119" s="526"/>
      <c r="I119" s="16"/>
      <c r="J119" s="12"/>
      <c r="N119" s="244">
        <v>5</v>
      </c>
      <c r="O119" s="12" t="s">
        <v>243</v>
      </c>
      <c r="P119" s="335" t="s">
        <v>389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5">
        <v>6</v>
      </c>
      <c r="O120" s="12" t="s">
        <v>244</v>
      </c>
      <c r="P120" s="336" t="s">
        <v>390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8</v>
      </c>
      <c r="P121" s="336" t="s">
        <v>391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10</v>
      </c>
      <c r="P122" s="336" t="s">
        <v>392</v>
      </c>
    </row>
    <row r="123" spans="1:16" s="1" customFormat="1" ht="15" customHeight="1">
      <c r="A123" s="12"/>
      <c r="C123" s="110" t="s">
        <v>629</v>
      </c>
      <c r="D123" s="524" t="s">
        <v>15</v>
      </c>
      <c r="E123" s="525"/>
      <c r="F123" s="525"/>
      <c r="G123" s="526"/>
      <c r="H123" s="519" t="s">
        <v>638</v>
      </c>
      <c r="I123" s="520"/>
      <c r="J123" s="517">
        <v>2500</v>
      </c>
      <c r="N123" s="245">
        <v>12</v>
      </c>
      <c r="P123" s="335" t="s">
        <v>393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14</v>
      </c>
      <c r="P124" s="335" t="s">
        <v>394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228"/>
      <c r="L125" s="77"/>
      <c r="N125" s="245">
        <v>18</v>
      </c>
      <c r="P125" s="335" t="s">
        <v>395</v>
      </c>
    </row>
    <row r="126" spans="1:16" s="1" customFormat="1" ht="15" customHeight="1">
      <c r="A126" s="230"/>
      <c r="B126" s="230"/>
      <c r="C126" s="423" t="s">
        <v>631</v>
      </c>
      <c r="D126" s="15"/>
      <c r="H126" s="519" t="s">
        <v>639</v>
      </c>
      <c r="I126" s="520"/>
      <c r="J126" s="517">
        <v>4450</v>
      </c>
      <c r="K126" s="228"/>
      <c r="L126" s="77"/>
      <c r="N126" s="245">
        <v>20</v>
      </c>
      <c r="P126" s="335" t="s">
        <v>396</v>
      </c>
    </row>
    <row r="127" spans="1:16" s="1" customFormat="1" ht="15" customHeight="1">
      <c r="A127" s="230"/>
      <c r="B127" s="230"/>
      <c r="C127" s="110" t="s">
        <v>633</v>
      </c>
      <c r="D127" s="534">
        <v>5</v>
      </c>
      <c r="E127" s="535"/>
      <c r="F127" s="535"/>
      <c r="G127" s="536"/>
      <c r="H127" s="520"/>
      <c r="I127" s="520"/>
      <c r="J127" s="518"/>
      <c r="N127" s="245">
        <v>22</v>
      </c>
      <c r="P127" s="335" t="s">
        <v>397</v>
      </c>
    </row>
    <row r="128" spans="1:16" s="1" customFormat="1" ht="18.75" customHeight="1">
      <c r="C128" s="423" t="s">
        <v>632</v>
      </c>
      <c r="I128" s="12"/>
      <c r="J128" s="12"/>
    </row>
    <row r="129" spans="1:23" s="1" customFormat="1" ht="15" customHeight="1">
      <c r="A129" s="88" t="str">
        <f>A18</f>
        <v>240-7 Panel (2L5R)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4390</v>
      </c>
      <c r="J133" s="125">
        <f t="shared" ref="J133:J153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14</v>
      </c>
      <c r="U133" s="283" t="s">
        <v>300</v>
      </c>
      <c r="V133" s="285">
        <f>($J$126-185-(113.25*6))/7</f>
        <v>512.21428571428567</v>
      </c>
      <c r="W133" s="286">
        <f>$J$120*T133</f>
        <v>14</v>
      </c>
    </row>
    <row r="134" spans="1:23" s="1" customFormat="1" ht="18" customHeight="1">
      <c r="A134" s="143">
        <f t="shared" ref="A134:A153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4364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14</v>
      </c>
      <c r="U134" s="129" t="s">
        <v>300</v>
      </c>
      <c r="V134" s="144">
        <f t="shared" ref="V134:V135" si="2">($J$126-185-(113.25*6))/7</f>
        <v>512.21428571428567</v>
      </c>
      <c r="W134" s="131">
        <f t="shared" ref="W134:W135" si="3">$J$120*T134</f>
        <v>14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4390</v>
      </c>
      <c r="J135" s="131">
        <f t="shared" ref="J135:J139" si="4">$J$120*G135</f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14</v>
      </c>
      <c r="U135" s="135" t="s">
        <v>300</v>
      </c>
      <c r="V135" s="145">
        <f t="shared" si="2"/>
        <v>512.21428571428567</v>
      </c>
      <c r="W135" s="293">
        <f t="shared" si="3"/>
        <v>14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4390</v>
      </c>
      <c r="J136" s="131">
        <f t="shared" si="4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14</v>
      </c>
      <c r="U136" s="283" t="s">
        <v>64</v>
      </c>
      <c r="V136" s="288">
        <f>$J$123-242</f>
        <v>2258</v>
      </c>
      <c r="W136" s="286">
        <f>$J$120*T136</f>
        <v>14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2500</v>
      </c>
      <c r="J137" s="131">
        <f t="shared" si="4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14</v>
      </c>
      <c r="U137" s="129" t="s">
        <v>64</v>
      </c>
      <c r="V137" s="130">
        <f>$J$123-242</f>
        <v>2258</v>
      </c>
      <c r="W137" s="131">
        <f t="shared" ref="W137:W138" si="5">$J$120*T137</f>
        <v>14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2500</v>
      </c>
      <c r="J138" s="131">
        <f t="shared" si="4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14</v>
      </c>
      <c r="U138" s="135" t="s">
        <v>64</v>
      </c>
      <c r="V138" s="136">
        <f>$J$123-242</f>
        <v>2258</v>
      </c>
      <c r="W138" s="293">
        <f t="shared" si="5"/>
        <v>14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2404</v>
      </c>
      <c r="J139" s="131">
        <f t="shared" si="4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2404</v>
      </c>
      <c r="J140" s="131">
        <f t="shared" ref="J140" si="6">$J$120*G140</f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7</v>
      </c>
      <c r="H141" s="143" t="s">
        <v>300</v>
      </c>
      <c r="I141" s="178">
        <f>($J$126-185-(113.25*6))/7</f>
        <v>512.21428571428567</v>
      </c>
      <c r="J141" s="131">
        <f t="shared" ref="J141:J150" si="7">$J$120*G141</f>
        <v>7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7</v>
      </c>
      <c r="H142" s="143" t="s">
        <v>300</v>
      </c>
      <c r="I142" s="178">
        <f>($J$126-185-(113.25*6))/7</f>
        <v>512.21428571428567</v>
      </c>
      <c r="J142" s="131">
        <f t="shared" si="7"/>
        <v>7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10</v>
      </c>
      <c r="H143" s="143" t="s">
        <v>63</v>
      </c>
      <c r="I143" s="130">
        <f>$J$123-92</f>
        <v>2408</v>
      </c>
      <c r="J143" s="131">
        <f t="shared" si="7"/>
        <v>10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1</v>
      </c>
      <c r="H144" s="143" t="s">
        <v>63</v>
      </c>
      <c r="I144" s="130">
        <f t="shared" ref="I144:I146" si="8">$J$123-92</f>
        <v>2408</v>
      </c>
      <c r="J144" s="131">
        <f t="shared" si="7"/>
        <v>1</v>
      </c>
      <c r="N144" s="98"/>
    </row>
    <row r="145" spans="1:14" s="1" customFormat="1" ht="18" customHeight="1">
      <c r="A145" s="143">
        <f t="shared" si="1"/>
        <v>13</v>
      </c>
      <c r="B145" s="140" t="s">
        <v>8</v>
      </c>
      <c r="C145" s="140" t="s">
        <v>58</v>
      </c>
      <c r="D145" s="139" t="s">
        <v>50</v>
      </c>
      <c r="E145" s="143">
        <v>1.1060000000000001</v>
      </c>
      <c r="F145" s="139" t="s">
        <v>496</v>
      </c>
      <c r="G145" s="143">
        <v>2</v>
      </c>
      <c r="H145" s="143" t="s">
        <v>63</v>
      </c>
      <c r="I145" s="130">
        <f t="shared" si="8"/>
        <v>2408</v>
      </c>
      <c r="J145" s="131">
        <f t="shared" si="7"/>
        <v>2</v>
      </c>
      <c r="N145" s="98"/>
    </row>
    <row r="146" spans="1:14" s="1" customFormat="1" ht="18" customHeight="1">
      <c r="A146" s="143">
        <f t="shared" si="1"/>
        <v>14</v>
      </c>
      <c r="B146" s="140" t="s">
        <v>116</v>
      </c>
      <c r="C146" s="140" t="s">
        <v>99</v>
      </c>
      <c r="D146" s="139" t="s">
        <v>50</v>
      </c>
      <c r="E146" s="143">
        <v>1.1060000000000001</v>
      </c>
      <c r="F146" s="139" t="s">
        <v>507</v>
      </c>
      <c r="G146" s="143">
        <v>1</v>
      </c>
      <c r="H146" s="143" t="s">
        <v>63</v>
      </c>
      <c r="I146" s="130">
        <f t="shared" si="8"/>
        <v>2408</v>
      </c>
      <c r="J146" s="131">
        <f t="shared" si="7"/>
        <v>1</v>
      </c>
      <c r="N146" s="98"/>
    </row>
    <row r="147" spans="1:14" s="1" customFormat="1" ht="18" customHeight="1">
      <c r="A147" s="143">
        <f t="shared" si="1"/>
        <v>15</v>
      </c>
      <c r="B147" s="127" t="str">
        <f t="shared" ref="B147:I147" si="9">IF($D$127=5,O133,IF($D$127=6,O133,IF($D$127=8,O134,IF($D$127=10,O134,IF($D$127=12,O134,IF($D$127=14,O135,IF($D$127=18,O135,IF($D$127=20,O135,IF($D$127=22,O135,)))))))))</f>
        <v>5-6mm คิ้วตบกระจกแนวนอน</v>
      </c>
      <c r="C147" s="127" t="str">
        <f t="shared" si="9"/>
        <v>5-6mm GLAZING BEAD HORIZONTAL</v>
      </c>
      <c r="D147" s="127" t="str">
        <f t="shared" si="9"/>
        <v>B24008</v>
      </c>
      <c r="E147" s="127">
        <f t="shared" si="9"/>
        <v>0.23100000000000001</v>
      </c>
      <c r="F147" s="127" t="str">
        <f t="shared" si="9"/>
        <v>B24008-001</v>
      </c>
      <c r="G147" s="129">
        <f t="shared" si="9"/>
        <v>14</v>
      </c>
      <c r="H147" s="129" t="str">
        <f t="shared" si="9"/>
        <v>(W-185-(113.25 × 6))/7</v>
      </c>
      <c r="I147" s="178">
        <f t="shared" si="9"/>
        <v>512.21428571428567</v>
      </c>
      <c r="J147" s="131">
        <f t="shared" si="7"/>
        <v>14</v>
      </c>
      <c r="N147" s="98"/>
    </row>
    <row r="148" spans="1:14" s="1" customFormat="1" ht="18" customHeight="1">
      <c r="A148" s="143">
        <f t="shared" si="1"/>
        <v>16</v>
      </c>
      <c r="B148" s="127" t="str">
        <f t="shared" ref="B148:I148" si="10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27" t="str">
        <f t="shared" si="10"/>
        <v>5-6mm GLAZING BEAD VERTICAL</v>
      </c>
      <c r="D148" s="127" t="str">
        <f t="shared" si="10"/>
        <v>B24008</v>
      </c>
      <c r="E148" s="127">
        <f t="shared" si="10"/>
        <v>0.23100000000000001</v>
      </c>
      <c r="F148" s="127" t="str">
        <f t="shared" si="10"/>
        <v>B24008-002</v>
      </c>
      <c r="G148" s="129">
        <f t="shared" si="10"/>
        <v>14</v>
      </c>
      <c r="H148" s="129" t="str">
        <f t="shared" si="10"/>
        <v>H-242</v>
      </c>
      <c r="I148" s="144">
        <f t="shared" si="10"/>
        <v>2258</v>
      </c>
      <c r="J148" s="131">
        <f t="shared" si="7"/>
        <v>14</v>
      </c>
      <c r="N148" s="98"/>
    </row>
    <row r="149" spans="1:14" s="1" customFormat="1" ht="18" customHeight="1">
      <c r="A149" s="143">
        <f t="shared" si="1"/>
        <v>17</v>
      </c>
      <c r="B149" s="140" t="s">
        <v>125</v>
      </c>
      <c r="C149" s="140" t="s">
        <v>124</v>
      </c>
      <c r="D149" s="139" t="s">
        <v>123</v>
      </c>
      <c r="E149" s="143"/>
      <c r="F149" s="139" t="s">
        <v>362</v>
      </c>
      <c r="G149" s="143">
        <v>1</v>
      </c>
      <c r="H149" s="143" t="s">
        <v>63</v>
      </c>
      <c r="I149" s="130">
        <f>$J$123-92</f>
        <v>2408</v>
      </c>
      <c r="J149" s="131">
        <f t="shared" si="7"/>
        <v>1</v>
      </c>
      <c r="N149" s="98"/>
    </row>
    <row r="150" spans="1:14" s="1" customFormat="1" ht="18" customHeight="1">
      <c r="A150" s="143">
        <f t="shared" si="1"/>
        <v>18</v>
      </c>
      <c r="B150" s="140" t="s">
        <v>125</v>
      </c>
      <c r="C150" s="140" t="s">
        <v>124</v>
      </c>
      <c r="D150" s="139" t="s">
        <v>123</v>
      </c>
      <c r="E150" s="143"/>
      <c r="F150" s="139" t="s">
        <v>363</v>
      </c>
      <c r="G150" s="143">
        <v>1</v>
      </c>
      <c r="H150" s="143" t="s">
        <v>63</v>
      </c>
      <c r="I150" s="130">
        <f>$J$123-92</f>
        <v>2408</v>
      </c>
      <c r="J150" s="131">
        <f t="shared" si="7"/>
        <v>1</v>
      </c>
      <c r="N150" s="98"/>
    </row>
    <row r="151" spans="1:14" s="1" customFormat="1" ht="18" customHeight="1">
      <c r="A151" s="143" t="str">
        <f t="shared" si="1"/>
        <v/>
      </c>
      <c r="B151" s="140"/>
      <c r="C151" s="140"/>
      <c r="D151" s="139"/>
      <c r="E151" s="143"/>
      <c r="F151" s="139"/>
      <c r="G151" s="143"/>
      <c r="H151" s="143"/>
      <c r="I151" s="130"/>
      <c r="J151" s="131"/>
      <c r="N151" s="98"/>
    </row>
    <row r="152" spans="1:14" s="1" customFormat="1" ht="18" customHeight="1">
      <c r="A152" s="143" t="str">
        <f t="shared" si="1"/>
        <v/>
      </c>
      <c r="B152" s="140"/>
      <c r="C152" s="140"/>
      <c r="D152" s="139"/>
      <c r="E152" s="143"/>
      <c r="F152" s="139"/>
      <c r="G152" s="143"/>
      <c r="H152" s="143"/>
      <c r="I152" s="144"/>
      <c r="J152" s="131">
        <f t="shared" si="0"/>
        <v>0</v>
      </c>
      <c r="N152" s="98"/>
    </row>
    <row r="153" spans="1:14" s="1" customFormat="1" ht="18" customHeight="1" thickBot="1">
      <c r="A153" s="143" t="str">
        <f t="shared" si="1"/>
        <v/>
      </c>
      <c r="B153" s="167"/>
      <c r="C153" s="167"/>
      <c r="D153" s="168"/>
      <c r="E153" s="166"/>
      <c r="F153" s="168"/>
      <c r="G153" s="166"/>
      <c r="H153" s="166"/>
      <c r="I153" s="171"/>
      <c r="J153" s="172">
        <f t="shared" si="0"/>
        <v>0</v>
      </c>
    </row>
    <row r="154" spans="1:14" s="1" customFormat="1" ht="27" outlineLevel="1" thickBot="1">
      <c r="A154" s="169" t="s">
        <v>2</v>
      </c>
      <c r="B154" s="169" t="s">
        <v>29</v>
      </c>
      <c r="C154" s="169" t="s">
        <v>3</v>
      </c>
      <c r="D154" s="169" t="s">
        <v>4</v>
      </c>
      <c r="E154" s="169" t="s">
        <v>5</v>
      </c>
      <c r="F154" s="177" t="s">
        <v>85</v>
      </c>
      <c r="G154" s="169" t="s">
        <v>22</v>
      </c>
      <c r="H154" s="170" t="s">
        <v>23</v>
      </c>
      <c r="I154" s="540"/>
      <c r="J154" s="541"/>
    </row>
    <row r="155" spans="1:14" s="1" customFormat="1" ht="15" customHeight="1" outlineLevel="1">
      <c r="A155" s="21">
        <f>IF(B155="","",1)</f>
        <v>1</v>
      </c>
      <c r="B155" s="173" t="str">
        <f t="shared" ref="B155:C161" si="11">B133</f>
        <v>เฟรมบน</v>
      </c>
      <c r="C155" s="173" t="str">
        <f t="shared" si="11"/>
        <v>HEAD</v>
      </c>
      <c r="D155" s="174" t="str">
        <f>VLOOKUP(C155,$C$133:$H$153,2,0)</f>
        <v>B24001</v>
      </c>
      <c r="E155" s="175">
        <f t="shared" ref="E155:E161" si="12">VLOOKUP(C155,$C$133:$H$153,3,0)</f>
        <v>1.603</v>
      </c>
      <c r="F155" s="353">
        <f>VLOOKUP(C155,$C$133:$J$153,7,0)</f>
        <v>4390</v>
      </c>
      <c r="G155" s="175">
        <f t="shared" ref="G155:G161" si="13">VLOOKUP(C155,$C$133:$J$153,8,0)</f>
        <v>1</v>
      </c>
      <c r="H155" s="191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ref="A156" si="14">IF(B156="","",+A155+1)</f>
        <v>2</v>
      </c>
      <c r="B156" s="173" t="str">
        <f t="shared" si="11"/>
        <v>บังใบบน</v>
      </c>
      <c r="C156" s="173" t="str">
        <f t="shared" si="11"/>
        <v>DOOR STOP HEAD</v>
      </c>
      <c r="D156" s="174" t="str">
        <f>VLOOKUP(C156,$C$133:$H$153,2,0)</f>
        <v>B24002</v>
      </c>
      <c r="E156" s="175">
        <f t="shared" si="12"/>
        <v>0.27800000000000002</v>
      </c>
      <c r="F156" s="353">
        <f t="shared" ref="F156:F161" si="15">VLOOKUP(C156,$C$133:$I$153,7,0)</f>
        <v>4364</v>
      </c>
      <c r="G156" s="175">
        <f t="shared" si="13"/>
        <v>1</v>
      </c>
      <c r="H156" s="389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ref="A157:A161" si="16">IF(B157="","",+A156+1)</f>
        <v>3</v>
      </c>
      <c r="B157" s="173" t="str">
        <f t="shared" si="11"/>
        <v xml:space="preserve">เฟรมล่าง </v>
      </c>
      <c r="C157" s="173" t="str">
        <f t="shared" si="11"/>
        <v>SILL</v>
      </c>
      <c r="D157" s="174" t="str">
        <f>VLOOKUP(C157,$C$133:$H$153,2,0)</f>
        <v>B24003</v>
      </c>
      <c r="E157" s="175">
        <f t="shared" si="12"/>
        <v>1.603</v>
      </c>
      <c r="F157" s="353">
        <f t="shared" si="15"/>
        <v>4390</v>
      </c>
      <c r="G157" s="175">
        <f t="shared" si="13"/>
        <v>1</v>
      </c>
      <c r="H157" s="192">
        <f t="shared" ref="H157:H158" si="17">ROUNDUP((F157*G157)/6400,0)</f>
        <v>1</v>
      </c>
      <c r="I157" s="501"/>
      <c r="J157" s="501"/>
    </row>
    <row r="158" spans="1:14" s="1" customFormat="1" ht="15" customHeight="1" outlineLevel="1">
      <c r="A158" s="18">
        <f t="shared" si="16"/>
        <v>4</v>
      </c>
      <c r="B158" s="173" t="str">
        <f t="shared" si="11"/>
        <v>ตัวตับธรณี</v>
      </c>
      <c r="C158" s="173" t="str">
        <f t="shared" si="11"/>
        <v>DOOR STOP SILL</v>
      </c>
      <c r="D158" s="174" t="str">
        <f>VLOOKUP(C158,$C$133:$H$153,2,0)</f>
        <v>B24004</v>
      </c>
      <c r="E158" s="175">
        <f t="shared" si="12"/>
        <v>0.51600000000000001</v>
      </c>
      <c r="F158" s="353">
        <f t="shared" si="15"/>
        <v>4390</v>
      </c>
      <c r="G158" s="175">
        <f t="shared" si="13"/>
        <v>1</v>
      </c>
      <c r="H158" s="192">
        <f t="shared" si="17"/>
        <v>1</v>
      </c>
      <c r="I158" s="501"/>
      <c r="J158" s="501"/>
    </row>
    <row r="159" spans="1:14" s="1" customFormat="1" ht="15" customHeight="1" outlineLevel="1">
      <c r="A159" s="18">
        <f t="shared" si="16"/>
        <v>5</v>
      </c>
      <c r="B159" s="173" t="str">
        <f t="shared" si="11"/>
        <v>เฟรมข้าง (ซ้าย)</v>
      </c>
      <c r="C159" s="173" t="str">
        <f t="shared" si="11"/>
        <v>JAMB (L)</v>
      </c>
      <c r="D159" s="508" t="str">
        <f>VLOOKUP(C159,$C$133:$H$153,2,0)</f>
        <v>B24005</v>
      </c>
      <c r="E159" s="175">
        <f t="shared" si="12"/>
        <v>0.89300000000000002</v>
      </c>
      <c r="F159" s="353">
        <f t="shared" si="15"/>
        <v>2500</v>
      </c>
      <c r="G159" s="175">
        <f t="shared" si="13"/>
        <v>1</v>
      </c>
      <c r="H159" s="516">
        <f>ROUNDUP(((F159*G159)+(F160*G160))/6400,0)</f>
        <v>1</v>
      </c>
      <c r="I159" s="506"/>
      <c r="J159" s="506"/>
    </row>
    <row r="160" spans="1:14" s="1" customFormat="1" ht="15" customHeight="1" outlineLevel="1">
      <c r="A160" s="18">
        <f t="shared" si="16"/>
        <v>6</v>
      </c>
      <c r="B160" s="173" t="str">
        <f t="shared" si="11"/>
        <v>เฟรมข้าง (ขวา)</v>
      </c>
      <c r="C160" s="173" t="str">
        <f t="shared" si="11"/>
        <v>JAMB (R)</v>
      </c>
      <c r="D160" s="509"/>
      <c r="E160" s="175">
        <f t="shared" si="12"/>
        <v>0.89300000000000002</v>
      </c>
      <c r="F160" s="353">
        <f t="shared" si="15"/>
        <v>2500</v>
      </c>
      <c r="G160" s="175">
        <f t="shared" si="13"/>
        <v>1</v>
      </c>
      <c r="H160" s="516"/>
      <c r="I160" s="506"/>
      <c r="J160" s="506"/>
    </row>
    <row r="161" spans="1:23" s="1" customFormat="1" ht="15" customHeight="1" outlineLevel="1">
      <c r="A161" s="18">
        <f t="shared" si="16"/>
        <v>7</v>
      </c>
      <c r="B161" s="173" t="str">
        <f t="shared" si="11"/>
        <v>บังใบข้าง (ซ้าย)</v>
      </c>
      <c r="C161" s="173" t="str">
        <f t="shared" si="11"/>
        <v>DOOR STOP JAMB (L)</v>
      </c>
      <c r="D161" s="508" t="str">
        <f>VLOOKUP(C161,$C$133:$H$153,2,0)</f>
        <v>B24006</v>
      </c>
      <c r="E161" s="175">
        <f t="shared" si="12"/>
        <v>0.23499999999999999</v>
      </c>
      <c r="F161" s="353">
        <f t="shared" si="15"/>
        <v>2404</v>
      </c>
      <c r="G161" s="175">
        <f t="shared" si="13"/>
        <v>1</v>
      </c>
      <c r="H161" s="516">
        <f>ROUNDUP(((F161*G161)+(F162*G162))/6400,0)</f>
        <v>1</v>
      </c>
      <c r="I161" s="501"/>
      <c r="J161" s="501"/>
    </row>
    <row r="162" spans="1:23" s="1" customFormat="1" ht="15" customHeight="1" outlineLevel="1">
      <c r="A162" s="18">
        <f t="shared" ref="A162:A172" si="18">IF(B162="","",+A161+1)</f>
        <v>8</v>
      </c>
      <c r="B162" s="173" t="str">
        <f t="shared" ref="B162:C162" si="19">B140</f>
        <v>บังใบข้าง (ขวา)</v>
      </c>
      <c r="C162" s="173" t="str">
        <f t="shared" si="19"/>
        <v>DOOR STOP JAMB (R)</v>
      </c>
      <c r="D162" s="509"/>
      <c r="E162" s="175">
        <f t="shared" ref="E162:E172" si="20">VLOOKUP(C162,$C$133:$H$153,3,0)</f>
        <v>0.23499999999999999</v>
      </c>
      <c r="F162" s="353">
        <f t="shared" ref="F162:F172" si="21">VLOOKUP(C162,$C$133:$I$153,7,0)</f>
        <v>2404</v>
      </c>
      <c r="G162" s="175">
        <f t="shared" ref="G162:G172" si="22">VLOOKUP(C162,$C$133:$J$153,8,0)</f>
        <v>1</v>
      </c>
      <c r="H162" s="516"/>
      <c r="I162" s="506"/>
      <c r="J162" s="506"/>
    </row>
    <row r="163" spans="1:23" s="1" customFormat="1" ht="13.8" outlineLevel="1">
      <c r="A163" s="18">
        <f t="shared" si="18"/>
        <v>9</v>
      </c>
      <c r="B163" s="173" t="str">
        <f t="shared" ref="B163:C163" si="23">B141</f>
        <v>ขวางบน</v>
      </c>
      <c r="C163" s="173" t="str">
        <f t="shared" si="23"/>
        <v>SASH (Hor) (T)</v>
      </c>
      <c r="D163" s="508" t="str">
        <f t="shared" ref="D163:D171" si="24">VLOOKUP(C163,$C$133:$H$153,2,0)</f>
        <v>B24007</v>
      </c>
      <c r="E163" s="175">
        <f t="shared" si="20"/>
        <v>1.1060000000000001</v>
      </c>
      <c r="F163" s="353">
        <f t="shared" si="21"/>
        <v>512.21428571428567</v>
      </c>
      <c r="G163" s="175">
        <f t="shared" si="22"/>
        <v>7</v>
      </c>
      <c r="H163" s="512">
        <f>ROUNDUP(((F163*G163)+(F164*G164)+(F165*G165)+(F166*G166)+(F167*G167)+(F168*G168))/6400,0)</f>
        <v>7</v>
      </c>
      <c r="I163" s="506"/>
      <c r="J163" s="506"/>
    </row>
    <row r="164" spans="1:23" s="1" customFormat="1" ht="13.8" outlineLevel="1">
      <c r="A164" s="18">
        <f t="shared" si="18"/>
        <v>10</v>
      </c>
      <c r="B164" s="173" t="str">
        <f t="shared" ref="B164:C164" si="25">B142</f>
        <v>ขวางล่าง</v>
      </c>
      <c r="C164" s="173" t="str">
        <f t="shared" si="25"/>
        <v>SASH (Hor) (B)</v>
      </c>
      <c r="D164" s="510"/>
      <c r="E164" s="175">
        <f t="shared" si="20"/>
        <v>1.1060000000000001</v>
      </c>
      <c r="F164" s="353">
        <f t="shared" si="21"/>
        <v>512.21428571428567</v>
      </c>
      <c r="G164" s="175">
        <f t="shared" si="22"/>
        <v>7</v>
      </c>
      <c r="H164" s="514"/>
      <c r="I164" s="506"/>
      <c r="J164" s="506"/>
    </row>
    <row r="165" spans="1:23" s="1" customFormat="1" ht="13.8" outlineLevel="1">
      <c r="A165" s="18">
        <f t="shared" si="18"/>
        <v>11</v>
      </c>
      <c r="B165" s="173" t="str">
        <f t="shared" ref="B165:C165" si="26">B143</f>
        <v>เสา</v>
      </c>
      <c r="C165" s="173" t="str">
        <f t="shared" si="26"/>
        <v xml:space="preserve">SASH (Ver) </v>
      </c>
      <c r="D165" s="510"/>
      <c r="E165" s="175">
        <f t="shared" si="20"/>
        <v>1.1060000000000001</v>
      </c>
      <c r="F165" s="353">
        <f t="shared" si="21"/>
        <v>2408</v>
      </c>
      <c r="G165" s="175">
        <f t="shared" si="22"/>
        <v>10</v>
      </c>
      <c r="H165" s="514"/>
      <c r="I165" s="506"/>
      <c r="J165" s="506"/>
    </row>
    <row r="166" spans="1:23" s="1" customFormat="1" ht="13.8" outlineLevel="1">
      <c r="A166" s="18">
        <f t="shared" si="18"/>
        <v>12</v>
      </c>
      <c r="B166" s="173" t="str">
        <f t="shared" ref="B166:C166" si="27">B144</f>
        <v>เสากุญแจ</v>
      </c>
      <c r="C166" s="173" t="str">
        <f t="shared" si="27"/>
        <v xml:space="preserve">SASH (Ver) LOCK </v>
      </c>
      <c r="D166" s="510"/>
      <c r="E166" s="175">
        <f t="shared" si="20"/>
        <v>1.1060000000000001</v>
      </c>
      <c r="F166" s="353">
        <f t="shared" si="21"/>
        <v>2408</v>
      </c>
      <c r="G166" s="175">
        <f t="shared" si="22"/>
        <v>1</v>
      </c>
      <c r="H166" s="514"/>
      <c r="I166" s="506"/>
      <c r="J166" s="506"/>
    </row>
    <row r="167" spans="1:23" s="1" customFormat="1" ht="13.8" outlineLevel="1">
      <c r="A167" s="18">
        <f t="shared" si="18"/>
        <v>13</v>
      </c>
      <c r="B167" s="173" t="str">
        <f t="shared" ref="B167:C167" si="28">B145</f>
        <v>เสากุญแจ</v>
      </c>
      <c r="C167" s="173" t="str">
        <f t="shared" si="28"/>
        <v xml:space="preserve">SASH (Ver) LOCK </v>
      </c>
      <c r="D167" s="510"/>
      <c r="E167" s="175">
        <f t="shared" si="20"/>
        <v>1.1060000000000001</v>
      </c>
      <c r="F167" s="353">
        <f t="shared" si="21"/>
        <v>2408</v>
      </c>
      <c r="G167" s="175">
        <f t="shared" si="22"/>
        <v>1</v>
      </c>
      <c r="H167" s="514"/>
      <c r="I167" s="506"/>
      <c r="J167" s="506"/>
    </row>
    <row r="168" spans="1:23" s="1" customFormat="1" ht="15" customHeight="1" outlineLevel="1">
      <c r="A168" s="18">
        <f t="shared" si="18"/>
        <v>14</v>
      </c>
      <c r="B168" s="173" t="str">
        <f t="shared" ref="B168:C168" si="29">B146</f>
        <v>เสากุญแจมือจับ</v>
      </c>
      <c r="C168" s="173" t="str">
        <f t="shared" si="29"/>
        <v>SASH (Ver) LOCK HANDLE</v>
      </c>
      <c r="D168" s="509"/>
      <c r="E168" s="175">
        <f t="shared" si="20"/>
        <v>1.1060000000000001</v>
      </c>
      <c r="F168" s="353">
        <f t="shared" si="21"/>
        <v>2408</v>
      </c>
      <c r="G168" s="175">
        <f t="shared" si="22"/>
        <v>1</v>
      </c>
      <c r="H168" s="515"/>
      <c r="I168" s="501"/>
      <c r="J168" s="501"/>
    </row>
    <row r="169" spans="1:23" s="1" customFormat="1" ht="13.8" outlineLevel="1">
      <c r="A169" s="18">
        <f t="shared" si="18"/>
        <v>15</v>
      </c>
      <c r="B169" s="173" t="str">
        <f t="shared" ref="B169:C169" si="30">B147</f>
        <v>5-6mm คิ้วตบกระจกแนวนอน</v>
      </c>
      <c r="C169" s="173" t="str">
        <f t="shared" si="30"/>
        <v>5-6mm GLAZING BEAD HORIZONTAL</v>
      </c>
      <c r="D169" s="508" t="str">
        <f t="shared" si="24"/>
        <v>B24008</v>
      </c>
      <c r="E169" s="175">
        <f t="shared" si="20"/>
        <v>0.23100000000000001</v>
      </c>
      <c r="F169" s="353">
        <f t="shared" si="21"/>
        <v>512.21428571428567</v>
      </c>
      <c r="G169" s="175">
        <f t="shared" si="22"/>
        <v>14</v>
      </c>
      <c r="H169" s="516">
        <f>ROUNDUP(((F169*G169)+(F170*G170))/6400,0)</f>
        <v>7</v>
      </c>
      <c r="I169" s="232"/>
      <c r="J169" s="232"/>
    </row>
    <row r="170" spans="1:23" s="1" customFormat="1" ht="15" customHeight="1" outlineLevel="1">
      <c r="A170" s="18">
        <f t="shared" si="18"/>
        <v>16</v>
      </c>
      <c r="B170" s="173" t="str">
        <f t="shared" ref="B170:C170" si="31">B148</f>
        <v>5-6mm คิ้วตบกระจกแนวตั้ง</v>
      </c>
      <c r="C170" s="173" t="str">
        <f t="shared" si="31"/>
        <v>5-6mm GLAZING BEAD VERTICAL</v>
      </c>
      <c r="D170" s="509"/>
      <c r="E170" s="175">
        <f t="shared" si="20"/>
        <v>0.23100000000000001</v>
      </c>
      <c r="F170" s="353">
        <f t="shared" si="21"/>
        <v>2258</v>
      </c>
      <c r="G170" s="175">
        <f t="shared" si="22"/>
        <v>14</v>
      </c>
      <c r="H170" s="516"/>
      <c r="I170" s="232"/>
      <c r="J170" s="232"/>
    </row>
    <row r="171" spans="1:23" s="1" customFormat="1" ht="13.8" outlineLevel="1">
      <c r="A171" s="18">
        <f t="shared" si="18"/>
        <v>17</v>
      </c>
      <c r="B171" s="173" t="str">
        <f t="shared" ref="B171:C171" si="32">B149</f>
        <v>บังใบ</v>
      </c>
      <c r="C171" s="173" t="str">
        <f t="shared" si="32"/>
        <v>SASH STOP</v>
      </c>
      <c r="D171" s="508" t="str">
        <f t="shared" si="24"/>
        <v>B24009</v>
      </c>
      <c r="E171" s="175">
        <f t="shared" si="20"/>
        <v>0</v>
      </c>
      <c r="F171" s="353">
        <f t="shared" si="21"/>
        <v>2408</v>
      </c>
      <c r="G171" s="175">
        <f t="shared" si="22"/>
        <v>1</v>
      </c>
      <c r="H171" s="516">
        <f>ROUNDUP(((F171*G171)+(F172*G172))/6400,0)</f>
        <v>1</v>
      </c>
      <c r="I171" s="232"/>
      <c r="J171" s="232"/>
    </row>
    <row r="172" spans="1:23" s="1" customFormat="1" outlineLevel="1" thickBot="1">
      <c r="A172" s="18">
        <f t="shared" si="18"/>
        <v>18</v>
      </c>
      <c r="B172" s="173" t="str">
        <f t="shared" ref="B172:C172" si="33">B150</f>
        <v>บังใบ</v>
      </c>
      <c r="C172" s="173" t="str">
        <f t="shared" si="33"/>
        <v>SASH STOP</v>
      </c>
      <c r="D172" s="511"/>
      <c r="E172" s="175">
        <f t="shared" si="20"/>
        <v>0</v>
      </c>
      <c r="F172" s="353">
        <f t="shared" si="21"/>
        <v>2408</v>
      </c>
      <c r="G172" s="175">
        <f t="shared" si="22"/>
        <v>1</v>
      </c>
      <c r="H172" s="573"/>
      <c r="I172" s="232"/>
      <c r="J172" s="232"/>
    </row>
    <row r="173" spans="1:23" s="1" customFormat="1" ht="24.9" customHeight="1" thickBot="1">
      <c r="A173" s="529" t="s">
        <v>9</v>
      </c>
      <c r="B173" s="530"/>
      <c r="C173" s="530"/>
      <c r="D173" s="530"/>
      <c r="E173" s="530"/>
      <c r="F173" s="530"/>
      <c r="G173" s="530"/>
      <c r="H173" s="530"/>
      <c r="I173" s="530"/>
      <c r="J173" s="531"/>
    </row>
    <row r="174" spans="1:23" s="1" customFormat="1" ht="35.1" customHeight="1" thickBot="1">
      <c r="A174" s="102" t="s">
        <v>2</v>
      </c>
      <c r="B174" s="103" t="s">
        <v>29</v>
      </c>
      <c r="C174" s="103" t="s">
        <v>3</v>
      </c>
      <c r="D174" s="103" t="s">
        <v>199</v>
      </c>
      <c r="E174" s="103" t="s">
        <v>5</v>
      </c>
      <c r="F174" s="104" t="s">
        <v>28</v>
      </c>
      <c r="G174" s="103" t="s">
        <v>19</v>
      </c>
      <c r="H174" s="104" t="s">
        <v>200</v>
      </c>
      <c r="I174" s="104" t="s">
        <v>20</v>
      </c>
      <c r="J174" s="115" t="s">
        <v>201</v>
      </c>
      <c r="N174" s="101" t="s">
        <v>191</v>
      </c>
      <c r="O174" s="246" t="s">
        <v>29</v>
      </c>
      <c r="P174" s="246" t="s">
        <v>3</v>
      </c>
      <c r="Q174" s="246" t="s">
        <v>199</v>
      </c>
      <c r="R174" s="246" t="s">
        <v>5</v>
      </c>
      <c r="S174" s="246" t="s">
        <v>28</v>
      </c>
      <c r="T174" s="246" t="s">
        <v>19</v>
      </c>
      <c r="U174" s="246" t="s">
        <v>200</v>
      </c>
      <c r="V174" s="246" t="s">
        <v>20</v>
      </c>
      <c r="W174" s="246" t="s">
        <v>201</v>
      </c>
    </row>
    <row r="175" spans="1:23" s="1" customFormat="1" ht="18" customHeight="1">
      <c r="A175" s="200">
        <f>IF(B175="","",1)</f>
        <v>1</v>
      </c>
      <c r="B175" s="140" t="s">
        <v>111</v>
      </c>
      <c r="C175" s="140" t="s">
        <v>67</v>
      </c>
      <c r="D175" s="139" t="s">
        <v>74</v>
      </c>
      <c r="E175" s="143"/>
      <c r="F175" s="143" t="s">
        <v>74</v>
      </c>
      <c r="G175" s="143" t="s">
        <v>202</v>
      </c>
      <c r="H175" s="143">
        <v>14</v>
      </c>
      <c r="I175" s="130"/>
      <c r="J175" s="131">
        <f>$J$120*H175</f>
        <v>14</v>
      </c>
      <c r="N175" s="101" t="s">
        <v>226</v>
      </c>
      <c r="O175" s="280" t="s">
        <v>252</v>
      </c>
      <c r="P175" s="290" t="s">
        <v>248</v>
      </c>
      <c r="Q175" s="280" t="s">
        <v>69</v>
      </c>
      <c r="R175" s="213"/>
      <c r="S175" s="213" t="s">
        <v>69</v>
      </c>
      <c r="T175" s="213" t="s">
        <v>198</v>
      </c>
      <c r="U175" s="291">
        <f>((($I$141*$G$141)+($I$142*$G$142)+($I$143*$G$143)+($I$144*$G$144)+($I$145*$G$145)+($I$146*$G$146))/1000)*$J$120</f>
        <v>40.883000000000003</v>
      </c>
      <c r="V175" s="291">
        <v>100</v>
      </c>
      <c r="W175" s="292">
        <f>ROUNDUP((U175)/100,0)</f>
        <v>1</v>
      </c>
    </row>
    <row r="176" spans="1:23" s="1" customFormat="1" ht="18" customHeight="1">
      <c r="A176" s="201">
        <f>IF(B176="","",+A175+1)</f>
        <v>2</v>
      </c>
      <c r="B176" s="140" t="s">
        <v>106</v>
      </c>
      <c r="C176" s="140" t="s">
        <v>503</v>
      </c>
      <c r="D176" s="139" t="s">
        <v>75</v>
      </c>
      <c r="E176" s="143"/>
      <c r="F176" s="143" t="s">
        <v>75</v>
      </c>
      <c r="G176" s="143" t="s">
        <v>202</v>
      </c>
      <c r="H176" s="143">
        <v>2</v>
      </c>
      <c r="I176" s="130"/>
      <c r="J176" s="131">
        <f t="shared" ref="J176:J199" si="34">$J$120*H176</f>
        <v>2</v>
      </c>
      <c r="N176" s="101" t="s">
        <v>230</v>
      </c>
      <c r="O176" s="280" t="s">
        <v>253</v>
      </c>
      <c r="P176" s="290" t="s">
        <v>249</v>
      </c>
      <c r="Q176" s="280" t="s">
        <v>188</v>
      </c>
      <c r="R176" s="213"/>
      <c r="S176" s="213" t="s">
        <v>188</v>
      </c>
      <c r="T176" s="213" t="s">
        <v>198</v>
      </c>
      <c r="U176" s="291">
        <f>((($I$141*$G$141)+($I$142*$G$142)+($I$143*$G$143)+($I$144*$G$144)+($I$145*$G$145)+($I$146*$G$146))/1000)*$J$120</f>
        <v>40.883000000000003</v>
      </c>
      <c r="V176" s="291">
        <v>100</v>
      </c>
      <c r="W176" s="292">
        <f>ROUNDUP((U176)/100,0)</f>
        <v>1</v>
      </c>
    </row>
    <row r="177" spans="1:23" s="1" customFormat="1" ht="18" customHeight="1">
      <c r="A177" s="201">
        <f t="shared" ref="A177:A204" si="35">IF(B177="","",+A176+1)</f>
        <v>3</v>
      </c>
      <c r="B177" s="140" t="s">
        <v>107</v>
      </c>
      <c r="C177" s="140" t="s">
        <v>504</v>
      </c>
      <c r="D177" s="139" t="s">
        <v>76</v>
      </c>
      <c r="E177" s="143"/>
      <c r="F177" s="143" t="s">
        <v>76</v>
      </c>
      <c r="G177" s="143" t="s">
        <v>202</v>
      </c>
      <c r="H177" s="143">
        <v>2</v>
      </c>
      <c r="I177" s="130"/>
      <c r="J177" s="131">
        <f t="shared" si="34"/>
        <v>2</v>
      </c>
      <c r="N177" s="101" t="s">
        <v>229</v>
      </c>
      <c r="O177" s="290" t="s">
        <v>254</v>
      </c>
      <c r="P177" s="290" t="s">
        <v>250</v>
      </c>
      <c r="Q177" s="280" t="s">
        <v>70</v>
      </c>
      <c r="R177" s="213"/>
      <c r="S177" s="213" t="s">
        <v>70</v>
      </c>
      <c r="T177" s="213" t="s">
        <v>198</v>
      </c>
      <c r="U177" s="291">
        <f>((($I$141*$G$141)+($I$142*$G$142)+($I$143*$G$143)+($I$144*$G$144)+($I$145*$G$145)+($I$146*$G$146))/1000)*$J$120</f>
        <v>40.883000000000003</v>
      </c>
      <c r="V177" s="291">
        <v>100</v>
      </c>
      <c r="W177" s="292">
        <f>ROUNDUP((U177)/100,0)</f>
        <v>1</v>
      </c>
    </row>
    <row r="178" spans="1:23" s="1" customFormat="1" ht="18" customHeight="1">
      <c r="A178" s="201">
        <f t="shared" si="35"/>
        <v>4</v>
      </c>
      <c r="B178" s="140" t="s">
        <v>108</v>
      </c>
      <c r="C178" s="140" t="s">
        <v>10</v>
      </c>
      <c r="D178" s="139">
        <v>9</v>
      </c>
      <c r="E178" s="143"/>
      <c r="F178" s="143">
        <v>9</v>
      </c>
      <c r="G178" s="143" t="s">
        <v>202</v>
      </c>
      <c r="H178" s="143">
        <v>8</v>
      </c>
      <c r="I178" s="130"/>
      <c r="J178" s="131">
        <f t="shared" si="34"/>
        <v>8</v>
      </c>
      <c r="N178" s="101" t="s">
        <v>231</v>
      </c>
      <c r="O178" s="290" t="s">
        <v>255</v>
      </c>
      <c r="P178" s="290" t="s">
        <v>251</v>
      </c>
      <c r="Q178" s="280" t="s">
        <v>189</v>
      </c>
      <c r="R178" s="213"/>
      <c r="S178" s="213" t="s">
        <v>189</v>
      </c>
      <c r="T178" s="213" t="s">
        <v>198</v>
      </c>
      <c r="U178" s="291">
        <f>((($I$141*$G$141)+($I$142*$G$142)+($I$143*$G$143)+($I$144*$G$144)+($I$145*$G$145)+($I$146*$G$146))/1000)*$J$120</f>
        <v>40.883000000000003</v>
      </c>
      <c r="V178" s="291">
        <v>100</v>
      </c>
      <c r="W178" s="292">
        <f>ROUNDUP((U178)/100,0)</f>
        <v>1</v>
      </c>
    </row>
    <row r="179" spans="1:23" s="1" customFormat="1" ht="18" customHeight="1">
      <c r="A179" s="201">
        <f t="shared" si="35"/>
        <v>5</v>
      </c>
      <c r="B179" s="140" t="s">
        <v>109</v>
      </c>
      <c r="C179" s="140" t="s">
        <v>68</v>
      </c>
      <c r="D179" s="139">
        <v>9</v>
      </c>
      <c r="E179" s="143"/>
      <c r="F179" s="143">
        <v>9</v>
      </c>
      <c r="G179" s="143" t="s">
        <v>202</v>
      </c>
      <c r="H179" s="143">
        <v>110</v>
      </c>
      <c r="I179" s="130"/>
      <c r="J179" s="131">
        <f t="shared" si="34"/>
        <v>110</v>
      </c>
      <c r="N179" s="101" t="s">
        <v>232</v>
      </c>
      <c r="O179" s="290" t="s">
        <v>256</v>
      </c>
      <c r="P179" s="290" t="s">
        <v>247</v>
      </c>
      <c r="Q179" s="280" t="s">
        <v>233</v>
      </c>
      <c r="R179" s="213"/>
      <c r="S179" s="213" t="s">
        <v>233</v>
      </c>
      <c r="T179" s="213" t="s">
        <v>198</v>
      </c>
      <c r="U179" s="291">
        <f>((($I$141*$G$141)+($I$142*$G$142)+($I$143*$G$143)+($I$144*$G$144)+($I$145*$G$145)+($I$146*$G$146))/1000)*$J$120</f>
        <v>40.883000000000003</v>
      </c>
      <c r="V179" s="291">
        <v>100</v>
      </c>
      <c r="W179" s="292">
        <f>ROUNDUP((U179)/100,0)</f>
        <v>1</v>
      </c>
    </row>
    <row r="180" spans="1:23" s="1" customFormat="1" ht="18" customHeight="1">
      <c r="A180" s="201">
        <f t="shared" si="35"/>
        <v>6</v>
      </c>
      <c r="B180" s="140" t="s">
        <v>118</v>
      </c>
      <c r="C180" s="140" t="s">
        <v>77</v>
      </c>
      <c r="D180" s="139" t="s">
        <v>80</v>
      </c>
      <c r="E180" s="143"/>
      <c r="F180" s="143" t="s">
        <v>80</v>
      </c>
      <c r="G180" s="143" t="s">
        <v>185</v>
      </c>
      <c r="H180" s="143">
        <v>1</v>
      </c>
      <c r="I180" s="130"/>
      <c r="J180" s="131">
        <f t="shared" si="34"/>
        <v>1</v>
      </c>
    </row>
    <row r="181" spans="1:23" s="1" customFormat="1" ht="18" customHeight="1">
      <c r="A181" s="201">
        <f t="shared" si="35"/>
        <v>7</v>
      </c>
      <c r="B181" s="140" t="s">
        <v>120</v>
      </c>
      <c r="C181" s="140" t="s">
        <v>94</v>
      </c>
      <c r="D181" s="139" t="s">
        <v>96</v>
      </c>
      <c r="E181" s="143"/>
      <c r="F181" s="143" t="s">
        <v>96</v>
      </c>
      <c r="G181" s="143" t="s">
        <v>185</v>
      </c>
      <c r="H181" s="143">
        <v>1</v>
      </c>
      <c r="I181" s="130"/>
      <c r="J181" s="131">
        <f t="shared" si="34"/>
        <v>1</v>
      </c>
    </row>
    <row r="182" spans="1:23" s="1" customFormat="1" ht="18" customHeight="1">
      <c r="A182" s="201">
        <f t="shared" si="35"/>
        <v>8</v>
      </c>
      <c r="B182" s="140" t="s">
        <v>131</v>
      </c>
      <c r="C182" s="140" t="s">
        <v>100</v>
      </c>
      <c r="D182" s="139" t="s">
        <v>102</v>
      </c>
      <c r="E182" s="143"/>
      <c r="F182" s="143" t="s">
        <v>102</v>
      </c>
      <c r="G182" s="143" t="s">
        <v>185</v>
      </c>
      <c r="H182" s="143">
        <v>2</v>
      </c>
      <c r="I182" s="130"/>
      <c r="J182" s="131">
        <f t="shared" si="34"/>
        <v>2</v>
      </c>
    </row>
    <row r="183" spans="1:23" s="1" customFormat="1" ht="18" customHeight="1">
      <c r="A183" s="201">
        <f t="shared" si="35"/>
        <v>9</v>
      </c>
      <c r="B183" s="140" t="s">
        <v>113</v>
      </c>
      <c r="C183" s="140" t="s">
        <v>502</v>
      </c>
      <c r="D183" s="139" t="s">
        <v>83</v>
      </c>
      <c r="E183" s="143"/>
      <c r="F183" s="143" t="s">
        <v>83</v>
      </c>
      <c r="G183" s="143" t="s">
        <v>185</v>
      </c>
      <c r="H183" s="143">
        <v>3</v>
      </c>
      <c r="I183" s="144"/>
      <c r="J183" s="131">
        <f t="shared" si="34"/>
        <v>3</v>
      </c>
    </row>
    <row r="184" spans="1:23" s="1" customFormat="1" ht="18" customHeight="1">
      <c r="A184" s="201">
        <f t="shared" si="35"/>
        <v>10</v>
      </c>
      <c r="B184" s="140" t="s">
        <v>132</v>
      </c>
      <c r="C184" s="140" t="s">
        <v>79</v>
      </c>
      <c r="D184" s="139" t="s">
        <v>82</v>
      </c>
      <c r="E184" s="143"/>
      <c r="F184" s="143" t="s">
        <v>82</v>
      </c>
      <c r="G184" s="143" t="s">
        <v>185</v>
      </c>
      <c r="H184" s="143">
        <v>2</v>
      </c>
      <c r="I184" s="130"/>
      <c r="J184" s="131">
        <f>$J$120*H184</f>
        <v>2</v>
      </c>
      <c r="N184" s="56"/>
      <c r="O184" s="56"/>
      <c r="P184" s="56"/>
      <c r="Q184" s="289"/>
      <c r="R184" s="289"/>
      <c r="S184" s="289"/>
      <c r="T184" s="17"/>
      <c r="U184" s="17"/>
      <c r="V184" s="17"/>
      <c r="W184" s="56"/>
    </row>
    <row r="185" spans="1:23" s="1" customFormat="1" ht="18" customHeight="1">
      <c r="A185" s="201">
        <f t="shared" si="35"/>
        <v>11</v>
      </c>
      <c r="B185" s="140" t="s">
        <v>143</v>
      </c>
      <c r="C185" s="140" t="s">
        <v>121</v>
      </c>
      <c r="D185" s="139" t="s">
        <v>103</v>
      </c>
      <c r="E185" s="143"/>
      <c r="F185" s="143" t="s">
        <v>103</v>
      </c>
      <c r="G185" s="143" t="s">
        <v>185</v>
      </c>
      <c r="H185" s="143">
        <v>1</v>
      </c>
      <c r="I185" s="130"/>
      <c r="J185" s="131">
        <f>$J$120*H185</f>
        <v>1</v>
      </c>
      <c r="N185" s="101" t="s">
        <v>227</v>
      </c>
      <c r="O185" s="246" t="s">
        <v>29</v>
      </c>
      <c r="P185" s="246" t="s">
        <v>3</v>
      </c>
      <c r="Q185" s="246" t="s">
        <v>199</v>
      </c>
      <c r="R185" s="246" t="s">
        <v>5</v>
      </c>
      <c r="S185" s="246" t="s">
        <v>28</v>
      </c>
      <c r="T185" s="246" t="s">
        <v>19</v>
      </c>
      <c r="U185" s="246" t="s">
        <v>200</v>
      </c>
      <c r="V185" s="246" t="s">
        <v>20</v>
      </c>
      <c r="W185" s="246" t="s">
        <v>201</v>
      </c>
    </row>
    <row r="186" spans="1:23" s="1" customFormat="1" ht="18" customHeight="1">
      <c r="A186" s="201">
        <f t="shared" si="35"/>
        <v>12</v>
      </c>
      <c r="B186" s="140" t="s">
        <v>142</v>
      </c>
      <c r="C186" s="140" t="s">
        <v>141</v>
      </c>
      <c r="D186" s="139" t="s">
        <v>81</v>
      </c>
      <c r="E186" s="143"/>
      <c r="F186" s="143" t="s">
        <v>81</v>
      </c>
      <c r="G186" s="143" t="s">
        <v>185</v>
      </c>
      <c r="H186" s="143">
        <v>1</v>
      </c>
      <c r="I186" s="130"/>
      <c r="J186" s="131">
        <f>$J$120*H186</f>
        <v>1</v>
      </c>
      <c r="N186" s="101" t="s">
        <v>240</v>
      </c>
      <c r="O186" s="290" t="s">
        <v>234</v>
      </c>
      <c r="P186" s="290" t="s">
        <v>236</v>
      </c>
      <c r="Q186" s="280" t="s">
        <v>190</v>
      </c>
      <c r="R186" s="213"/>
      <c r="S186" s="213" t="s">
        <v>190</v>
      </c>
      <c r="T186" s="213" t="s">
        <v>198</v>
      </c>
      <c r="U186" s="291">
        <f>((($I$134*$G$134)+($I$136*$G$136)+($I$139*$G$139))/1000)*$J$120</f>
        <v>11.157999999999999</v>
      </c>
      <c r="V186" s="291">
        <v>300</v>
      </c>
      <c r="W186" s="292">
        <f>ROUNDUP((U186)/V186,0)</f>
        <v>1</v>
      </c>
    </row>
    <row r="187" spans="1:23" s="1" customFormat="1" ht="18" customHeight="1">
      <c r="A187" s="201">
        <f t="shared" si="35"/>
        <v>13</v>
      </c>
      <c r="B187" s="140" t="s">
        <v>122</v>
      </c>
      <c r="C187" s="140" t="s">
        <v>101</v>
      </c>
      <c r="D187" s="139" t="s">
        <v>104</v>
      </c>
      <c r="E187" s="143"/>
      <c r="F187" s="143" t="s">
        <v>104</v>
      </c>
      <c r="G187" s="143" t="s">
        <v>185</v>
      </c>
      <c r="H187" s="143">
        <v>1</v>
      </c>
      <c r="I187" s="144"/>
      <c r="J187" s="131">
        <f t="shared" si="34"/>
        <v>1</v>
      </c>
      <c r="N187" s="101" t="s">
        <v>241</v>
      </c>
      <c r="O187" s="290" t="s">
        <v>235</v>
      </c>
      <c r="P187" s="290" t="s">
        <v>238</v>
      </c>
      <c r="Q187" s="280" t="s">
        <v>71</v>
      </c>
      <c r="R187" s="213"/>
      <c r="S187" s="213" t="s">
        <v>71</v>
      </c>
      <c r="T187" s="213" t="s">
        <v>198</v>
      </c>
      <c r="U187" s="291">
        <f>((($I$134*$G$134)+($I$136*$G$136)+($I$139*$G$139))/1000)*$J$120</f>
        <v>11.157999999999999</v>
      </c>
      <c r="V187" s="291">
        <v>100</v>
      </c>
      <c r="W187" s="292">
        <f t="shared" ref="W187:W189" si="36">ROUNDUP((U187)/V187,0)</f>
        <v>1</v>
      </c>
    </row>
    <row r="188" spans="1:23" s="1" customFormat="1" ht="18" customHeight="1">
      <c r="A188" s="201">
        <f t="shared" si="35"/>
        <v>14</v>
      </c>
      <c r="B188" s="140" t="s">
        <v>112</v>
      </c>
      <c r="C188" s="140" t="s">
        <v>114</v>
      </c>
      <c r="D188" s="128" t="s">
        <v>520</v>
      </c>
      <c r="E188" s="129"/>
      <c r="F188" s="129" t="s">
        <v>520</v>
      </c>
      <c r="G188" s="143" t="s">
        <v>202</v>
      </c>
      <c r="H188" s="143">
        <v>6</v>
      </c>
      <c r="I188" s="130"/>
      <c r="J188" s="131">
        <f t="shared" si="34"/>
        <v>6</v>
      </c>
      <c r="N188" s="101" t="s">
        <v>240</v>
      </c>
      <c r="O188" s="290" t="s">
        <v>245</v>
      </c>
      <c r="P188" s="290" t="s">
        <v>237</v>
      </c>
      <c r="Q188" s="280" t="s">
        <v>72</v>
      </c>
      <c r="R188" s="213"/>
      <c r="S188" s="213" t="s">
        <v>72</v>
      </c>
      <c r="T188" s="213" t="s">
        <v>198</v>
      </c>
      <c r="U188" s="291">
        <f>((($I$141*$G$141*2)+($I$143*$G$143*2)+($I$144*$G$144*2)+($I$145*$G$145))/1000)*$J$120</f>
        <v>64.962999999999994</v>
      </c>
      <c r="V188" s="291">
        <v>350</v>
      </c>
      <c r="W188" s="292">
        <f t="shared" si="36"/>
        <v>1</v>
      </c>
    </row>
    <row r="189" spans="1:23" s="1" customFormat="1" ht="18" customHeight="1">
      <c r="A189" s="201">
        <f t="shared" si="35"/>
        <v>15</v>
      </c>
      <c r="B189" s="140" t="s">
        <v>115</v>
      </c>
      <c r="C189" s="140" t="s">
        <v>45</v>
      </c>
      <c r="D189" s="139" t="s">
        <v>84</v>
      </c>
      <c r="E189" s="143"/>
      <c r="F189" s="143" t="s">
        <v>84</v>
      </c>
      <c r="G189" s="143" t="s">
        <v>202</v>
      </c>
      <c r="H189" s="143">
        <v>1</v>
      </c>
      <c r="I189" s="130"/>
      <c r="J189" s="131">
        <f t="shared" si="34"/>
        <v>1</v>
      </c>
      <c r="N189" s="101" t="s">
        <v>241</v>
      </c>
      <c r="O189" s="290" t="s">
        <v>246</v>
      </c>
      <c r="P189" s="290" t="s">
        <v>239</v>
      </c>
      <c r="Q189" s="280" t="s">
        <v>193</v>
      </c>
      <c r="R189" s="213"/>
      <c r="S189" s="213" t="s">
        <v>193</v>
      </c>
      <c r="T189" s="213" t="s">
        <v>198</v>
      </c>
      <c r="U189" s="291">
        <f>((($I$141*$G$141*2)+($I$143*$G$143*2)+($I$144*$G$144*2)+($I$145*$G$145))/1000)*$J$120</f>
        <v>64.962999999999994</v>
      </c>
      <c r="V189" s="291">
        <v>100</v>
      </c>
      <c r="W189" s="292">
        <f t="shared" si="36"/>
        <v>1</v>
      </c>
    </row>
    <row r="190" spans="1:23" s="1" customFormat="1" ht="18" customHeight="1">
      <c r="A190" s="201">
        <f t="shared" si="35"/>
        <v>16</v>
      </c>
      <c r="B190" s="140" t="s">
        <v>110</v>
      </c>
      <c r="C190" s="140" t="s">
        <v>66</v>
      </c>
      <c r="D190" s="139" t="s">
        <v>73</v>
      </c>
      <c r="E190" s="143"/>
      <c r="F190" s="143" t="s">
        <v>73</v>
      </c>
      <c r="G190" s="143" t="s">
        <v>202</v>
      </c>
      <c r="H190" s="143">
        <v>3</v>
      </c>
      <c r="I190" s="130"/>
      <c r="J190" s="131">
        <f>$J$120*H190</f>
        <v>3</v>
      </c>
    </row>
    <row r="191" spans="1:23" s="1" customFormat="1" ht="18" customHeight="1">
      <c r="A191" s="201">
        <f t="shared" si="35"/>
        <v>17</v>
      </c>
      <c r="B191" s="140" t="s">
        <v>512</v>
      </c>
      <c r="C191" s="140" t="s">
        <v>135</v>
      </c>
      <c r="D191" s="139" t="s">
        <v>137</v>
      </c>
      <c r="E191" s="143"/>
      <c r="F191" s="143" t="s">
        <v>137</v>
      </c>
      <c r="G191" s="143" t="s">
        <v>198</v>
      </c>
      <c r="H191" s="261">
        <f>((($I$149*$G$149)+($I$150*$G$150))/1000)*$J$120</f>
        <v>4.8159999999999998</v>
      </c>
      <c r="I191" s="258">
        <v>100</v>
      </c>
      <c r="J191" s="267">
        <f t="shared" ref="J191:J196" si="37">ROUNDUP((H191)/100,0)</f>
        <v>1</v>
      </c>
    </row>
    <row r="192" spans="1:23" s="1" customFormat="1" ht="18" customHeight="1">
      <c r="A192" s="201">
        <f t="shared" si="35"/>
        <v>18</v>
      </c>
      <c r="B192" s="140" t="s">
        <v>513</v>
      </c>
      <c r="C192" s="140" t="s">
        <v>136</v>
      </c>
      <c r="D192" s="139" t="s">
        <v>138</v>
      </c>
      <c r="E192" s="143"/>
      <c r="F192" s="143" t="s">
        <v>138</v>
      </c>
      <c r="G192" s="143" t="s">
        <v>198</v>
      </c>
      <c r="H192" s="261">
        <f>((($I$144*$G$144)+(I146*G146))/1000)*$J$120</f>
        <v>4.8159999999999998</v>
      </c>
      <c r="I192" s="258">
        <v>100</v>
      </c>
      <c r="J192" s="267">
        <f t="shared" si="37"/>
        <v>1</v>
      </c>
    </row>
    <row r="193" spans="1:24" s="1" customFormat="1" ht="18" customHeight="1">
      <c r="A193" s="201">
        <f t="shared" si="35"/>
        <v>19</v>
      </c>
      <c r="B193" s="139" t="str">
        <f t="shared" ref="B193:I193" si="38">IF($D$129="Standard",O186,IF($D$129="Soumdproof",O187,))</f>
        <v>ยางเฟรมกันน้ำ (ธรรมดา)</v>
      </c>
      <c r="C193" s="139" t="str">
        <f t="shared" si="38"/>
        <v>FRAME SEAL (Standard)</v>
      </c>
      <c r="D193" s="139" t="str">
        <f t="shared" si="38"/>
        <v>02-026</v>
      </c>
      <c r="E193" s="139">
        <f t="shared" si="38"/>
        <v>0</v>
      </c>
      <c r="F193" s="143" t="str">
        <f t="shared" si="38"/>
        <v>02-026</v>
      </c>
      <c r="G193" s="143" t="str">
        <f t="shared" si="38"/>
        <v>M</v>
      </c>
      <c r="H193" s="261">
        <f t="shared" si="38"/>
        <v>11.157999999999999</v>
      </c>
      <c r="I193" s="258">
        <f t="shared" si="38"/>
        <v>300</v>
      </c>
      <c r="J193" s="267">
        <f t="shared" si="37"/>
        <v>1</v>
      </c>
    </row>
    <row r="194" spans="1:24" s="1" customFormat="1" ht="18" customHeight="1">
      <c r="A194" s="201">
        <f t="shared" si="35"/>
        <v>20</v>
      </c>
      <c r="B194" s="139" t="str">
        <f t="shared" ref="B194:I194" si="39">IF($D$129="Standard",O188,IF($D$129="Soumdproof",O189,))</f>
        <v>ยางแซชกันน้ำ (ธรรมดา)</v>
      </c>
      <c r="C194" s="139" t="str">
        <f t="shared" si="39"/>
        <v>SASH SEAL FOAM (Standard)</v>
      </c>
      <c r="D194" s="139" t="str">
        <f t="shared" si="39"/>
        <v>02-031</v>
      </c>
      <c r="E194" s="139">
        <f t="shared" si="39"/>
        <v>0</v>
      </c>
      <c r="F194" s="143" t="str">
        <f t="shared" si="39"/>
        <v>02-031</v>
      </c>
      <c r="G194" s="143" t="str">
        <f t="shared" si="39"/>
        <v>M</v>
      </c>
      <c r="H194" s="261">
        <f t="shared" si="39"/>
        <v>64.962999999999994</v>
      </c>
      <c r="I194" s="258">
        <f t="shared" si="39"/>
        <v>350</v>
      </c>
      <c r="J194" s="267">
        <f t="shared" si="37"/>
        <v>1</v>
      </c>
    </row>
    <row r="195" spans="1:24" ht="18" customHeight="1">
      <c r="A195" s="201">
        <f t="shared" si="35"/>
        <v>21</v>
      </c>
      <c r="B195" s="241" t="str">
        <f>IF($D$127=5,$O$177,IF($D$127=6,$O$178,IF($D$127=8,$O$179,IF($D$127=10,$O$177,IF($D$127=12,$O$177,IF($D$127=14,$O$179,IF($D$127=18,$O$177,IF($D$127=20,$O$178,IF($D$127=22,"")))))))))</f>
        <v>5,8,10,12,18 mmยางอัดกระจก</v>
      </c>
      <c r="C195" s="241" t="str">
        <f>IF($D$127=5,$P$177,IF($D$127=6,$P$178,IF($D$127=8,$P$179,IF($D$127=10,$P$177,IF($D$127=12,$P$177,IF($D$127=14,$P$179,IF($D$127=18,$P$177,IF($D$127=20,$P$178,IF($D$127=22,"")))))))))</f>
        <v>5,8,10,12,18 mm ROLL IN WEDGE</v>
      </c>
      <c r="D195" s="241" t="str">
        <f>IF($D$127=5,$Q$177,IF($D$127=6,$Q$178,IF($D$127=8,$Q$179,IF($D$127=10,$Q$177,IF($D$127=12,$Q$177,IF($D$127=14,$Q$179,IF($D$127=18,$Q$177,IF($D$127=20,$Q$178,IF($D$127=22,"")))))))))</f>
        <v>02-033</v>
      </c>
      <c r="E195" s="241">
        <f>IF($D$129=5,R181,IF($D$129=6,R182,IF($D$129=8,R183,IF($D$129=10,R181,IF($D$129=12,R181,IF($D$129=14,R183,IF($D$129=18,R181,IF($D$129=20,R182,IF($D$129=22,"",)))))))))</f>
        <v>0</v>
      </c>
      <c r="F195" s="242" t="str">
        <f>IF($D$127=5,$S$177,IF($D$127=6,$S$178,IF($D$127=8,$S$179,IF($D$127=10,$S$177,IF($D$127=12,$S$177,IF($D$127=14,$S$179,IF($D$127=18,$S$177,IF($D$127=20,$S$178,IF($D$127=22,"")))))))))</f>
        <v>02-033</v>
      </c>
      <c r="G195" s="242" t="str">
        <f>IF($D$127=5,$T$177,IF($D$127=6,$T$178,IF($D$127=8,$T$179,IF($D$127=10,$T$177,IF($D$127=12,$T$177,IF($D$127=14,$T$179,IF($D$127=18,$T$177,IF($D$127=20,$T$178,IF($D$127=22,"")))))))))</f>
        <v>M</v>
      </c>
      <c r="H195" s="261">
        <f>IF($D$127=5,$U$177,IF($D$127=6,$U$178,IF($D$127=8,$U$179,IF($D$127=10,$U$177*2,IF($D$127=12,$U$177,IF($D$127=14,$U$179*2,IF($D$127=18,$U$177,IF($D$127=20,$U$178,IF($D$127=22,"")))))))))</f>
        <v>40.883000000000003</v>
      </c>
      <c r="I195" s="258">
        <f>IF($D$127=5,$V$177,IF($D$127=6,$V$178,IF($D$127=8,$V$179,IF($D$127=10,$V$177,IF($D$127=12,$V$177,IF($D$127=14,$V$179,IF($D$127=18,$V$177,IF($D$127=20,$V$178,IF($D$127=22,"")))))))))</f>
        <v>100</v>
      </c>
      <c r="J195" s="260">
        <f t="shared" si="37"/>
        <v>1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s="1" customFormat="1" ht="18" customHeight="1">
      <c r="A196" s="201">
        <f t="shared" si="35"/>
        <v>22</v>
      </c>
      <c r="B196" s="241" t="str">
        <f>IF($D$127=5,$O$175,IF($D$127=6,$O$175,IF($D$127=8,$O$177,IF($D$127=10,"",IF($D$127=12,$O$176,IF($D$127=14,"",IF($D$127=18,$O$175,IF($D$127=20,$O$176,IF($D$127=22,"",)))))))))</f>
        <v>5,6,18 mm ยางรองกระจก</v>
      </c>
      <c r="C196" s="241" t="str">
        <f>IF($D$127=5,$P$175,IF($D$127=6,$P$175,IF($D$127=8,$P$177,IF($D$127=10,"",IF($D$127=12,$P$176,IF($D$127=14,"",IF($D$127=18,$P$175,IF($D$127=20,$P$176,IF($D$127=22,"",)))))))))</f>
        <v>5,6,18 mm CAPTIVE WEDGE</v>
      </c>
      <c r="D196" s="241" t="str">
        <f>IF($D$127=5,$Q$175,IF($D$127=6,$Q$175,IF($D$127=8,$Q$177,IF($D$127=10,"",IF($D$127=12,$Q$176,IF($D$127=14,"",IF($D$127=18,$Q$175,IF($D$127=20,$Q$176,IF($D$127=22,"",)))))))))</f>
        <v>02-022</v>
      </c>
      <c r="E196" s="241">
        <f>IF($D$129=5,R179,IF($D$129=6,R179,IF($D$129=8,R181,IF($D$129=10,"",IF($D$129=12,R180,IF($D$129=14,"",IF($D$129=18,R179,IF($D$129=20,R180,IF($D$129=22,"",)))))))))</f>
        <v>0</v>
      </c>
      <c r="F196" s="242" t="str">
        <f>IF($D$127=5,$S$175,IF($D$127=6,$S$175,IF($D$127=8,$S$177,IF($D$127=10,"",IF($D$127=12,$S$176,IF($D$127=14,"",IF($D$127=18,$S$175,IF($D$127=20,$S$176,IF($D$127=22,"",)))))))))</f>
        <v>02-022</v>
      </c>
      <c r="G196" s="242" t="str">
        <f>IF($D$127=5,$T$175,IF($D$127=6,$T$175,IF($D$127=8,$T$177,IF($D$127=10,"",IF($D$127=12,$T$176,IF($D$127=14,"",IF($D$127=18,$T$175,IF($D$127=20,$T$176,IF($D$127=22,"",)))))))))</f>
        <v>M</v>
      </c>
      <c r="H196" s="261">
        <f>IF($D$127=5,$U$175,IF($D$127=6,$U$175,IF($D$127=8,$U$177,IF($D$127=10,"",IF($D$127=12,$U$176,IF($D$127=14,"",IF($D$127=18,$U$175,IF($D$127=20,$U$176,IF($D$127=22,"")))))))))</f>
        <v>40.883000000000003</v>
      </c>
      <c r="I196" s="258">
        <f>IF($D$127=5,$V$175,IF($D$127=6,$V$175,IF($D$127=8,$V$177,IF($D$127=10,"",IF($D$127=12,$V$176,IF($D$127=14,"",IF($D$127=18,$V$175,IF($D$127=20,$V$176,IF($D$127=22,"",)))))))))</f>
        <v>100</v>
      </c>
      <c r="J196" s="260">
        <f t="shared" si="37"/>
        <v>1</v>
      </c>
    </row>
    <row r="197" spans="1:24" s="1" customFormat="1" ht="18" customHeight="1">
      <c r="A197" s="201" t="str">
        <f t="shared" si="35"/>
        <v/>
      </c>
      <c r="B197" s="140"/>
      <c r="C197" s="140"/>
      <c r="D197" s="139"/>
      <c r="E197" s="143"/>
      <c r="F197" s="143"/>
      <c r="G197" s="143"/>
      <c r="H197" s="143"/>
      <c r="I197" s="130"/>
      <c r="J197" s="131"/>
    </row>
    <row r="198" spans="1:24" s="1" customFormat="1" ht="18" customHeight="1">
      <c r="A198" s="201" t="str">
        <f t="shared" si="35"/>
        <v/>
      </c>
      <c r="B198" s="140"/>
      <c r="C198" s="140"/>
      <c r="D198" s="139"/>
      <c r="E198" s="143"/>
      <c r="F198" s="143"/>
      <c r="G198" s="143"/>
      <c r="H198" s="143"/>
      <c r="I198" s="130"/>
      <c r="J198" s="131">
        <f t="shared" si="34"/>
        <v>0</v>
      </c>
    </row>
    <row r="199" spans="1:24" s="1" customFormat="1" ht="18" customHeight="1">
      <c r="A199" s="201" t="str">
        <f t="shared" si="35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 t="shared" si="34"/>
        <v>0</v>
      </c>
    </row>
    <row r="200" spans="1:24" s="1" customFormat="1" ht="18" customHeight="1">
      <c r="A200" s="201" t="str">
        <f t="shared" si="35"/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ref="J200:J205" si="40">$J$120*H200</f>
        <v>0</v>
      </c>
    </row>
    <row r="201" spans="1:24" s="1" customFormat="1" ht="18" customHeight="1">
      <c r="A201" s="201" t="str">
        <f t="shared" si="35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si="40"/>
        <v>0</v>
      </c>
    </row>
    <row r="202" spans="1:24" s="1" customFormat="1" ht="18" customHeight="1">
      <c r="A202" s="201" t="str">
        <f t="shared" si="35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si="40"/>
        <v>0</v>
      </c>
    </row>
    <row r="203" spans="1:24" s="1" customFormat="1" ht="18" customHeight="1">
      <c r="A203" s="201" t="str">
        <f t="shared" si="35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ref="J203" si="41">$J$120*H203</f>
        <v>0</v>
      </c>
    </row>
    <row r="204" spans="1:24" s="1" customFormat="1" ht="18" customHeight="1">
      <c r="A204" s="201" t="str">
        <f t="shared" si="35"/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 t="shared" si="40"/>
        <v>0</v>
      </c>
    </row>
    <row r="205" spans="1:24" s="1" customFormat="1" ht="18" customHeight="1">
      <c r="A205" s="317" t="str">
        <f t="shared" ref="A205" si="42">IF(B205="","",+A204+1)</f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 t="shared" si="40"/>
        <v>0</v>
      </c>
    </row>
    <row r="206" spans="1:24" s="1" customFormat="1" ht="18" customHeight="1">
      <c r="A206" s="25"/>
      <c r="B206" s="161"/>
      <c r="C206" s="33"/>
      <c r="D206" s="30"/>
      <c r="E206" s="17"/>
      <c r="F206" s="30"/>
      <c r="G206" s="30"/>
      <c r="H206" s="161"/>
      <c r="I206" s="24"/>
      <c r="J206" s="24"/>
    </row>
    <row r="207" spans="1:24" ht="18" customHeight="1">
      <c r="A207" s="17"/>
      <c r="J207" s="99" t="str">
        <f>LEFT($J$111,13)&amp;"-02"</f>
        <v>FG-240-7P2L5R-02</v>
      </c>
    </row>
    <row r="208" spans="1:24" ht="12.75" customHeight="1">
      <c r="B208" s="56"/>
      <c r="C208" s="56"/>
      <c r="D208" s="30"/>
      <c r="E208" s="17"/>
      <c r="F208" s="17"/>
      <c r="G208" s="17"/>
      <c r="H208" s="17"/>
      <c r="K208" s="7"/>
      <c r="L208" s="7"/>
      <c r="M208" s="2"/>
      <c r="N208" s="2"/>
    </row>
    <row r="209" spans="1:14" ht="30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231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231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/>
      <c r="C215"/>
      <c r="D215" s="81"/>
      <c r="E215"/>
      <c r="F215"/>
      <c r="G215"/>
      <c r="H215"/>
      <c r="I215" s="160"/>
      <c r="J215" s="116"/>
    </row>
    <row r="216" spans="1:14" s="1" customFormat="1" ht="15" customHeight="1">
      <c r="A216" s="17"/>
      <c r="B216" s="93"/>
      <c r="C216" s="56"/>
      <c r="D216" s="30"/>
      <c r="E216" s="29"/>
      <c r="F216" s="160"/>
      <c r="G216" s="160"/>
      <c r="H216" s="16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s="1" customFormat="1" ht="15.6">
      <c r="A218" s="109"/>
      <c r="B218" s="33"/>
      <c r="C218" s="327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378</v>
      </c>
      <c r="D220" s="30"/>
      <c r="E220" s="29"/>
      <c r="F220" s="30"/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89"/>
      <c r="J221" s="12"/>
    </row>
    <row r="222" spans="1:14" s="1" customFormat="1" ht="15" customHeight="1">
      <c r="A222" s="109"/>
      <c r="B222" s="33"/>
      <c r="C222" s="327" t="s">
        <v>273</v>
      </c>
      <c r="D222" s="161"/>
      <c r="E222" s="109"/>
      <c r="F222" s="161"/>
      <c r="J222" s="12"/>
    </row>
    <row r="223" spans="1:14" s="1" customFormat="1" ht="15" customHeight="1">
      <c r="A223" s="109"/>
      <c r="B223" s="33"/>
      <c r="C223" s="374">
        <f>$I$133</f>
        <v>4390</v>
      </c>
      <c r="D223" s="161"/>
      <c r="E223" s="35"/>
      <c r="F223" s="161"/>
      <c r="G223" s="68"/>
      <c r="J223" s="12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326"/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326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327"/>
      <c r="D229" s="161"/>
      <c r="E229" s="109"/>
      <c r="F229" s="161"/>
      <c r="H229" s="109"/>
      <c r="I229" s="229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229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229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229"/>
      <c r="J232" s="117"/>
    </row>
    <row r="233" spans="1:10" s="1" customFormat="1" ht="15.9" customHeight="1">
      <c r="A233" s="44"/>
      <c r="B233" s="44"/>
      <c r="C233" s="89" t="s">
        <v>369</v>
      </c>
      <c r="D233" s="84"/>
      <c r="E233" s="44"/>
      <c r="F233" s="44"/>
      <c r="G233" s="109"/>
      <c r="H233" s="109"/>
      <c r="I233" s="229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4364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229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29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109"/>
      <c r="J242" s="24"/>
    </row>
    <row r="243" spans="1:10" s="1" customFormat="1" ht="15.9" customHeight="1">
      <c r="A243" s="109"/>
      <c r="B243" s="33"/>
      <c r="C243" s="89" t="s">
        <v>370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.9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" customHeight="1">
      <c r="A245" s="109"/>
      <c r="B245" s="33"/>
      <c r="C245" s="327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4390</v>
      </c>
      <c r="D246" s="161"/>
      <c r="E246" s="109"/>
      <c r="F246" s="161"/>
      <c r="G246" s="109"/>
      <c r="H246" s="109"/>
      <c r="I246" s="44"/>
      <c r="J246" s="119"/>
    </row>
    <row r="247" spans="1:10" s="1" customFormat="1" ht="15.9" customHeight="1">
      <c r="A247" s="109"/>
      <c r="B247" s="33"/>
      <c r="C247" s="363">
        <f>$J$135</f>
        <v>1</v>
      </c>
      <c r="D247" s="161"/>
      <c r="E247" s="109"/>
      <c r="F247" s="161"/>
      <c r="G247" s="109"/>
      <c r="H247" s="109"/>
      <c r="I247" s="32"/>
      <c r="J247" s="40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0"/>
      <c r="H251" s="109"/>
      <c r="I251" s="24"/>
      <c r="J251" s="24"/>
    </row>
    <row r="252" spans="1:10" s="1" customFormat="1" ht="15.9" customHeight="1">
      <c r="A252" s="109"/>
      <c r="B252" s="33"/>
      <c r="D252" s="161"/>
      <c r="E252" s="109"/>
      <c r="F252" s="109"/>
      <c r="G252" s="109"/>
      <c r="H252" s="109"/>
      <c r="I252" s="24"/>
      <c r="J252" s="24"/>
    </row>
    <row r="253" spans="1:10" s="1" customFormat="1" ht="15.9" customHeight="1">
      <c r="A253" s="44"/>
      <c r="B253" s="44"/>
      <c r="D253" s="84"/>
      <c r="E253" s="44"/>
      <c r="F253" s="44"/>
      <c r="G253" s="109"/>
      <c r="H253" s="109"/>
      <c r="I253" s="24"/>
      <c r="J253" s="24"/>
    </row>
    <row r="254" spans="1:10" s="1" customFormat="1" ht="15.9" customHeight="1">
      <c r="A254" s="40"/>
      <c r="B254" s="40"/>
      <c r="C254" s="89" t="s">
        <v>371</v>
      </c>
      <c r="D254" s="85"/>
      <c r="E254" s="40"/>
      <c r="F254" s="32"/>
      <c r="G254" s="109"/>
      <c r="I254" s="24"/>
      <c r="J254" s="24"/>
    </row>
    <row r="255" spans="1:10" s="1" customFormat="1" ht="15.9" customHeight="1">
      <c r="A255" s="27"/>
      <c r="B255" s="33"/>
      <c r="C255" s="328" t="s">
        <v>275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27" t="s">
        <v>273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74">
        <f>$I$136</f>
        <v>4390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63">
        <f>$J$136</f>
        <v>1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46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161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89" t="s">
        <v>380</v>
      </c>
      <c r="D264" s="161"/>
      <c r="E264" s="109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8" t="s">
        <v>379</v>
      </c>
      <c r="D265" s="328"/>
      <c r="E265" s="328"/>
      <c r="F265" s="109"/>
      <c r="G265" s="109"/>
      <c r="H265" s="109"/>
      <c r="I265" s="24"/>
      <c r="J265" s="24"/>
    </row>
    <row r="266" spans="1:10" s="1" customFormat="1" ht="15.9" customHeight="1">
      <c r="A266" s="27"/>
      <c r="B266" s="33"/>
      <c r="C266" s="327" t="s">
        <v>279</v>
      </c>
      <c r="D266" s="327"/>
      <c r="E266" s="327"/>
      <c r="F266" s="109"/>
      <c r="G266" s="109"/>
      <c r="H266" s="109"/>
      <c r="J266" s="12"/>
    </row>
    <row r="267" spans="1:10" s="1" customFormat="1" ht="15.9" customHeight="1">
      <c r="A267" s="27"/>
      <c r="B267" s="33"/>
      <c r="C267" s="374">
        <f>$I$137</f>
        <v>2500</v>
      </c>
      <c r="D267" s="161"/>
      <c r="E267" s="109"/>
      <c r="F267" s="109"/>
      <c r="G267" s="33"/>
      <c r="H267" s="33"/>
      <c r="J267" s="12"/>
    </row>
    <row r="268" spans="1:10" s="1" customFormat="1" ht="15.9" customHeight="1">
      <c r="A268" s="27"/>
      <c r="B268" s="33"/>
      <c r="C268" s="363">
        <f>$J$137+$J$138</f>
        <v>2</v>
      </c>
      <c r="D268" s="161"/>
      <c r="E268" s="10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D271" s="328"/>
      <c r="E271" s="328"/>
      <c r="F271" s="109"/>
      <c r="G271" s="109"/>
      <c r="H271" s="109"/>
      <c r="J271" s="12"/>
    </row>
    <row r="272" spans="1:10" s="1" customFormat="1" ht="15.9" customHeight="1">
      <c r="A272" s="27"/>
      <c r="B272" s="33"/>
      <c r="D272" s="328"/>
      <c r="E272" s="328"/>
      <c r="F272" s="109"/>
      <c r="G272" s="109"/>
      <c r="I272" s="24"/>
      <c r="J272" s="24"/>
    </row>
    <row r="273" spans="1:10" s="1" customFormat="1" ht="15.9" customHeight="1">
      <c r="A273" s="27"/>
      <c r="B273" s="33"/>
      <c r="C273" s="33"/>
      <c r="D273" s="161"/>
      <c r="E273" s="109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89" t="s">
        <v>383</v>
      </c>
      <c r="D274" s="162"/>
      <c r="E274" s="24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328" t="s">
        <v>649</v>
      </c>
      <c r="D275" s="328"/>
      <c r="E275" s="328"/>
      <c r="F275" s="109"/>
      <c r="G275" s="109"/>
      <c r="I275" s="109"/>
      <c r="J275" s="24"/>
    </row>
    <row r="276" spans="1:10" s="1" customFormat="1" ht="15.9" customHeight="1">
      <c r="A276" s="27"/>
      <c r="B276" s="33"/>
      <c r="C276" s="433" t="s">
        <v>650</v>
      </c>
      <c r="D276" s="327"/>
      <c r="E276" s="327"/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374">
        <f>$I$139</f>
        <v>2404</v>
      </c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363">
        <f>$J$139+$J$140</f>
        <v>2</v>
      </c>
      <c r="F278" s="109"/>
      <c r="G278" s="109"/>
      <c r="I278" s="109"/>
      <c r="J278" s="24"/>
    </row>
    <row r="279" spans="1:10" s="1" customFormat="1" ht="15.9" customHeight="1">
      <c r="A279" s="27"/>
      <c r="B279" s="33"/>
      <c r="F279" s="109"/>
      <c r="G279" s="109"/>
      <c r="H279" s="109"/>
      <c r="J279" s="12"/>
    </row>
    <row r="280" spans="1:10" s="1" customFormat="1" ht="15.9" customHeight="1">
      <c r="A280" s="27"/>
      <c r="B280" s="33"/>
      <c r="C280" s="33"/>
      <c r="D280" s="161"/>
      <c r="E280" s="109"/>
      <c r="F280" s="109"/>
      <c r="G280" s="109"/>
      <c r="H280" s="109"/>
      <c r="J280" s="12"/>
    </row>
    <row r="281" spans="1:10" s="1" customFormat="1" ht="15.9" customHeight="1">
      <c r="A281" s="27"/>
      <c r="B281" s="33"/>
      <c r="F281" s="109"/>
      <c r="G281" s="109"/>
      <c r="H281" s="109"/>
      <c r="J281" s="12"/>
    </row>
    <row r="282" spans="1:10" s="1" customFormat="1" ht="15.9" customHeight="1">
      <c r="A282" s="27"/>
      <c r="B282" s="33"/>
      <c r="F282" s="109"/>
      <c r="G282" s="109"/>
      <c r="H282" s="109"/>
      <c r="I282" s="162"/>
      <c r="J282" s="24"/>
    </row>
    <row r="283" spans="1:10" s="1" customFormat="1" ht="15.9" customHeight="1">
      <c r="A283" s="27"/>
      <c r="B283" s="33"/>
      <c r="C283" s="89" t="s">
        <v>375</v>
      </c>
      <c r="F283" s="109"/>
      <c r="G283" s="109"/>
      <c r="H283" s="109"/>
      <c r="I283" s="109"/>
      <c r="J283" s="24"/>
    </row>
    <row r="284" spans="1:10" s="1" customFormat="1" ht="15.9" customHeight="1">
      <c r="A284" s="27"/>
      <c r="B284" s="33"/>
      <c r="C284" s="94" t="s">
        <v>444</v>
      </c>
      <c r="D284" s="161"/>
      <c r="E284" s="109"/>
      <c r="F284" s="109"/>
      <c r="G284" s="109"/>
      <c r="H284" s="109"/>
      <c r="I284" s="24"/>
      <c r="J284" s="24"/>
    </row>
    <row r="285" spans="1:10" s="1" customFormat="1" ht="15.9" customHeight="1">
      <c r="A285" s="27"/>
      <c r="B285" s="33"/>
      <c r="C285" s="327" t="s">
        <v>445</v>
      </c>
      <c r="D285" s="161"/>
      <c r="E285" s="109"/>
      <c r="F285" s="109"/>
      <c r="G285" s="109"/>
      <c r="H285" s="109"/>
      <c r="I285" s="24"/>
      <c r="J285" s="24"/>
    </row>
    <row r="286" spans="1:10" s="1" customFormat="1" ht="15.9" customHeight="1">
      <c r="A286" s="27"/>
      <c r="B286" s="33"/>
      <c r="C286" s="328" t="s">
        <v>281</v>
      </c>
      <c r="D286" s="328"/>
      <c r="E286" s="328"/>
      <c r="F286" s="109"/>
      <c r="G286" s="109"/>
      <c r="I286" s="24"/>
      <c r="J286" s="24"/>
    </row>
    <row r="287" spans="1:10" s="23" customFormat="1" ht="15.9" customHeight="1">
      <c r="A287" s="27"/>
      <c r="B287" s="33"/>
      <c r="C287" s="327" t="s">
        <v>282</v>
      </c>
      <c r="D287" s="327"/>
      <c r="E287" s="327"/>
      <c r="F287" s="109"/>
      <c r="G287" s="109"/>
      <c r="H287" s="1"/>
      <c r="I287" s="109"/>
      <c r="J287" s="109"/>
    </row>
    <row r="288" spans="1:10" s="1" customFormat="1" ht="15.9" customHeight="1">
      <c r="A288" s="27"/>
      <c r="B288" s="33"/>
      <c r="C288" s="374">
        <f>$I$141</f>
        <v>512.21428571428567</v>
      </c>
      <c r="F288" s="109"/>
      <c r="G288" s="109"/>
      <c r="I288" s="44"/>
      <c r="J288" s="119"/>
    </row>
    <row r="289" spans="1:10" s="1" customFormat="1" ht="15.9" customHeight="1">
      <c r="A289" s="27"/>
      <c r="B289" s="33"/>
      <c r="C289" s="363">
        <f>$J$141+$J$142</f>
        <v>14</v>
      </c>
      <c r="D289" s="161"/>
      <c r="E289" s="109"/>
      <c r="F289" s="109"/>
      <c r="G289" s="109"/>
      <c r="H289" s="161"/>
      <c r="I289" s="32"/>
      <c r="J289" s="40"/>
    </row>
    <row r="290" spans="1:10" s="1" customFormat="1" ht="15.9" customHeight="1">
      <c r="A290" s="27"/>
      <c r="B290" s="33"/>
      <c r="C290" s="374">
        <f>$I$143</f>
        <v>2408</v>
      </c>
      <c r="D290" s="161"/>
      <c r="E290" s="109"/>
      <c r="F290" s="109"/>
      <c r="G290" s="109"/>
      <c r="H290" s="109"/>
      <c r="I290" s="24"/>
      <c r="J290" s="24"/>
    </row>
    <row r="291" spans="1:10" s="1" customFormat="1" ht="15.9" customHeight="1">
      <c r="A291" s="27"/>
      <c r="B291" s="33"/>
      <c r="C291" s="363">
        <f>$J$143+$J$144+$J$145+$J$146</f>
        <v>14</v>
      </c>
      <c r="D291" s="161"/>
      <c r="E291" s="109"/>
      <c r="F291" s="109"/>
      <c r="G291" s="109"/>
      <c r="H291" s="109"/>
      <c r="I291" s="24"/>
      <c r="J291" s="24"/>
    </row>
    <row r="292" spans="1:10" s="1" customFormat="1" ht="15.9" customHeight="1">
      <c r="A292" s="27"/>
      <c r="B292" s="33"/>
      <c r="D292" s="161"/>
      <c r="E292" s="109"/>
      <c r="F292" s="109"/>
      <c r="G292" s="109"/>
      <c r="H292" s="109"/>
      <c r="I292" s="24"/>
      <c r="J292" s="24"/>
    </row>
    <row r="293" spans="1:10" s="1" customFormat="1" ht="15.9" customHeight="1">
      <c r="A293" s="27"/>
      <c r="B293" s="33"/>
      <c r="C293" s="33"/>
      <c r="D293" s="161"/>
      <c r="E293" s="109"/>
      <c r="F293" s="109"/>
      <c r="G293" s="109"/>
      <c r="H293" s="109"/>
      <c r="I293" s="109"/>
      <c r="J293" s="24"/>
    </row>
    <row r="294" spans="1:10" s="1" customFormat="1" ht="15.9" customHeight="1">
      <c r="A294" s="27"/>
      <c r="B294" s="33"/>
      <c r="C294" s="23"/>
      <c r="D294" s="161"/>
      <c r="E294" s="109"/>
      <c r="F294" s="109"/>
      <c r="G294" s="109"/>
      <c r="H294" s="109"/>
      <c r="I294" s="109"/>
      <c r="J294" s="24"/>
    </row>
    <row r="295" spans="1:10" s="1" customFormat="1" ht="15.9" customHeight="1">
      <c r="A295" s="27"/>
      <c r="B295" s="33"/>
      <c r="C295" s="89" t="s">
        <v>376</v>
      </c>
      <c r="D295" s="161"/>
      <c r="E295" s="109"/>
      <c r="F295" s="109"/>
      <c r="G295" s="109"/>
      <c r="H295" s="109"/>
      <c r="I295" s="109"/>
      <c r="J295" s="24"/>
    </row>
    <row r="296" spans="1:10" s="1" customFormat="1" ht="15.9" customHeight="1">
      <c r="A296" s="27"/>
      <c r="B296" s="33"/>
      <c r="C296" s="94" t="s">
        <v>444</v>
      </c>
      <c r="D296" s="161"/>
      <c r="E296" s="109"/>
      <c r="F296" s="109"/>
      <c r="G296" s="44"/>
      <c r="H296" s="44"/>
      <c r="I296" s="109"/>
      <c r="J296" s="24"/>
    </row>
    <row r="297" spans="1:10" s="1" customFormat="1" ht="15.9" customHeight="1">
      <c r="A297" s="27"/>
      <c r="B297" s="33"/>
      <c r="C297" s="327" t="s">
        <v>446</v>
      </c>
      <c r="D297" s="328"/>
      <c r="E297" s="328"/>
      <c r="F297" s="109"/>
      <c r="G297" s="40"/>
      <c r="H297" s="32"/>
      <c r="I297" s="109"/>
      <c r="J297" s="24"/>
    </row>
    <row r="298" spans="1:10" s="1" customFormat="1" ht="15.9" customHeight="1">
      <c r="A298" s="41"/>
      <c r="B298" s="33"/>
      <c r="C298" s="328" t="s">
        <v>286</v>
      </c>
      <c r="D298" s="327"/>
      <c r="E298" s="327"/>
      <c r="F298" s="109"/>
      <c r="G298" s="109"/>
      <c r="H298" s="109"/>
      <c r="I298" s="109"/>
      <c r="J298" s="24"/>
    </row>
    <row r="299" spans="1:10" s="1" customFormat="1" ht="15.9" customHeight="1">
      <c r="A299" s="44"/>
      <c r="B299" s="44"/>
      <c r="C299" s="327" t="s">
        <v>285</v>
      </c>
      <c r="D299" s="86"/>
      <c r="E299" s="79"/>
      <c r="F299" s="44"/>
      <c r="G299" s="109"/>
      <c r="H299" s="109"/>
      <c r="I299" s="109"/>
      <c r="J299" s="24"/>
    </row>
    <row r="300" spans="1:10" s="1" customFormat="1" ht="15.9" customHeight="1">
      <c r="A300" s="40"/>
      <c r="B300" s="40"/>
      <c r="C300" s="374">
        <f>$I$147</f>
        <v>512.21428571428567</v>
      </c>
      <c r="D300" s="87"/>
      <c r="E300" s="80"/>
      <c r="F300" s="32"/>
      <c r="G300" s="109"/>
      <c r="H300" s="109"/>
      <c r="I300" s="109"/>
      <c r="J300" s="24"/>
    </row>
    <row r="301" spans="1:10" s="1" customFormat="1" ht="15.9" customHeight="1">
      <c r="A301" s="109"/>
      <c r="B301" s="33"/>
      <c r="C301" s="363">
        <f>$J$147</f>
        <v>14</v>
      </c>
      <c r="D301" s="15"/>
      <c r="F301" s="109"/>
      <c r="G301" s="109"/>
      <c r="H301" s="109"/>
      <c r="I301" s="109"/>
      <c r="J301" s="24"/>
    </row>
    <row r="302" spans="1:10" s="1" customFormat="1" ht="15.9" customHeight="1">
      <c r="A302" s="109"/>
      <c r="B302" s="33"/>
      <c r="C302" s="374">
        <f>$I$148</f>
        <v>2258</v>
      </c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C303" s="363">
        <f>$J$148</f>
        <v>14</v>
      </c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C306" s="89" t="s">
        <v>377</v>
      </c>
      <c r="D306" s="161"/>
      <c r="E306" s="109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328" t="s">
        <v>281</v>
      </c>
      <c r="D307" s="328"/>
      <c r="E307" s="328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542" t="s">
        <v>282</v>
      </c>
      <c r="D308" s="542"/>
      <c r="E308" s="542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74">
        <f>$I$149</f>
        <v>2408</v>
      </c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63">
        <f>$J$149+$J$150</f>
        <v>2</v>
      </c>
      <c r="D310" s="328"/>
      <c r="E310" s="328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D311" s="15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33"/>
      <c r="D314" s="162"/>
      <c r="E314" s="24"/>
      <c r="F314" s="109"/>
      <c r="G314" s="109"/>
      <c r="H314" s="109"/>
      <c r="I314" s="27"/>
      <c r="J314" s="99" t="str">
        <f>LEFT($J$111,13)&amp;"-03"</f>
        <v>FG-240-7P2L5R-03</v>
      </c>
    </row>
    <row r="315" spans="1:14" ht="12.75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30" customHeight="1">
      <c r="A316" s="17"/>
      <c r="B316" s="26"/>
      <c r="C316" s="26"/>
      <c r="D316" s="83"/>
      <c r="E316" s="25"/>
      <c r="F316" s="25"/>
      <c r="G316" s="25"/>
      <c r="H316" s="25"/>
      <c r="I316" s="179"/>
      <c r="J316" s="90" t="str">
        <f>$J$2</f>
        <v>HOMELIFE</v>
      </c>
    </row>
    <row r="317" spans="1:14" ht="24.9" customHeight="1">
      <c r="B317" s="231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231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s="1" customFormat="1" ht="15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  <c r="K320" s="4"/>
      <c r="L320" s="4"/>
      <c r="M320" s="4"/>
      <c r="N320" s="4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228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228"/>
      <c r="I331" s="161"/>
      <c r="J331" s="109"/>
    </row>
    <row r="332" spans="1:10" s="1" customFormat="1" ht="15" customHeight="1">
      <c r="A332" s="64" t="str">
        <f>A18</f>
        <v>240-7 Panel (2L5R)</v>
      </c>
      <c r="B332" s="92"/>
      <c r="C332" s="161"/>
      <c r="D332" s="161"/>
      <c r="E332" s="109"/>
      <c r="F332" s="228"/>
      <c r="G332" s="228"/>
      <c r="H332" s="228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92"/>
      <c r="C333" s="161"/>
      <c r="D333" s="161"/>
      <c r="E333" s="109"/>
      <c r="F333" s="228"/>
      <c r="G333" s="228"/>
      <c r="H333" s="228"/>
      <c r="I333" s="109"/>
      <c r="J333" s="109"/>
    </row>
    <row r="334" spans="1:10" s="1" customFormat="1" ht="15.9" customHeight="1">
      <c r="A334" s="109"/>
      <c r="B334" s="45"/>
      <c r="C334" s="42"/>
      <c r="D334" s="161"/>
      <c r="E334" s="109"/>
      <c r="F334" s="507"/>
      <c r="G334" s="507"/>
      <c r="H334" s="228"/>
      <c r="I334" s="109"/>
      <c r="J334" s="109"/>
    </row>
    <row r="335" spans="1:10" s="1" customFormat="1" ht="15.9" customHeight="1">
      <c r="A335" s="39"/>
      <c r="B335" s="109"/>
      <c r="C335" s="161"/>
      <c r="D335" s="161"/>
      <c r="E335" s="109"/>
      <c r="F335" s="37"/>
      <c r="G335" s="38"/>
      <c r="H335" s="109"/>
      <c r="I335" s="109"/>
      <c r="J335" s="109"/>
    </row>
    <row r="336" spans="1:10" s="1" customFormat="1" ht="15.9" customHeight="1">
      <c r="A336" s="44"/>
      <c r="C336" s="43"/>
      <c r="D336" s="161"/>
      <c r="E336" s="109"/>
      <c r="F336" s="109"/>
      <c r="G336" s="109"/>
      <c r="H336" s="109"/>
      <c r="I336" s="44"/>
      <c r="J336" s="119"/>
    </row>
    <row r="337" spans="1:10" s="1" customFormat="1" ht="15.9" customHeight="1">
      <c r="A337" s="40"/>
      <c r="C337" s="44"/>
      <c r="D337" s="84"/>
      <c r="E337" s="44"/>
      <c r="F337" s="44"/>
      <c r="G337" s="44"/>
      <c r="H337" s="44"/>
      <c r="I337" s="32"/>
      <c r="J337" s="40"/>
    </row>
    <row r="338" spans="1:10" s="1" customFormat="1" ht="15.9" customHeight="1">
      <c r="A338" s="109"/>
      <c r="C338" s="161"/>
      <c r="D338" s="85"/>
      <c r="E338" s="40"/>
      <c r="F338" s="32"/>
      <c r="G338" s="40"/>
      <c r="H338" s="32"/>
      <c r="I338" s="24"/>
      <c r="J338" s="24"/>
    </row>
    <row r="339" spans="1:10" s="1" customFormat="1" ht="15.9" customHeight="1">
      <c r="A339" s="109"/>
      <c r="C339" s="163"/>
      <c r="D339" s="161"/>
      <c r="E339" s="109"/>
      <c r="F339" s="161"/>
      <c r="G339" s="109"/>
      <c r="H339" s="109"/>
      <c r="I339" s="24"/>
      <c r="J339" s="24"/>
    </row>
    <row r="340" spans="1:10" s="1" customFormat="1" ht="15.9" customHeight="1">
      <c r="A340" s="109"/>
      <c r="B340" s="33"/>
      <c r="C340" s="161"/>
      <c r="D340" s="161"/>
      <c r="E340" s="109"/>
      <c r="F340" s="161"/>
      <c r="G340" s="109"/>
      <c r="H340" s="109"/>
      <c r="I340" s="162"/>
      <c r="J340" s="162"/>
    </row>
    <row r="341" spans="1:10" s="1" customFormat="1" ht="15.9" customHeight="1">
      <c r="A341" s="109"/>
      <c r="B341" s="33"/>
      <c r="C341" s="44"/>
      <c r="D341" s="161"/>
      <c r="E341" s="109"/>
      <c r="F341" s="161"/>
      <c r="G341" s="109"/>
      <c r="H341" s="162"/>
      <c r="I341" s="161"/>
      <c r="J341" s="161"/>
    </row>
    <row r="342" spans="1:10" s="1" customFormat="1" ht="15.9" customHeight="1">
      <c r="A342" s="109"/>
      <c r="B342" s="33"/>
      <c r="C342" s="42"/>
      <c r="D342" s="161"/>
      <c r="E342" s="109"/>
      <c r="F342" s="161"/>
      <c r="G342" s="109"/>
      <c r="H342" s="161"/>
      <c r="I342" s="161"/>
      <c r="J342" s="161"/>
    </row>
    <row r="343" spans="1:10" s="1" customFormat="1" ht="15.9" customHeight="1">
      <c r="A343" s="109"/>
      <c r="B343" s="33"/>
      <c r="C343" s="163"/>
      <c r="D343" s="161"/>
      <c r="E343" s="109"/>
      <c r="F343" s="161"/>
      <c r="G343" s="109"/>
      <c r="H343" s="161"/>
      <c r="I343" s="109"/>
      <c r="J343" s="24"/>
    </row>
    <row r="344" spans="1:10" s="1" customFormat="1" ht="15.9" customHeight="1">
      <c r="A344" s="109"/>
      <c r="B344" s="33"/>
      <c r="C344" s="161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44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3"/>
      <c r="D350" s="161"/>
      <c r="E350" s="109"/>
      <c r="F350" s="161"/>
      <c r="G350" s="109"/>
      <c r="H350" s="109"/>
      <c r="I350" s="109"/>
      <c r="J350" s="24"/>
    </row>
    <row r="351" spans="1:10" s="1" customFormat="1" ht="15.9" customHeight="1">
      <c r="A351" s="109"/>
      <c r="B351" s="33"/>
      <c r="C351" s="161"/>
      <c r="D351" s="161"/>
      <c r="E351" s="109"/>
      <c r="F351" s="161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1" customFormat="1" ht="15" customHeight="1">
      <c r="A353" s="109"/>
      <c r="B353" s="33"/>
      <c r="C353" s="33"/>
      <c r="D353" s="161"/>
      <c r="E353" s="109"/>
      <c r="F353" s="109"/>
      <c r="G353" s="109"/>
      <c r="H353" s="107"/>
      <c r="I353" s="24"/>
      <c r="J353" s="24"/>
    </row>
    <row r="354" spans="1:10" s="23" customFormat="1" ht="15.9" customHeight="1">
      <c r="A354" s="109"/>
      <c r="B354" s="33"/>
      <c r="C354" s="33"/>
      <c r="D354" s="161"/>
      <c r="E354" s="109"/>
      <c r="F354" s="109"/>
      <c r="G354" s="109"/>
      <c r="H354" s="109"/>
      <c r="I354" s="109"/>
      <c r="J354" s="109"/>
    </row>
    <row r="355" spans="1:10" s="1" customFormat="1" ht="15.9" customHeight="1">
      <c r="A355" s="44"/>
      <c r="B355" s="33"/>
      <c r="C355" s="33"/>
      <c r="D355" s="161"/>
      <c r="E355" s="109"/>
      <c r="F355" s="109"/>
      <c r="G355" s="109"/>
      <c r="H355" s="109"/>
      <c r="I355" s="44"/>
      <c r="J355" s="119"/>
    </row>
    <row r="356" spans="1:10" s="1" customFormat="1" ht="15.9" customHeight="1">
      <c r="A356" s="40"/>
      <c r="B356" s="44"/>
      <c r="C356" s="44"/>
      <c r="D356" s="84"/>
      <c r="E356" s="44"/>
      <c r="F356" s="44"/>
      <c r="G356" s="44"/>
      <c r="H356" s="44"/>
      <c r="I356" s="32"/>
      <c r="J356" s="40"/>
    </row>
    <row r="357" spans="1:10" s="1" customFormat="1" ht="15.9" customHeight="1">
      <c r="A357" s="27"/>
      <c r="B357" s="40"/>
      <c r="C357" s="44"/>
      <c r="D357" s="85"/>
      <c r="E357" s="40"/>
      <c r="F357" s="32"/>
      <c r="G357" s="40"/>
      <c r="H357" s="32"/>
      <c r="I357" s="24"/>
      <c r="J357" s="24"/>
    </row>
    <row r="358" spans="1:10" s="1" customFormat="1" ht="15.9" customHeight="1">
      <c r="A358" s="27"/>
      <c r="B358" s="33"/>
      <c r="C358" s="42"/>
      <c r="D358" s="161"/>
      <c r="E358" s="109"/>
      <c r="F358" s="109"/>
      <c r="G358" s="109"/>
      <c r="H358" s="42"/>
      <c r="I358" s="163"/>
      <c r="J358" s="163"/>
    </row>
    <row r="359" spans="1:10" s="1" customFormat="1" ht="15.9" customHeight="1">
      <c r="A359" s="27"/>
      <c r="B359" s="33"/>
      <c r="C359" s="163"/>
      <c r="D359" s="161"/>
      <c r="E359" s="109"/>
      <c r="F359" s="109"/>
      <c r="G359" s="109"/>
      <c r="H359" s="163"/>
      <c r="I359" s="161"/>
      <c r="J359" s="161"/>
    </row>
    <row r="360" spans="1:10" s="1" customFormat="1" ht="15.9" customHeight="1">
      <c r="A360" s="27"/>
      <c r="B360" s="33"/>
      <c r="C360" s="161"/>
      <c r="D360" s="161"/>
      <c r="E360" s="109"/>
      <c r="F360" s="109"/>
      <c r="G360" s="109"/>
      <c r="H360" s="161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46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161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D372" s="161"/>
      <c r="E372" s="109"/>
      <c r="F372" s="109"/>
      <c r="G372" s="33"/>
      <c r="H372" s="33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42"/>
      <c r="I376" s="163"/>
      <c r="J376" s="163"/>
    </row>
    <row r="377" spans="1:10" s="1" customFormat="1" ht="15.9" customHeight="1">
      <c r="A377" s="27"/>
      <c r="B377" s="33"/>
      <c r="C377" s="47"/>
      <c r="D377" s="161"/>
      <c r="E377" s="109"/>
      <c r="F377" s="109"/>
      <c r="G377" s="109"/>
      <c r="H377" s="163"/>
      <c r="I377" s="161"/>
      <c r="J377" s="161"/>
    </row>
    <row r="378" spans="1:10" s="1" customFormat="1" ht="15.9" customHeight="1">
      <c r="A378" s="27"/>
      <c r="B378" s="33"/>
      <c r="C378" s="46"/>
      <c r="D378" s="161"/>
      <c r="E378" s="109"/>
      <c r="F378" s="109"/>
      <c r="G378" s="109"/>
      <c r="H378" s="161"/>
      <c r="I378" s="24"/>
      <c r="J378" s="24"/>
    </row>
    <row r="379" spans="1:10" s="1" customFormat="1" ht="15.9" customHeight="1">
      <c r="A379" s="27"/>
      <c r="B379" s="33"/>
      <c r="C379" s="161"/>
      <c r="D379" s="161"/>
      <c r="E379" s="109"/>
      <c r="F379" s="109"/>
      <c r="G379" s="109"/>
      <c r="H379" s="42"/>
      <c r="I379" s="163"/>
      <c r="J379" s="163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3"/>
      <c r="I380" s="161"/>
      <c r="J380" s="161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1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64"/>
      <c r="J388" s="16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4"/>
      <c r="I389" s="165"/>
      <c r="J389" s="165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5"/>
      <c r="I390" s="161"/>
      <c r="J390" s="161"/>
    </row>
    <row r="391" spans="1:10" s="1" customFormat="1" ht="15.9" customHeight="1">
      <c r="A391" s="27"/>
      <c r="B391" s="33"/>
      <c r="C391" s="47"/>
      <c r="D391" s="161"/>
      <c r="E391" s="109"/>
      <c r="F391" s="109"/>
      <c r="G391" s="109"/>
      <c r="H391" s="161"/>
      <c r="I391" s="24"/>
      <c r="J391" s="24"/>
    </row>
    <row r="392" spans="1:10" s="1" customFormat="1" ht="15.9" customHeight="1">
      <c r="A392" s="27"/>
      <c r="B392" s="33"/>
      <c r="C392" s="46"/>
      <c r="D392" s="161"/>
      <c r="E392" s="109"/>
      <c r="F392" s="109"/>
      <c r="G392" s="109"/>
      <c r="H392" s="109"/>
      <c r="I392" s="109"/>
      <c r="J392" s="24"/>
    </row>
    <row r="393" spans="1:10" s="1" customFormat="1" ht="15.9" customHeight="1">
      <c r="A393" s="27"/>
      <c r="B393" s="33"/>
      <c r="C393" s="161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23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1" customFormat="1" ht="15.9" customHeight="1">
      <c r="A405" s="44"/>
      <c r="B405" s="33"/>
      <c r="C405" s="33"/>
      <c r="D405" s="161"/>
      <c r="E405" s="109"/>
      <c r="F405" s="109"/>
      <c r="G405" s="109"/>
      <c r="H405" s="109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109"/>
      <c r="B419" s="44"/>
      <c r="C419" s="44"/>
      <c r="D419" s="84"/>
      <c r="E419" s="44"/>
      <c r="F419" s="44"/>
      <c r="G419" s="44"/>
      <c r="H419" s="44"/>
      <c r="I419" s="24"/>
      <c r="J419" s="24"/>
      <c r="K419" s="71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LEFT($J$111,13)&amp;"-04"</f>
        <v>FG-240-7P2L5R-04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A423" s="109"/>
      <c r="B423" s="33"/>
      <c r="C423" s="33"/>
      <c r="D423" s="161"/>
      <c r="E423" s="109"/>
      <c r="F423" s="109"/>
      <c r="G423" s="109"/>
      <c r="H423" s="109"/>
      <c r="I423" s="109"/>
      <c r="J423" s="90" t="str">
        <f>$J$2</f>
        <v>HOMELIFE</v>
      </c>
      <c r="K423" s="7"/>
      <c r="L423" s="7"/>
      <c r="M423" s="2"/>
      <c r="N423" s="2"/>
    </row>
    <row r="424" spans="1:14" ht="24.9" customHeight="1">
      <c r="A424" s="109"/>
      <c r="B424" s="33"/>
      <c r="C424" s="33"/>
      <c r="D424" s="161"/>
      <c r="E424" s="109"/>
      <c r="F424" s="109"/>
      <c r="G424" s="109"/>
      <c r="H424" s="109"/>
      <c r="I424" s="109"/>
      <c r="J424" s="91" t="str">
        <f>$J$3</f>
        <v>Fabricators Guide</v>
      </c>
      <c r="K424" s="7"/>
      <c r="L424" s="7"/>
      <c r="M424" s="2"/>
      <c r="N424" s="2"/>
    </row>
    <row r="425" spans="1:14" ht="24.9" customHeight="1">
      <c r="B425" s="231"/>
      <c r="C425" s="28"/>
      <c r="D425" s="28"/>
      <c r="E425" s="28"/>
      <c r="F425" s="28"/>
      <c r="G425" s="28"/>
      <c r="H425" s="28"/>
      <c r="I425" s="28"/>
      <c r="J425" s="91" t="str">
        <f>$J$4</f>
        <v xml:space="preserve">240 Series Bi Fold Door </v>
      </c>
      <c r="K425" s="48"/>
      <c r="L425" s="48"/>
      <c r="M425" s="4"/>
      <c r="N425" s="4"/>
    </row>
    <row r="426" spans="1:14" s="1" customFormat="1" ht="15" customHeight="1" thickBot="1">
      <c r="A426" s="78"/>
      <c r="B426" s="8"/>
      <c r="C426" s="28"/>
      <c r="D426" s="28"/>
      <c r="E426" s="28"/>
      <c r="F426" s="28"/>
      <c r="G426" s="28"/>
      <c r="H426" s="2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  <c r="K427" s="4"/>
      <c r="L427" s="4"/>
      <c r="M427" s="4"/>
      <c r="N427" s="4"/>
    </row>
    <row r="428" spans="1:14" s="1" customFormat="1" ht="15" customHeight="1">
      <c r="A428" s="193"/>
      <c r="B428" s="194"/>
      <c r="C428" s="194"/>
      <c r="D428" s="194"/>
      <c r="E428" s="194"/>
      <c r="F428" s="194"/>
      <c r="G428" s="194"/>
      <c r="H428" s="194"/>
      <c r="I428" s="193"/>
      <c r="K428" s="56"/>
      <c r="L428" s="56"/>
      <c r="M428" s="56"/>
      <c r="N428" s="56"/>
    </row>
    <row r="429" spans="1:14" s="1" customFormat="1" ht="15" customHeight="1">
      <c r="A429" s="45"/>
      <c r="B429" s="193"/>
      <c r="C429" s="193"/>
      <c r="D429" s="193"/>
      <c r="E429" s="193"/>
      <c r="F429" s="193"/>
      <c r="G429" s="193"/>
      <c r="H429" s="193"/>
      <c r="I429" s="44"/>
      <c r="J429" s="119"/>
    </row>
    <row r="430" spans="1:14" s="1" customFormat="1" ht="15" customHeight="1">
      <c r="A430" s="109"/>
      <c r="B430" s="39"/>
      <c r="C430" s="33"/>
      <c r="D430" s="161"/>
      <c r="E430" s="35"/>
      <c r="F430" s="39"/>
      <c r="G430" s="193"/>
      <c r="H430" s="44"/>
      <c r="I430" s="44"/>
      <c r="J430" s="119"/>
    </row>
    <row r="431" spans="1:14" s="1" customFormat="1" ht="15" customHeight="1">
      <c r="A431" s="109"/>
      <c r="B431" s="33"/>
      <c r="C431" s="33"/>
      <c r="D431" s="161"/>
      <c r="E431" s="35"/>
      <c r="F431" s="161"/>
      <c r="G431" s="193"/>
      <c r="H431" s="44"/>
      <c r="I431" s="44"/>
      <c r="J431" s="119"/>
    </row>
    <row r="432" spans="1:14" s="1" customFormat="1" ht="15" customHeight="1">
      <c r="A432" s="109"/>
      <c r="B432" s="56"/>
      <c r="C432" s="56"/>
      <c r="D432" s="30"/>
      <c r="E432" s="29"/>
      <c r="F432" s="30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109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3"/>
      <c r="H434" s="44"/>
      <c r="I434" s="44"/>
      <c r="J434" s="119"/>
    </row>
    <row r="435" spans="1:10" s="1" customFormat="1" ht="15" customHeight="1">
      <c r="A435" s="109"/>
      <c r="B435" s="33"/>
      <c r="C435" s="161"/>
      <c r="D435" s="161"/>
      <c r="E435" s="35"/>
      <c r="F435" s="161"/>
      <c r="H435" s="44"/>
      <c r="I435" s="44"/>
      <c r="J435" s="119"/>
    </row>
    <row r="436" spans="1:10" s="1" customFormat="1" ht="15" customHeight="1">
      <c r="A436" s="39"/>
      <c r="B436" s="33"/>
      <c r="C436" s="42"/>
      <c r="D436" s="161"/>
      <c r="E436" s="109"/>
      <c r="F436" s="69"/>
      <c r="H436" s="44"/>
      <c r="I436" s="44"/>
      <c r="J436" s="119"/>
    </row>
    <row r="437" spans="1:10" s="1" customFormat="1" ht="15" customHeight="1">
      <c r="A437" s="92"/>
      <c r="B437" s="39"/>
      <c r="C437" s="163"/>
      <c r="D437" s="161"/>
      <c r="E437" s="109"/>
      <c r="F437" s="68"/>
      <c r="H437" s="44"/>
      <c r="I437" s="44"/>
      <c r="J437" s="119"/>
    </row>
    <row r="438" spans="1:10" s="1" customFormat="1" ht="15" customHeight="1">
      <c r="B438" s="92"/>
      <c r="C438" s="161"/>
      <c r="D438" s="161"/>
      <c r="E438" s="109"/>
      <c r="F438" s="228"/>
      <c r="H438" s="44"/>
      <c r="I438" s="44"/>
      <c r="J438" s="119"/>
    </row>
    <row r="439" spans="1:10" s="1" customFormat="1" ht="15" customHeight="1">
      <c r="A439" s="64" t="str">
        <f>A18</f>
        <v>240-7 Panel (2L5R)</v>
      </c>
      <c r="B439" s="92"/>
      <c r="C439" s="161"/>
      <c r="D439" s="161"/>
      <c r="E439" s="109"/>
      <c r="F439" s="228"/>
      <c r="H439" s="44"/>
      <c r="I439" s="44"/>
      <c r="J439" s="119"/>
    </row>
    <row r="440" spans="1:10" s="1" customFormat="1" ht="15.9" customHeight="1">
      <c r="A440" s="76" t="str">
        <f>A19</f>
        <v xml:space="preserve">Outside Bi Fold Door </v>
      </c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44"/>
      <c r="B442" s="38"/>
      <c r="C442" s="43"/>
      <c r="D442" s="161"/>
      <c r="E442" s="109"/>
      <c r="F442" s="109"/>
      <c r="H442" s="44"/>
      <c r="I442" s="44"/>
      <c r="J442" s="119"/>
    </row>
    <row r="443" spans="1:10" s="1" customFormat="1" ht="15.9" customHeight="1">
      <c r="A443" s="40"/>
      <c r="C443" s="44"/>
      <c r="D443" s="84"/>
      <c r="E443" s="44"/>
      <c r="F443" s="44"/>
      <c r="H443" s="44"/>
      <c r="I443" s="44"/>
      <c r="J443" s="119"/>
    </row>
    <row r="444" spans="1:10" s="1" customFormat="1" ht="35.1" customHeight="1">
      <c r="A444" s="109"/>
      <c r="C444" s="161"/>
      <c r="D444" s="85"/>
      <c r="E444" s="40"/>
      <c r="F444" s="32"/>
      <c r="H444" s="44"/>
      <c r="I444" s="24"/>
      <c r="J444" s="24"/>
    </row>
    <row r="445" spans="1:10" ht="15.6">
      <c r="B445" s="64"/>
      <c r="C445" s="163"/>
      <c r="D445" s="161"/>
      <c r="E445" s="109"/>
      <c r="F445" s="161"/>
      <c r="G445" s="109"/>
      <c r="H445" s="109"/>
    </row>
    <row r="450" spans="1:10" s="1" customFormat="1" ht="15.9" customHeight="1">
      <c r="A450" s="109"/>
      <c r="B450"/>
      <c r="C450"/>
      <c r="D450" s="81"/>
      <c r="E450"/>
      <c r="F450"/>
      <c r="G450"/>
      <c r="H450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44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1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163"/>
      <c r="D456" s="161"/>
      <c r="E456" s="109"/>
      <c r="F456" s="161"/>
      <c r="G456" s="109"/>
      <c r="H456" s="109"/>
      <c r="I456" s="109"/>
      <c r="J456" s="24"/>
    </row>
    <row r="457" spans="1:10" s="1" customFormat="1" ht="15.9" customHeight="1">
      <c r="A457" s="109"/>
      <c r="B457" s="33"/>
      <c r="C457" s="161"/>
      <c r="D457" s="161"/>
      <c r="E457" s="109"/>
      <c r="F457" s="161"/>
      <c r="G457" s="109"/>
      <c r="H457" s="109"/>
      <c r="I457" s="24"/>
      <c r="J457" s="24"/>
    </row>
    <row r="458" spans="1:10" s="1" customFormat="1" ht="15.9" customHeight="1">
      <c r="A458" s="109"/>
      <c r="B458" s="33"/>
      <c r="C458" s="33"/>
      <c r="D458" s="161"/>
      <c r="E458" s="109"/>
      <c r="F458" s="109"/>
      <c r="G458" s="109"/>
      <c r="H458" s="109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7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" customHeight="1">
      <c r="A476" s="109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23" customFormat="1" ht="15.9" customHeight="1">
      <c r="A477" s="109"/>
      <c r="B477" s="33"/>
      <c r="C477" s="33"/>
      <c r="D477" s="161"/>
      <c r="E477" s="109"/>
      <c r="F477" s="109"/>
      <c r="G477" s="109"/>
      <c r="H477" s="109"/>
      <c r="I477" s="109"/>
      <c r="J477" s="109"/>
    </row>
    <row r="478" spans="1:10" s="1" customFormat="1" ht="15.9" customHeight="1">
      <c r="A478" s="44"/>
      <c r="B478" s="33"/>
      <c r="C478" s="33"/>
      <c r="D478" s="161"/>
      <c r="E478" s="109"/>
      <c r="F478" s="109"/>
      <c r="G478" s="109"/>
      <c r="H478" s="109"/>
      <c r="I478" s="44"/>
      <c r="J478" s="119"/>
    </row>
    <row r="479" spans="1:10" s="1" customFormat="1" ht="15.9" customHeight="1">
      <c r="A479" s="40"/>
      <c r="B479" s="44"/>
      <c r="C479" s="44"/>
      <c r="D479" s="84"/>
      <c r="E479" s="44"/>
      <c r="F479" s="44"/>
      <c r="G479" s="44"/>
      <c r="H479" s="44"/>
      <c r="I479" s="32"/>
      <c r="J479" s="40"/>
    </row>
    <row r="480" spans="1:10" s="1" customFormat="1" ht="15.9" customHeight="1">
      <c r="A480" s="27"/>
      <c r="B480" s="40"/>
      <c r="C480" s="44"/>
      <c r="D480" s="85"/>
      <c r="E480" s="40"/>
      <c r="F480" s="32"/>
      <c r="G480" s="40"/>
      <c r="H480" s="32"/>
      <c r="I480" s="24"/>
      <c r="J480" s="24"/>
    </row>
    <row r="481" spans="1:10" s="1" customFormat="1" ht="15.9" customHeight="1">
      <c r="A481" s="27"/>
      <c r="B481" s="33"/>
      <c r="C481" s="42"/>
      <c r="D481" s="161"/>
      <c r="E481" s="109"/>
      <c r="F481" s="109"/>
      <c r="G481" s="109"/>
      <c r="H481" s="42"/>
      <c r="I481" s="67"/>
      <c r="J481" s="165"/>
    </row>
    <row r="482" spans="1:10" s="1" customFormat="1" ht="15.9" customHeight="1">
      <c r="A482" s="27"/>
      <c r="B482" s="33"/>
      <c r="C482" s="163"/>
      <c r="D482" s="161"/>
      <c r="E482" s="109"/>
      <c r="F482" s="109"/>
      <c r="G482" s="109"/>
      <c r="H482" s="67"/>
      <c r="I482" s="38"/>
      <c r="J482" s="109"/>
    </row>
    <row r="483" spans="1:10" s="1" customFormat="1" ht="15.9" customHeight="1">
      <c r="A483" s="27"/>
      <c r="B483" s="33"/>
      <c r="C483" s="161"/>
      <c r="D483" s="161"/>
      <c r="E483" s="109"/>
      <c r="F483" s="109"/>
      <c r="G483" s="109"/>
      <c r="H483" s="38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46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161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D495" s="161"/>
      <c r="E495" s="109"/>
      <c r="F495" s="109"/>
      <c r="G495" s="33"/>
      <c r="H495" s="33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42"/>
      <c r="I499" s="67"/>
      <c r="J499" s="165"/>
    </row>
    <row r="500" spans="1:10" s="1" customFormat="1" ht="15.9" customHeight="1">
      <c r="A500" s="27"/>
      <c r="B500" s="33"/>
      <c r="C500" s="47"/>
      <c r="D500" s="161"/>
      <c r="E500" s="109"/>
      <c r="F500" s="109"/>
      <c r="G500" s="109"/>
      <c r="H500" s="67"/>
      <c r="I500" s="38"/>
      <c r="J500" s="109"/>
    </row>
    <row r="501" spans="1:10" s="1" customFormat="1" ht="15.9" customHeight="1">
      <c r="A501" s="27"/>
      <c r="B501" s="33"/>
      <c r="C501" s="46"/>
      <c r="D501" s="161"/>
      <c r="E501" s="109"/>
      <c r="F501" s="109"/>
      <c r="G501" s="109"/>
      <c r="H501" s="38"/>
      <c r="I501" s="24"/>
      <c r="J501" s="24"/>
    </row>
    <row r="502" spans="1:10" s="1" customFormat="1" ht="15.9" customHeight="1">
      <c r="A502" s="27"/>
      <c r="B502" s="33"/>
      <c r="C502" s="161"/>
      <c r="D502" s="161"/>
      <c r="E502" s="109"/>
      <c r="F502" s="109"/>
      <c r="G502" s="109"/>
      <c r="H502" s="42"/>
      <c r="I502" s="67"/>
      <c r="J502" s="165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67"/>
      <c r="I503" s="38"/>
      <c r="J503" s="109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38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43"/>
      <c r="J511" s="107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43"/>
      <c r="J512" s="107"/>
    </row>
    <row r="513" spans="1:22" s="1" customFormat="1" ht="15.9" customHeight="1">
      <c r="A513" s="27"/>
      <c r="B513" s="33"/>
      <c r="C513" s="33"/>
      <c r="D513" s="161"/>
      <c r="E513" s="109"/>
      <c r="F513" s="109"/>
      <c r="G513" s="109"/>
      <c r="H513" s="109"/>
      <c r="I513" s="43"/>
      <c r="J513" s="107"/>
    </row>
    <row r="514" spans="1:22" s="1" customFormat="1" ht="15.9" customHeight="1">
      <c r="A514" s="27"/>
      <c r="B514" s="33"/>
      <c r="C514" s="33"/>
      <c r="D514" s="161"/>
      <c r="E514" s="109"/>
      <c r="F514" s="109"/>
      <c r="G514" s="109"/>
      <c r="H514" s="66"/>
      <c r="I514" s="38"/>
      <c r="J514" s="109"/>
    </row>
    <row r="515" spans="1:22" s="1" customFormat="1" ht="15.9" customHeight="1">
      <c r="A515" s="44"/>
      <c r="B515" s="33"/>
      <c r="C515" s="33"/>
      <c r="D515" s="161"/>
      <c r="E515" s="109"/>
      <c r="F515" s="109"/>
      <c r="G515" s="109"/>
      <c r="H515" s="67"/>
      <c r="I515" s="44"/>
      <c r="J515" s="119"/>
    </row>
    <row r="516" spans="1:22" s="1" customFormat="1" ht="15.9" customHeight="1">
      <c r="B516" s="44"/>
      <c r="C516" s="44"/>
      <c r="D516" s="84"/>
      <c r="E516" s="44"/>
      <c r="F516" s="44"/>
      <c r="G516" s="44"/>
      <c r="H516" s="44"/>
    </row>
    <row r="517" spans="1:22" s="1" customFormat="1" ht="15.9" customHeight="1" thickBot="1"/>
    <row r="518" spans="1:22" s="1" customFormat="1" ht="24.9" customHeight="1" thickBot="1">
      <c r="A518" s="502" t="s">
        <v>401</v>
      </c>
      <c r="B518" s="503"/>
      <c r="C518" s="503"/>
      <c r="D518" s="503"/>
      <c r="E518" s="503"/>
      <c r="F518" s="503"/>
      <c r="G518" s="503"/>
      <c r="H518" s="503"/>
      <c r="I518" s="503"/>
      <c r="J518" s="504"/>
    </row>
    <row r="519" spans="1:22" s="1" customFormat="1" ht="35.1" customHeight="1" thickBot="1">
      <c r="A519" s="102" t="s">
        <v>2</v>
      </c>
      <c r="B519" s="103" t="s">
        <v>3</v>
      </c>
      <c r="C519" s="103" t="s">
        <v>3</v>
      </c>
      <c r="D519" s="104" t="s">
        <v>35</v>
      </c>
      <c r="E519" s="103" t="s">
        <v>5</v>
      </c>
      <c r="F519" s="339" t="s">
        <v>27</v>
      </c>
      <c r="G519" s="305"/>
      <c r="H519" s="104" t="s">
        <v>27</v>
      </c>
      <c r="I519" s="104" t="s">
        <v>26</v>
      </c>
      <c r="J519" s="115" t="s">
        <v>6</v>
      </c>
      <c r="N519" s="249" t="s">
        <v>3</v>
      </c>
      <c r="O519" s="249" t="s">
        <v>3</v>
      </c>
    </row>
    <row r="520" spans="1:22" s="1" customFormat="1" ht="15.9" customHeight="1">
      <c r="A520" s="123">
        <f>IF(C520="","",1)</f>
        <v>1</v>
      </c>
      <c r="B520" s="121" t="str">
        <f>IF($D$127=5,N520,IF($D$127=6,N521,IF($D$127=8,N522,IF($D$127=10,N523,IF($D$127=12,N524,IF($D$127=14,N525,IF($D$127=18,N526,IF($D$127=20,N527,IF($D$127=22,N528,)))))))))</f>
        <v>กระจก 5 mm (สูง) (กว้าง)</v>
      </c>
      <c r="C520" s="121" t="str">
        <f>IF($D$127=5,O520,IF($D$127=6,O521,IF($D$127=8,O522,IF($D$127=10,O523,IF($D$127=12,O524,IF($D$127=14,O525,IF($D$127=18,O526,IF($D$127=20,O527,IF($D$127=22,O528,)))))))))</f>
        <v>GLASS thk.5 mm (H) (W)</v>
      </c>
      <c r="D520" s="124">
        <f>$J$123-215</f>
        <v>2285</v>
      </c>
      <c r="E520" s="123" t="s">
        <v>11</v>
      </c>
      <c r="F520" s="527" t="s">
        <v>271</v>
      </c>
      <c r="G520" s="528"/>
      <c r="H520" s="123" t="s">
        <v>409</v>
      </c>
      <c r="I520" s="124">
        <f>(($J$126-185-(113.25*6))/7)-13</f>
        <v>499.21428571428567</v>
      </c>
      <c r="J520" s="151">
        <f>$J$120*7</f>
        <v>7</v>
      </c>
      <c r="M520" s="1">
        <f>+ROW()</f>
        <v>520</v>
      </c>
      <c r="N520" s="19" t="s">
        <v>194</v>
      </c>
      <c r="O520" s="19" t="s">
        <v>195</v>
      </c>
    </row>
    <row r="521" spans="1:22" s="1" customFormat="1" ht="15.9" customHeight="1">
      <c r="A521" s="346"/>
      <c r="B521" s="295"/>
      <c r="C521" s="295"/>
      <c r="D521" s="296"/>
      <c r="E521" s="238"/>
      <c r="F521" s="251"/>
      <c r="G521" s="297"/>
      <c r="H521" s="238"/>
      <c r="I521" s="298"/>
      <c r="J521" s="299"/>
      <c r="M521" s="1">
        <f t="shared" ref="M521:M528" si="43">+ROW()</f>
        <v>521</v>
      </c>
      <c r="N521" s="19" t="s">
        <v>53</v>
      </c>
      <c r="O521" s="19" t="s">
        <v>54</v>
      </c>
    </row>
    <row r="522" spans="1:22" s="1" customFormat="1" ht="15.9" customHeight="1">
      <c r="A522" s="346"/>
      <c r="B522" s="295"/>
      <c r="C522" s="295"/>
      <c r="D522" s="296"/>
      <c r="E522" s="238"/>
      <c r="F522" s="251"/>
      <c r="G522" s="297"/>
      <c r="H522" s="238"/>
      <c r="I522" s="298"/>
      <c r="J522" s="299"/>
      <c r="M522" s="1">
        <f t="shared" si="43"/>
        <v>522</v>
      </c>
      <c r="N522" s="19" t="s">
        <v>257</v>
      </c>
      <c r="O522" s="19" t="s">
        <v>258</v>
      </c>
    </row>
    <row r="523" spans="1:22" s="1" customFormat="1" ht="15.9" customHeight="1">
      <c r="A523" s="129" t="str">
        <f>IF(B523="","",+#REF!+1)</f>
        <v/>
      </c>
      <c r="B523" s="127"/>
      <c r="C523" s="127"/>
      <c r="D523" s="128"/>
      <c r="E523" s="129"/>
      <c r="F523" s="155"/>
      <c r="G523" s="157"/>
      <c r="H523" s="129"/>
      <c r="I523" s="144"/>
      <c r="J523" s="130"/>
      <c r="M523" s="1">
        <f t="shared" si="43"/>
        <v>523</v>
      </c>
      <c r="N523" s="19" t="s">
        <v>259</v>
      </c>
      <c r="O523" s="19" t="s">
        <v>265</v>
      </c>
    </row>
    <row r="524" spans="1:22" s="1" customFormat="1" ht="15.9" customHeight="1">
      <c r="A524" s="135" t="str">
        <f>IF(B524="","",+A523+1)</f>
        <v/>
      </c>
      <c r="B524" s="133"/>
      <c r="C524" s="133"/>
      <c r="D524" s="134"/>
      <c r="E524" s="135"/>
      <c r="F524" s="158"/>
      <c r="G524" s="159"/>
      <c r="H524" s="135"/>
      <c r="I524" s="145"/>
      <c r="J524" s="136"/>
      <c r="M524" s="1">
        <f t="shared" si="43"/>
        <v>524</v>
      </c>
      <c r="N524" s="19" t="s">
        <v>260</v>
      </c>
      <c r="O524" s="19" t="s">
        <v>266</v>
      </c>
    </row>
    <row r="525" spans="1:22" s="1" customFormat="1" ht="15.9" customHeight="1">
      <c r="A525" s="17"/>
      <c r="B525" s="56"/>
      <c r="C525" s="56"/>
      <c r="D525" s="30"/>
      <c r="E525" s="17"/>
      <c r="F525" s="17"/>
      <c r="G525" s="17"/>
      <c r="H525" s="109"/>
      <c r="I525" s="109"/>
      <c r="J525" s="24"/>
      <c r="M525" s="1">
        <f t="shared" si="43"/>
        <v>525</v>
      </c>
      <c r="N525" s="19" t="s">
        <v>261</v>
      </c>
      <c r="O525" s="19" t="s">
        <v>267</v>
      </c>
    </row>
    <row r="526" spans="1:22">
      <c r="H526" s="294"/>
      <c r="I526" s="294"/>
      <c r="J526" s="99" t="str">
        <f>LEFT($J$111,13)&amp;"-05"</f>
        <v>FG-240-7P2L5R-05</v>
      </c>
      <c r="M526" s="1">
        <f t="shared" si="43"/>
        <v>526</v>
      </c>
      <c r="N526" s="19" t="s">
        <v>262</v>
      </c>
      <c r="O526" s="19" t="s">
        <v>268</v>
      </c>
      <c r="P526" s="1"/>
      <c r="Q526" s="1"/>
      <c r="R526" s="1"/>
      <c r="S526" s="1"/>
      <c r="T526" s="1"/>
      <c r="U526" s="1"/>
      <c r="V526" s="1"/>
    </row>
    <row r="527" spans="1:22">
      <c r="M527" s="1">
        <f t="shared" si="43"/>
        <v>527</v>
      </c>
      <c r="N527" s="19" t="s">
        <v>263</v>
      </c>
      <c r="O527" s="19" t="s">
        <v>269</v>
      </c>
      <c r="P527" s="1"/>
      <c r="Q527" s="1"/>
      <c r="R527" s="1"/>
      <c r="S527" s="1"/>
      <c r="T527" s="1"/>
      <c r="U527" s="1"/>
      <c r="V527" s="1"/>
    </row>
    <row r="528" spans="1:22">
      <c r="M528" s="1">
        <f t="shared" si="43"/>
        <v>528</v>
      </c>
      <c r="N528" s="19" t="s">
        <v>264</v>
      </c>
      <c r="O528" s="19" t="s">
        <v>270</v>
      </c>
      <c r="P528" s="1"/>
      <c r="Q528" s="1"/>
      <c r="R528" s="1"/>
      <c r="S528" s="1"/>
      <c r="T528" s="1"/>
      <c r="U528" s="1"/>
      <c r="V528" s="1"/>
    </row>
  </sheetData>
  <sheetProtection selectLockedCells="1" selectUnlockedCells="1"/>
  <dataConsolidate function="product">
    <dataRefs count="1">
      <dataRef ref="O154:O162" sheet="240_2Panel(L)" r:id="rId1"/>
    </dataRefs>
  </dataConsolidate>
  <mergeCells count="46">
    <mergeCell ref="H171:H172"/>
    <mergeCell ref="A6:J6"/>
    <mergeCell ref="H120:I121"/>
    <mergeCell ref="J120:J121"/>
    <mergeCell ref="A117:J117"/>
    <mergeCell ref="D119:G119"/>
    <mergeCell ref="D121:G121"/>
    <mergeCell ref="I157:J157"/>
    <mergeCell ref="H123:I124"/>
    <mergeCell ref="J123:J124"/>
    <mergeCell ref="A125:B125"/>
    <mergeCell ref="H126:I127"/>
    <mergeCell ref="J126:J127"/>
    <mergeCell ref="D127:G127"/>
    <mergeCell ref="A131:J131"/>
    <mergeCell ref="I154:J154"/>
    <mergeCell ref="I155:J155"/>
    <mergeCell ref="I156:J156"/>
    <mergeCell ref="D123:G123"/>
    <mergeCell ref="D125:G125"/>
    <mergeCell ref="D129:G129"/>
    <mergeCell ref="A173:J173"/>
    <mergeCell ref="I168:J168"/>
    <mergeCell ref="I158:J158"/>
    <mergeCell ref="D159:D160"/>
    <mergeCell ref="H159:H160"/>
    <mergeCell ref="I159:J160"/>
    <mergeCell ref="I161:J161"/>
    <mergeCell ref="I162:J165"/>
    <mergeCell ref="I166:J167"/>
    <mergeCell ref="D161:D162"/>
    <mergeCell ref="D163:D168"/>
    <mergeCell ref="D169:D170"/>
    <mergeCell ref="D171:D172"/>
    <mergeCell ref="H163:H168"/>
    <mergeCell ref="H161:H162"/>
    <mergeCell ref="H169:H170"/>
    <mergeCell ref="F520:G520"/>
    <mergeCell ref="A518:J518"/>
    <mergeCell ref="A427:J427"/>
    <mergeCell ref="A320:J320"/>
    <mergeCell ref="A213:J213"/>
    <mergeCell ref="F331:G331"/>
    <mergeCell ref="F334:G334"/>
    <mergeCell ref="C308:E308"/>
    <mergeCell ref="F330:G330"/>
  </mergeCells>
  <dataValidations count="4">
    <dataValidation type="list" allowBlank="1" showInputMessage="1" showErrorMessage="1" sqref="C206">
      <formula1>$O$175:$O$193</formula1>
    </dataValidation>
    <dataValidation type="list" allowBlank="1" showInputMessage="1" showErrorMessage="1" sqref="D123:G123">
      <formula1>$P$118:$P$127</formula1>
    </dataValidation>
    <dataValidation type="list" allowBlank="1" showInputMessage="1" showErrorMessage="1" sqref="D127:G127">
      <formula1>$N$119:$N$127</formula1>
    </dataValidation>
    <dataValidation type="list" allowBlank="1" showInputMessage="1" showErrorMessage="1" sqref="D129:G129">
      <formula1>$O$119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16383" man="1"/>
    <brk id="421" max="9" man="1"/>
  </rowBreaks>
  <drawing r:id="rId3"/>
  <legacyDrawing r:id="rId4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4">
    <tabColor theme="5" tint="-0.249977111117893"/>
  </sheetPr>
  <dimension ref="A1:X528"/>
  <sheetViews>
    <sheetView showGridLines="0" view="pageBreakPreview" topLeftCell="A112" zoomScale="75" zoomScaleNormal="75" zoomScaleSheetLayoutView="75" workbookViewId="0">
      <selection activeCell="D127" sqref="D127:G127"/>
    </sheetView>
  </sheetViews>
  <sheetFormatPr defaultRowHeight="14.4" outlineLevelRow="1" outlineLevelCol="1"/>
  <cols>
    <col min="1" max="1" width="7" customWidth="1"/>
    <col min="2" max="2" width="40.6640625" customWidth="1"/>
    <col min="3" max="3" width="61.10937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6.6640625" customWidth="1"/>
    <col min="9" max="9" width="11.109375" bestFit="1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0.554687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31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31"/>
      <c r="E3" s="231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183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/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>
      <c r="G55" s="10"/>
    </row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346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31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31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74" t="s">
        <v>31</v>
      </c>
      <c r="B117" s="575"/>
      <c r="C117" s="575"/>
      <c r="D117" s="575"/>
      <c r="E117" s="575"/>
      <c r="F117" s="575"/>
      <c r="G117" s="575"/>
      <c r="H117" s="575"/>
      <c r="I117" s="575"/>
      <c r="J117" s="576"/>
      <c r="K117" s="11"/>
      <c r="L117" s="4"/>
      <c r="M117" s="4"/>
      <c r="N117" s="4"/>
    </row>
    <row r="118" spans="1:16" s="1" customFormat="1" ht="18">
      <c r="A118" s="12"/>
      <c r="C118" s="8"/>
      <c r="D118" s="15"/>
      <c r="E118" s="13"/>
      <c r="J118" s="230"/>
      <c r="K118" s="11"/>
      <c r="L118" s="56"/>
      <c r="M118" s="56"/>
      <c r="N118" s="243" t="s">
        <v>191</v>
      </c>
      <c r="O118" s="12" t="s">
        <v>227</v>
      </c>
      <c r="P118" s="247" t="s">
        <v>16</v>
      </c>
    </row>
    <row r="119" spans="1:16" s="1" customFormat="1" ht="15" customHeight="1">
      <c r="A119" s="12"/>
      <c r="C119" s="110" t="s">
        <v>635</v>
      </c>
      <c r="D119" s="524"/>
      <c r="E119" s="525"/>
      <c r="F119" s="525"/>
      <c r="G119" s="526"/>
      <c r="I119" s="16"/>
      <c r="J119" s="12"/>
      <c r="N119" s="244">
        <v>5</v>
      </c>
      <c r="O119" s="12" t="s">
        <v>243</v>
      </c>
      <c r="P119" s="335" t="s">
        <v>389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5">
        <v>6</v>
      </c>
      <c r="O120" s="12" t="s">
        <v>244</v>
      </c>
      <c r="P120" s="336" t="s">
        <v>390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8</v>
      </c>
      <c r="P121" s="336" t="s">
        <v>391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10</v>
      </c>
      <c r="P122" s="336" t="s">
        <v>392</v>
      </c>
    </row>
    <row r="123" spans="1:16" s="1" customFormat="1" ht="15" customHeight="1">
      <c r="A123" s="12"/>
      <c r="C123" s="110" t="s">
        <v>629</v>
      </c>
      <c r="D123" s="524" t="s">
        <v>15</v>
      </c>
      <c r="E123" s="525"/>
      <c r="F123" s="525"/>
      <c r="G123" s="526"/>
      <c r="H123" s="519" t="s">
        <v>638</v>
      </c>
      <c r="I123" s="520"/>
      <c r="J123" s="517">
        <v>2900</v>
      </c>
      <c r="N123" s="245">
        <v>12</v>
      </c>
      <c r="P123" s="335" t="s">
        <v>393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14</v>
      </c>
      <c r="P124" s="335" t="s">
        <v>394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228"/>
      <c r="L125" s="77"/>
      <c r="N125" s="245">
        <v>18</v>
      </c>
      <c r="P125" s="335" t="s">
        <v>395</v>
      </c>
    </row>
    <row r="126" spans="1:16" s="1" customFormat="1" ht="15" customHeight="1">
      <c r="A126" s="230"/>
      <c r="B126" s="230"/>
      <c r="C126" s="423" t="s">
        <v>631</v>
      </c>
      <c r="D126" s="15"/>
      <c r="H126" s="519" t="s">
        <v>639</v>
      </c>
      <c r="I126" s="520"/>
      <c r="J126" s="517">
        <v>5000</v>
      </c>
      <c r="K126" s="228"/>
      <c r="L126" s="77"/>
      <c r="N126" s="245">
        <v>20</v>
      </c>
      <c r="P126" s="335" t="s">
        <v>396</v>
      </c>
    </row>
    <row r="127" spans="1:16" s="1" customFormat="1" ht="15" customHeight="1">
      <c r="A127" s="230"/>
      <c r="B127" s="230"/>
      <c r="C127" s="110" t="s">
        <v>633</v>
      </c>
      <c r="D127" s="534">
        <v>8</v>
      </c>
      <c r="E127" s="535"/>
      <c r="F127" s="535"/>
      <c r="G127" s="536"/>
      <c r="H127" s="520"/>
      <c r="I127" s="520"/>
      <c r="J127" s="518"/>
      <c r="N127" s="245">
        <v>22</v>
      </c>
      <c r="P127" s="335" t="s">
        <v>397</v>
      </c>
    </row>
    <row r="128" spans="1:16" s="1" customFormat="1" ht="18.75" customHeight="1">
      <c r="C128" s="423" t="s">
        <v>632</v>
      </c>
      <c r="I128" s="12"/>
      <c r="J128" s="12"/>
    </row>
    <row r="129" spans="1:23" s="1" customFormat="1" ht="15" customHeight="1">
      <c r="A129" s="88" t="str">
        <f>A18</f>
        <v>240-7 Panel (3L4R)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4940</v>
      </c>
      <c r="J133" s="125">
        <f t="shared" ref="J133:J153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14</v>
      </c>
      <c r="U133" s="283" t="s">
        <v>300</v>
      </c>
      <c r="V133" s="285">
        <f>($J$126-185-(113.25*6))/7</f>
        <v>590.78571428571433</v>
      </c>
      <c r="W133" s="286">
        <f>$J$120*T133</f>
        <v>14</v>
      </c>
    </row>
    <row r="134" spans="1:23" s="1" customFormat="1" ht="18" customHeight="1">
      <c r="A134" s="143">
        <f t="shared" ref="A134:A152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4914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14</v>
      </c>
      <c r="U134" s="129" t="s">
        <v>300</v>
      </c>
      <c r="V134" s="144">
        <f t="shared" ref="V134:V135" si="2">($J$126-185-(113.25*6))/7</f>
        <v>590.78571428571433</v>
      </c>
      <c r="W134" s="131">
        <f t="shared" ref="W134:W135" si="3">$J$120*T134</f>
        <v>14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4940</v>
      </c>
      <c r="J135" s="131">
        <f t="shared" ref="J135:J139" si="4">$J$120*G135</f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14</v>
      </c>
      <c r="U135" s="135" t="s">
        <v>300</v>
      </c>
      <c r="V135" s="145">
        <f t="shared" si="2"/>
        <v>590.78571428571433</v>
      </c>
      <c r="W135" s="293">
        <f t="shared" si="3"/>
        <v>14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4940</v>
      </c>
      <c r="J136" s="131">
        <f t="shared" si="4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14</v>
      </c>
      <c r="U136" s="283" t="s">
        <v>64</v>
      </c>
      <c r="V136" s="288">
        <f>$J$123-242</f>
        <v>2658</v>
      </c>
      <c r="W136" s="286">
        <f>$J$120*T136</f>
        <v>14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2900</v>
      </c>
      <c r="J137" s="131">
        <f t="shared" si="4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14</v>
      </c>
      <c r="U137" s="129" t="s">
        <v>64</v>
      </c>
      <c r="V137" s="130">
        <f>$J$123-242</f>
        <v>2658</v>
      </c>
      <c r="W137" s="131">
        <f t="shared" ref="W137:W138" si="5">$J$120*T137</f>
        <v>14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2900</v>
      </c>
      <c r="J138" s="131">
        <f t="shared" si="4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14</v>
      </c>
      <c r="U138" s="135" t="s">
        <v>64</v>
      </c>
      <c r="V138" s="136">
        <f>$J$123-242</f>
        <v>2658</v>
      </c>
      <c r="W138" s="293">
        <f t="shared" si="5"/>
        <v>14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2804</v>
      </c>
      <c r="J139" s="131">
        <f t="shared" si="4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2804</v>
      </c>
      <c r="J140" s="131">
        <f t="shared" ref="J140" si="6">$J$120*G140</f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7</v>
      </c>
      <c r="H141" s="143" t="s">
        <v>300</v>
      </c>
      <c r="I141" s="178">
        <f>($J$126-185-(113.25*6))/7</f>
        <v>590.78571428571433</v>
      </c>
      <c r="J141" s="131">
        <f t="shared" ref="J141:J150" si="7">$J$120*G141</f>
        <v>7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7</v>
      </c>
      <c r="H142" s="143" t="s">
        <v>300</v>
      </c>
      <c r="I142" s="178">
        <f>($J$126-185-(113.25*6))/7</f>
        <v>590.78571428571433</v>
      </c>
      <c r="J142" s="131">
        <f t="shared" si="7"/>
        <v>7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10</v>
      </c>
      <c r="H143" s="143" t="s">
        <v>63</v>
      </c>
      <c r="I143" s="130">
        <f>$J$123-92</f>
        <v>2808</v>
      </c>
      <c r="J143" s="131">
        <f t="shared" si="7"/>
        <v>10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1</v>
      </c>
      <c r="H144" s="143" t="s">
        <v>63</v>
      </c>
      <c r="I144" s="130">
        <f t="shared" ref="I144:I146" si="8">$J$123-92</f>
        <v>2808</v>
      </c>
      <c r="J144" s="131">
        <f t="shared" si="7"/>
        <v>1</v>
      </c>
      <c r="N144" s="98"/>
    </row>
    <row r="145" spans="1:14" s="1" customFormat="1" ht="18" customHeight="1">
      <c r="A145" s="143">
        <f t="shared" si="1"/>
        <v>13</v>
      </c>
      <c r="B145" s="140" t="s">
        <v>8</v>
      </c>
      <c r="C145" s="140" t="s">
        <v>58</v>
      </c>
      <c r="D145" s="139" t="s">
        <v>50</v>
      </c>
      <c r="E145" s="143">
        <v>1.1060000000000001</v>
      </c>
      <c r="F145" s="139" t="s">
        <v>496</v>
      </c>
      <c r="G145" s="143">
        <v>2</v>
      </c>
      <c r="H145" s="143" t="s">
        <v>63</v>
      </c>
      <c r="I145" s="130">
        <f t="shared" si="8"/>
        <v>2808</v>
      </c>
      <c r="J145" s="131">
        <f t="shared" si="7"/>
        <v>2</v>
      </c>
      <c r="N145" s="98"/>
    </row>
    <row r="146" spans="1:14" s="1" customFormat="1" ht="18" customHeight="1">
      <c r="A146" s="143">
        <f t="shared" si="1"/>
        <v>14</v>
      </c>
      <c r="B146" s="140" t="s">
        <v>116</v>
      </c>
      <c r="C146" s="140" t="s">
        <v>99</v>
      </c>
      <c r="D146" s="139" t="s">
        <v>50</v>
      </c>
      <c r="E146" s="143">
        <v>1.1060000000000001</v>
      </c>
      <c r="F146" s="139" t="s">
        <v>506</v>
      </c>
      <c r="G146" s="143">
        <v>1</v>
      </c>
      <c r="H146" s="143" t="s">
        <v>63</v>
      </c>
      <c r="I146" s="130">
        <f t="shared" si="8"/>
        <v>2808</v>
      </c>
      <c r="J146" s="131">
        <f t="shared" si="7"/>
        <v>1</v>
      </c>
      <c r="N146" s="98"/>
    </row>
    <row r="147" spans="1:14" s="1" customFormat="1" ht="18" customHeight="1">
      <c r="A147" s="143">
        <f t="shared" si="1"/>
        <v>15</v>
      </c>
      <c r="B147" s="140" t="str">
        <f t="shared" ref="B147:I147" si="9">IF($D$127=5,O133,IF($D$127=6,O133,IF($D$127=8,O134,IF($D$127=10,O134,IF($D$127=12,O134,IF($D$127=14,O135,IF($D$127=18,O135,IF($D$127=20,O135,IF($D$127=22,O135,)))))))))</f>
        <v>8-12mm คิ้วตบกระจกแนวนอน</v>
      </c>
      <c r="C147" s="140" t="str">
        <f t="shared" si="9"/>
        <v>8-12mm GLAZING BEAD HORIZONTAL</v>
      </c>
      <c r="D147" s="140" t="str">
        <f t="shared" si="9"/>
        <v>B24016</v>
      </c>
      <c r="E147" s="140">
        <f t="shared" si="9"/>
        <v>0.215</v>
      </c>
      <c r="F147" s="140" t="str">
        <f t="shared" si="9"/>
        <v>B24016-001</v>
      </c>
      <c r="G147" s="143">
        <f t="shared" si="9"/>
        <v>14</v>
      </c>
      <c r="H147" s="129" t="str">
        <f t="shared" si="9"/>
        <v>(W-185-(113.25 × 6))/7</v>
      </c>
      <c r="I147" s="178">
        <f t="shared" si="9"/>
        <v>590.78571428571433</v>
      </c>
      <c r="J147" s="131">
        <f t="shared" si="7"/>
        <v>14</v>
      </c>
      <c r="N147" s="98"/>
    </row>
    <row r="148" spans="1:14" s="1" customFormat="1" ht="18" customHeight="1">
      <c r="A148" s="143">
        <f t="shared" si="1"/>
        <v>16</v>
      </c>
      <c r="B148" s="140" t="str">
        <f t="shared" ref="B148:I148" si="10">IF($D$127=5,O136,IF($D$127=6,O136,IF($D$127=8,O137,IF($D$127=10,O137,IF($D$127=12,O137,IF($D$127=14,O138,IF($D$127=18,O138,IF($D$127=20,O138,IF($D$127=22,O138,)))))))))</f>
        <v>8-12mm คิ้วตบกระจกแนวตั้ง</v>
      </c>
      <c r="C148" s="140" t="str">
        <f t="shared" si="10"/>
        <v>8-12mm GLAZING BEAD VERTICAL</v>
      </c>
      <c r="D148" s="140" t="str">
        <f t="shared" si="10"/>
        <v>B24016</v>
      </c>
      <c r="E148" s="140">
        <f t="shared" si="10"/>
        <v>0.215</v>
      </c>
      <c r="F148" s="140" t="str">
        <f t="shared" si="10"/>
        <v>B24016-002</v>
      </c>
      <c r="G148" s="143">
        <f t="shared" si="10"/>
        <v>14</v>
      </c>
      <c r="H148" s="129" t="str">
        <f t="shared" si="10"/>
        <v>H-242</v>
      </c>
      <c r="I148" s="144">
        <f t="shared" si="10"/>
        <v>2658</v>
      </c>
      <c r="J148" s="131">
        <f t="shared" si="7"/>
        <v>14</v>
      </c>
      <c r="N148" s="98"/>
    </row>
    <row r="149" spans="1:14" s="1" customFormat="1" ht="18" customHeight="1">
      <c r="A149" s="143">
        <f t="shared" si="1"/>
        <v>17</v>
      </c>
      <c r="B149" s="140" t="s">
        <v>125</v>
      </c>
      <c r="C149" s="140" t="s">
        <v>124</v>
      </c>
      <c r="D149" s="139" t="s">
        <v>123</v>
      </c>
      <c r="E149" s="143"/>
      <c r="F149" s="139" t="s">
        <v>362</v>
      </c>
      <c r="G149" s="143">
        <v>1</v>
      </c>
      <c r="H149" s="143" t="s">
        <v>63</v>
      </c>
      <c r="I149" s="130">
        <f>$J$123-92</f>
        <v>2808</v>
      </c>
      <c r="J149" s="131">
        <f t="shared" si="7"/>
        <v>1</v>
      </c>
      <c r="N149" s="98"/>
    </row>
    <row r="150" spans="1:14" s="1" customFormat="1" ht="18" customHeight="1">
      <c r="A150" s="143">
        <f t="shared" si="1"/>
        <v>18</v>
      </c>
      <c r="B150" s="140" t="s">
        <v>125</v>
      </c>
      <c r="C150" s="140" t="s">
        <v>124</v>
      </c>
      <c r="D150" s="139" t="s">
        <v>123</v>
      </c>
      <c r="E150" s="143"/>
      <c r="F150" s="139" t="s">
        <v>363</v>
      </c>
      <c r="G150" s="143">
        <v>1</v>
      </c>
      <c r="H150" s="143" t="s">
        <v>63</v>
      </c>
      <c r="I150" s="130">
        <f>$J$123-92</f>
        <v>2808</v>
      </c>
      <c r="J150" s="131">
        <f t="shared" si="7"/>
        <v>1</v>
      </c>
      <c r="N150" s="98"/>
    </row>
    <row r="151" spans="1:14" s="1" customFormat="1" ht="18" customHeight="1">
      <c r="A151" s="143" t="str">
        <f t="shared" si="1"/>
        <v/>
      </c>
      <c r="B151" s="140"/>
      <c r="C151" s="140"/>
      <c r="D151" s="139"/>
      <c r="E151" s="143"/>
      <c r="F151" s="139"/>
      <c r="G151" s="143"/>
      <c r="H151" s="143"/>
      <c r="I151" s="144"/>
      <c r="J151" s="131">
        <f t="shared" si="0"/>
        <v>0</v>
      </c>
      <c r="N151" s="98"/>
    </row>
    <row r="152" spans="1:14" s="1" customFormat="1" ht="18" customHeight="1">
      <c r="A152" s="143" t="str">
        <f t="shared" si="1"/>
        <v/>
      </c>
      <c r="B152" s="140"/>
      <c r="C152" s="140"/>
      <c r="D152" s="139"/>
      <c r="E152" s="143"/>
      <c r="F152" s="139"/>
      <c r="G152" s="143"/>
      <c r="H152" s="143"/>
      <c r="I152" s="144"/>
      <c r="J152" s="131">
        <f t="shared" ref="J152" si="11">$J$120*G152</f>
        <v>0</v>
      </c>
      <c r="N152" s="98"/>
    </row>
    <row r="153" spans="1:14" s="1" customFormat="1" ht="18" customHeight="1" thickBot="1">
      <c r="A153" s="143" t="str">
        <f>IF(B153="","",+A151+1)</f>
        <v/>
      </c>
      <c r="B153" s="167"/>
      <c r="C153" s="167"/>
      <c r="D153" s="168"/>
      <c r="E153" s="166"/>
      <c r="F153" s="168"/>
      <c r="G153" s="166"/>
      <c r="H153" s="166"/>
      <c r="I153" s="171"/>
      <c r="J153" s="172">
        <f t="shared" si="0"/>
        <v>0</v>
      </c>
    </row>
    <row r="154" spans="1:14" s="1" customFormat="1" ht="27" outlineLevel="1" thickBot="1">
      <c r="A154" s="169" t="s">
        <v>2</v>
      </c>
      <c r="B154" s="169" t="s">
        <v>29</v>
      </c>
      <c r="C154" s="169" t="s">
        <v>3</v>
      </c>
      <c r="D154" s="169" t="s">
        <v>4</v>
      </c>
      <c r="E154" s="169" t="s">
        <v>5</v>
      </c>
      <c r="F154" s="177" t="s">
        <v>85</v>
      </c>
      <c r="G154" s="169" t="s">
        <v>22</v>
      </c>
      <c r="H154" s="170" t="s">
        <v>23</v>
      </c>
      <c r="I154" s="540"/>
      <c r="J154" s="541"/>
    </row>
    <row r="155" spans="1:14" s="1" customFormat="1" ht="15" customHeight="1" outlineLevel="1">
      <c r="A155" s="21">
        <f>IF(B155="","",1)</f>
        <v>1</v>
      </c>
      <c r="B155" s="173" t="str">
        <f t="shared" ref="B155:C161" si="12">B133</f>
        <v>เฟรมบน</v>
      </c>
      <c r="C155" s="173" t="str">
        <f t="shared" si="12"/>
        <v>HEAD</v>
      </c>
      <c r="D155" s="174" t="str">
        <f>VLOOKUP(C155,$C$133:$H$153,2,0)</f>
        <v>B24001</v>
      </c>
      <c r="E155" s="175">
        <f t="shared" ref="E155:E161" si="13">VLOOKUP(C155,$C$133:$H$153,3,0)</f>
        <v>1.603</v>
      </c>
      <c r="F155" s="353">
        <f>VLOOKUP(C155,$C$133:$J$153,7,0)</f>
        <v>4940</v>
      </c>
      <c r="G155" s="175">
        <f t="shared" ref="G155:G161" si="14">VLOOKUP(C155,$C$133:$J$153,8,0)</f>
        <v>1</v>
      </c>
      <c r="H155" s="191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ref="A156" si="15">IF(B156="","",+A155+1)</f>
        <v>2</v>
      </c>
      <c r="B156" s="173" t="str">
        <f t="shared" si="12"/>
        <v>บังใบบน</v>
      </c>
      <c r="C156" s="173" t="str">
        <f t="shared" si="12"/>
        <v>DOOR STOP HEAD</v>
      </c>
      <c r="D156" s="174" t="str">
        <f>VLOOKUP(C156,$C$133:$H$153,2,0)</f>
        <v>B24002</v>
      </c>
      <c r="E156" s="175">
        <f t="shared" si="13"/>
        <v>0.27800000000000002</v>
      </c>
      <c r="F156" s="353">
        <f t="shared" ref="F156:F161" si="16">VLOOKUP(C156,$C$133:$I$153,7,0)</f>
        <v>4914</v>
      </c>
      <c r="G156" s="175">
        <f t="shared" si="14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ref="A157:A161" si="17">IF(B157="","",+A156+1)</f>
        <v>3</v>
      </c>
      <c r="B157" s="173" t="str">
        <f t="shared" si="12"/>
        <v xml:space="preserve">เฟรมล่าง </v>
      </c>
      <c r="C157" s="173" t="str">
        <f t="shared" si="12"/>
        <v>SILL</v>
      </c>
      <c r="D157" s="174" t="str">
        <f>VLOOKUP(C157,$C$133:$H$153,2,0)</f>
        <v>B24003</v>
      </c>
      <c r="E157" s="175">
        <f t="shared" si="13"/>
        <v>1.603</v>
      </c>
      <c r="F157" s="353">
        <f t="shared" si="16"/>
        <v>4940</v>
      </c>
      <c r="G157" s="175">
        <f t="shared" si="14"/>
        <v>1</v>
      </c>
      <c r="H157" s="192">
        <f t="shared" ref="H157:H158" si="18">ROUNDUP((F157*G157)/6400,0)</f>
        <v>1</v>
      </c>
      <c r="I157" s="501"/>
      <c r="J157" s="501"/>
    </row>
    <row r="158" spans="1:14" s="1" customFormat="1" ht="15" customHeight="1" outlineLevel="1">
      <c r="A158" s="18">
        <f t="shared" si="17"/>
        <v>4</v>
      </c>
      <c r="B158" s="173" t="str">
        <f t="shared" si="12"/>
        <v>ตัวตับธรณี</v>
      </c>
      <c r="C158" s="173" t="str">
        <f t="shared" si="12"/>
        <v>DOOR STOP SILL</v>
      </c>
      <c r="D158" s="174" t="str">
        <f>VLOOKUP(C158,$C$133:$H$153,2,0)</f>
        <v>B24004</v>
      </c>
      <c r="E158" s="175">
        <f t="shared" si="13"/>
        <v>0.51600000000000001</v>
      </c>
      <c r="F158" s="353">
        <f t="shared" si="16"/>
        <v>4940</v>
      </c>
      <c r="G158" s="175">
        <f t="shared" si="14"/>
        <v>1</v>
      </c>
      <c r="H158" s="192">
        <f t="shared" si="18"/>
        <v>1</v>
      </c>
      <c r="I158" s="501"/>
      <c r="J158" s="501"/>
    </row>
    <row r="159" spans="1:14" s="1" customFormat="1" ht="15" customHeight="1" outlineLevel="1">
      <c r="A159" s="18">
        <f t="shared" si="17"/>
        <v>5</v>
      </c>
      <c r="B159" s="173" t="str">
        <f t="shared" si="12"/>
        <v>เฟรมข้าง (ซ้าย)</v>
      </c>
      <c r="C159" s="173" t="str">
        <f t="shared" si="12"/>
        <v>JAMB (L)</v>
      </c>
      <c r="D159" s="508" t="str">
        <f>VLOOKUP(C159,$C$133:$H$153,2,0)</f>
        <v>B24005</v>
      </c>
      <c r="E159" s="175">
        <f t="shared" si="13"/>
        <v>0.89300000000000002</v>
      </c>
      <c r="F159" s="353">
        <f t="shared" si="16"/>
        <v>2900</v>
      </c>
      <c r="G159" s="175">
        <f t="shared" si="14"/>
        <v>1</v>
      </c>
      <c r="H159" s="516">
        <f>ROUNDUP(((F159*G159)+(F160*G160))/6400,0)</f>
        <v>1</v>
      </c>
      <c r="I159" s="506"/>
      <c r="J159" s="506"/>
    </row>
    <row r="160" spans="1:14" s="1" customFormat="1" ht="15" customHeight="1" outlineLevel="1">
      <c r="A160" s="18">
        <f t="shared" si="17"/>
        <v>6</v>
      </c>
      <c r="B160" s="173" t="str">
        <f t="shared" si="12"/>
        <v>เฟรมข้าง (ขวา)</v>
      </c>
      <c r="C160" s="173" t="str">
        <f t="shared" si="12"/>
        <v>JAMB (R)</v>
      </c>
      <c r="D160" s="509"/>
      <c r="E160" s="175">
        <f t="shared" si="13"/>
        <v>0.89300000000000002</v>
      </c>
      <c r="F160" s="353">
        <f t="shared" si="16"/>
        <v>2900</v>
      </c>
      <c r="G160" s="175">
        <f t="shared" si="14"/>
        <v>1</v>
      </c>
      <c r="H160" s="516"/>
      <c r="I160" s="506"/>
      <c r="J160" s="506"/>
    </row>
    <row r="161" spans="1:23" s="1" customFormat="1" ht="15" customHeight="1" outlineLevel="1">
      <c r="A161" s="18">
        <f t="shared" si="17"/>
        <v>7</v>
      </c>
      <c r="B161" s="173" t="str">
        <f t="shared" si="12"/>
        <v>บังใบข้าง (ซ้าย)</v>
      </c>
      <c r="C161" s="173" t="str">
        <f t="shared" si="12"/>
        <v>DOOR STOP JAMB (L)</v>
      </c>
      <c r="D161" s="508" t="str">
        <f>VLOOKUP(C161,$C$133:$H$153,2,0)</f>
        <v>B24006</v>
      </c>
      <c r="E161" s="175">
        <f t="shared" si="13"/>
        <v>0.23499999999999999</v>
      </c>
      <c r="F161" s="353">
        <f t="shared" si="16"/>
        <v>2804</v>
      </c>
      <c r="G161" s="175">
        <f t="shared" si="14"/>
        <v>1</v>
      </c>
      <c r="H161" s="516">
        <f>ROUNDUP(((F161*G161)+(F162*G162))/6400,0)</f>
        <v>1</v>
      </c>
      <c r="I161" s="501"/>
      <c r="J161" s="501"/>
    </row>
    <row r="162" spans="1:23" s="1" customFormat="1" ht="15" customHeight="1" outlineLevel="1">
      <c r="A162" s="18">
        <f t="shared" ref="A162:A172" si="19">IF(B162="","",+A161+1)</f>
        <v>8</v>
      </c>
      <c r="B162" s="173" t="str">
        <f t="shared" ref="B162:C162" si="20">B140</f>
        <v>บังใบข้าง (ขวา)</v>
      </c>
      <c r="C162" s="173" t="str">
        <f t="shared" si="20"/>
        <v>DOOR STOP JAMB (R)</v>
      </c>
      <c r="D162" s="509"/>
      <c r="E162" s="175">
        <f t="shared" ref="E162:E172" si="21">VLOOKUP(C162,$C$133:$H$153,3,0)</f>
        <v>0.23499999999999999</v>
      </c>
      <c r="F162" s="353">
        <f t="shared" ref="F162:F172" si="22">VLOOKUP(C162,$C$133:$I$153,7,0)</f>
        <v>2804</v>
      </c>
      <c r="G162" s="175">
        <f t="shared" ref="G162:G172" si="23">VLOOKUP(C162,$C$133:$J$153,8,0)</f>
        <v>1</v>
      </c>
      <c r="H162" s="516"/>
      <c r="I162" s="506"/>
      <c r="J162" s="506"/>
    </row>
    <row r="163" spans="1:23" s="1" customFormat="1" ht="13.8" outlineLevel="1">
      <c r="A163" s="18">
        <f t="shared" si="19"/>
        <v>9</v>
      </c>
      <c r="B163" s="173" t="str">
        <f t="shared" ref="B163:C163" si="24">B141</f>
        <v>ขวางบน</v>
      </c>
      <c r="C163" s="173" t="str">
        <f t="shared" si="24"/>
        <v>SASH (Hor) (T)</v>
      </c>
      <c r="D163" s="508" t="str">
        <f t="shared" ref="D163:D171" si="25">VLOOKUP(C163,$C$133:$H$153,2,0)</f>
        <v>B24007</v>
      </c>
      <c r="E163" s="175">
        <f t="shared" si="21"/>
        <v>1.1060000000000001</v>
      </c>
      <c r="F163" s="353">
        <f t="shared" si="22"/>
        <v>590.78571428571433</v>
      </c>
      <c r="G163" s="175">
        <f t="shared" si="23"/>
        <v>7</v>
      </c>
      <c r="H163" s="512">
        <f>ROUNDUP(((F163*G163)+(F164*G164)+(F165*G165)+(F166*G166)+(F167*G167)+(F168*G168))/6400,0)</f>
        <v>7</v>
      </c>
      <c r="I163" s="506"/>
      <c r="J163" s="506"/>
    </row>
    <row r="164" spans="1:23" s="1" customFormat="1" ht="13.8" outlineLevel="1">
      <c r="A164" s="18">
        <f t="shared" si="19"/>
        <v>10</v>
      </c>
      <c r="B164" s="173" t="str">
        <f t="shared" ref="B164:C164" si="26">B142</f>
        <v>ขวางล่าง</v>
      </c>
      <c r="C164" s="173" t="str">
        <f t="shared" si="26"/>
        <v>SASH (Hor) (B)</v>
      </c>
      <c r="D164" s="510"/>
      <c r="E164" s="175">
        <f t="shared" si="21"/>
        <v>1.1060000000000001</v>
      </c>
      <c r="F164" s="353">
        <f t="shared" si="22"/>
        <v>590.78571428571433</v>
      </c>
      <c r="G164" s="175">
        <f t="shared" si="23"/>
        <v>7</v>
      </c>
      <c r="H164" s="514"/>
      <c r="I164" s="506"/>
      <c r="J164" s="506"/>
    </row>
    <row r="165" spans="1:23" s="1" customFormat="1" ht="13.8" outlineLevel="1">
      <c r="A165" s="18">
        <f t="shared" si="19"/>
        <v>11</v>
      </c>
      <c r="B165" s="173" t="str">
        <f t="shared" ref="B165:C165" si="27">B143</f>
        <v>เสา</v>
      </c>
      <c r="C165" s="173" t="str">
        <f t="shared" si="27"/>
        <v xml:space="preserve">SASH (Ver) </v>
      </c>
      <c r="D165" s="510"/>
      <c r="E165" s="175">
        <f t="shared" si="21"/>
        <v>1.1060000000000001</v>
      </c>
      <c r="F165" s="353">
        <f t="shared" si="22"/>
        <v>2808</v>
      </c>
      <c r="G165" s="175">
        <f t="shared" si="23"/>
        <v>10</v>
      </c>
      <c r="H165" s="514"/>
      <c r="I165" s="506"/>
      <c r="J165" s="506"/>
    </row>
    <row r="166" spans="1:23" s="1" customFormat="1" ht="13.8" outlineLevel="1">
      <c r="A166" s="18">
        <f t="shared" si="19"/>
        <v>12</v>
      </c>
      <c r="B166" s="173" t="str">
        <f t="shared" ref="B166:C166" si="28">B144</f>
        <v>เสากุญแจ</v>
      </c>
      <c r="C166" s="173" t="str">
        <f t="shared" si="28"/>
        <v xml:space="preserve">SASH (Ver) LOCK </v>
      </c>
      <c r="D166" s="510"/>
      <c r="E166" s="175">
        <f t="shared" si="21"/>
        <v>1.1060000000000001</v>
      </c>
      <c r="F166" s="353">
        <f t="shared" si="22"/>
        <v>2808</v>
      </c>
      <c r="G166" s="175">
        <f t="shared" si="23"/>
        <v>1</v>
      </c>
      <c r="H166" s="514"/>
      <c r="I166" s="506"/>
      <c r="J166" s="506"/>
    </row>
    <row r="167" spans="1:23" s="1" customFormat="1" ht="13.8" outlineLevel="1">
      <c r="A167" s="18">
        <f t="shared" si="19"/>
        <v>13</v>
      </c>
      <c r="B167" s="173" t="str">
        <f t="shared" ref="B167:C167" si="29">B145</f>
        <v>เสากุญแจ</v>
      </c>
      <c r="C167" s="173" t="str">
        <f t="shared" si="29"/>
        <v xml:space="preserve">SASH (Ver) LOCK </v>
      </c>
      <c r="D167" s="510"/>
      <c r="E167" s="175">
        <f t="shared" si="21"/>
        <v>1.1060000000000001</v>
      </c>
      <c r="F167" s="353">
        <f t="shared" si="22"/>
        <v>2808</v>
      </c>
      <c r="G167" s="175">
        <f t="shared" si="23"/>
        <v>1</v>
      </c>
      <c r="H167" s="514"/>
      <c r="I167" s="506"/>
      <c r="J167" s="506"/>
    </row>
    <row r="168" spans="1:23" s="1" customFormat="1" ht="15" customHeight="1" outlineLevel="1">
      <c r="A168" s="18">
        <f t="shared" si="19"/>
        <v>14</v>
      </c>
      <c r="B168" s="173" t="str">
        <f t="shared" ref="B168:C168" si="30">B146</f>
        <v>เสากุญแจมือจับ</v>
      </c>
      <c r="C168" s="173" t="str">
        <f t="shared" si="30"/>
        <v>SASH (Ver) LOCK HANDLE</v>
      </c>
      <c r="D168" s="509"/>
      <c r="E168" s="175">
        <f t="shared" si="21"/>
        <v>1.1060000000000001</v>
      </c>
      <c r="F168" s="353">
        <f t="shared" si="22"/>
        <v>2808</v>
      </c>
      <c r="G168" s="175">
        <f t="shared" si="23"/>
        <v>1</v>
      </c>
      <c r="H168" s="515"/>
      <c r="I168" s="501"/>
      <c r="J168" s="501"/>
    </row>
    <row r="169" spans="1:23" s="1" customFormat="1" ht="13.8" outlineLevel="1">
      <c r="A169" s="18">
        <f t="shared" si="19"/>
        <v>15</v>
      </c>
      <c r="B169" s="173" t="str">
        <f t="shared" ref="B169:C169" si="31">B147</f>
        <v>8-12mm คิ้วตบกระจกแนวนอน</v>
      </c>
      <c r="C169" s="173" t="str">
        <f t="shared" si="31"/>
        <v>8-12mm GLAZING BEAD HORIZONTAL</v>
      </c>
      <c r="D169" s="508" t="str">
        <f t="shared" si="25"/>
        <v>B24016</v>
      </c>
      <c r="E169" s="175">
        <f t="shared" si="21"/>
        <v>0.215</v>
      </c>
      <c r="F169" s="353">
        <f t="shared" si="22"/>
        <v>590.78571428571433</v>
      </c>
      <c r="G169" s="175">
        <f t="shared" si="23"/>
        <v>14</v>
      </c>
      <c r="H169" s="516">
        <f>ROUNDUP(((F169*G169)+(F170*G170))/6400,0)</f>
        <v>8</v>
      </c>
      <c r="I169" s="232"/>
      <c r="J169" s="232"/>
    </row>
    <row r="170" spans="1:23" s="1" customFormat="1" ht="15" customHeight="1" outlineLevel="1">
      <c r="A170" s="18">
        <f t="shared" si="19"/>
        <v>16</v>
      </c>
      <c r="B170" s="173" t="str">
        <f t="shared" ref="B170:C170" si="32">B148</f>
        <v>8-12mm คิ้วตบกระจกแนวตั้ง</v>
      </c>
      <c r="C170" s="173" t="str">
        <f t="shared" si="32"/>
        <v>8-12mm GLAZING BEAD VERTICAL</v>
      </c>
      <c r="D170" s="509"/>
      <c r="E170" s="175">
        <f t="shared" si="21"/>
        <v>0.215</v>
      </c>
      <c r="F170" s="353">
        <f t="shared" si="22"/>
        <v>2658</v>
      </c>
      <c r="G170" s="175">
        <f t="shared" si="23"/>
        <v>14</v>
      </c>
      <c r="H170" s="516"/>
      <c r="I170" s="232"/>
      <c r="J170" s="232"/>
    </row>
    <row r="171" spans="1:23" s="1" customFormat="1" ht="13.8" outlineLevel="1">
      <c r="A171" s="18">
        <f t="shared" si="19"/>
        <v>17</v>
      </c>
      <c r="B171" s="173" t="str">
        <f t="shared" ref="B171:C171" si="33">B149</f>
        <v>บังใบ</v>
      </c>
      <c r="C171" s="173" t="str">
        <f t="shared" si="33"/>
        <v>SASH STOP</v>
      </c>
      <c r="D171" s="508" t="str">
        <f t="shared" si="25"/>
        <v>B24009</v>
      </c>
      <c r="E171" s="175">
        <f t="shared" si="21"/>
        <v>0</v>
      </c>
      <c r="F171" s="353">
        <f t="shared" si="22"/>
        <v>2808</v>
      </c>
      <c r="G171" s="175">
        <f t="shared" si="23"/>
        <v>1</v>
      </c>
      <c r="H171" s="516">
        <f>ROUNDUP(((F171*G171)+(F172*G172))/6400,0)</f>
        <v>1</v>
      </c>
      <c r="I171" s="232"/>
      <c r="J171" s="232"/>
    </row>
    <row r="172" spans="1:23" s="1" customFormat="1" outlineLevel="1" thickBot="1">
      <c r="A172" s="18">
        <f t="shared" si="19"/>
        <v>18</v>
      </c>
      <c r="B172" s="173" t="str">
        <f t="shared" ref="B172:C172" si="34">B150</f>
        <v>บังใบ</v>
      </c>
      <c r="C172" s="173" t="str">
        <f t="shared" si="34"/>
        <v>SASH STOP</v>
      </c>
      <c r="D172" s="511"/>
      <c r="E172" s="175">
        <f t="shared" si="21"/>
        <v>0</v>
      </c>
      <c r="F172" s="353">
        <f t="shared" si="22"/>
        <v>2808</v>
      </c>
      <c r="G172" s="175">
        <f t="shared" si="23"/>
        <v>1</v>
      </c>
      <c r="H172" s="516"/>
      <c r="I172" s="232"/>
      <c r="J172" s="232"/>
    </row>
    <row r="173" spans="1:23" s="1" customFormat="1" ht="24.9" customHeight="1" thickBot="1">
      <c r="A173" s="529" t="s">
        <v>9</v>
      </c>
      <c r="B173" s="530"/>
      <c r="C173" s="530"/>
      <c r="D173" s="530"/>
      <c r="E173" s="530"/>
      <c r="F173" s="530"/>
      <c r="G173" s="530"/>
      <c r="H173" s="530"/>
      <c r="I173" s="530"/>
      <c r="J173" s="531"/>
    </row>
    <row r="174" spans="1:23" s="1" customFormat="1" ht="35.1" customHeight="1" thickBot="1">
      <c r="A174" s="102" t="s">
        <v>2</v>
      </c>
      <c r="B174" s="103" t="s">
        <v>29</v>
      </c>
      <c r="C174" s="103" t="s">
        <v>3</v>
      </c>
      <c r="D174" s="103" t="s">
        <v>199</v>
      </c>
      <c r="E174" s="103" t="s">
        <v>5</v>
      </c>
      <c r="F174" s="104" t="s">
        <v>28</v>
      </c>
      <c r="G174" s="103" t="s">
        <v>19</v>
      </c>
      <c r="H174" s="104" t="s">
        <v>200</v>
      </c>
      <c r="I174" s="104" t="s">
        <v>20</v>
      </c>
      <c r="J174" s="115" t="s">
        <v>201</v>
      </c>
      <c r="N174" s="101" t="s">
        <v>191</v>
      </c>
      <c r="O174" s="246" t="s">
        <v>29</v>
      </c>
      <c r="P174" s="246" t="s">
        <v>3</v>
      </c>
      <c r="Q174" s="246" t="s">
        <v>199</v>
      </c>
      <c r="R174" s="246" t="s">
        <v>5</v>
      </c>
      <c r="S174" s="246" t="s">
        <v>28</v>
      </c>
      <c r="T174" s="246" t="s">
        <v>19</v>
      </c>
      <c r="U174" s="246" t="s">
        <v>200</v>
      </c>
      <c r="V174" s="246" t="s">
        <v>20</v>
      </c>
      <c r="W174" s="246" t="s">
        <v>201</v>
      </c>
    </row>
    <row r="175" spans="1:23" s="1" customFormat="1" ht="18" customHeight="1">
      <c r="A175" s="200">
        <f>IF(B175="","",1)</f>
        <v>1</v>
      </c>
      <c r="B175" s="140" t="s">
        <v>111</v>
      </c>
      <c r="C175" s="140" t="s">
        <v>67</v>
      </c>
      <c r="D175" s="139" t="s">
        <v>74</v>
      </c>
      <c r="E175" s="143"/>
      <c r="F175" s="143" t="s">
        <v>74</v>
      </c>
      <c r="G175" s="143" t="s">
        <v>202</v>
      </c>
      <c r="H175" s="143">
        <v>14</v>
      </c>
      <c r="I175" s="130"/>
      <c r="J175" s="131">
        <f>$J$120*H175</f>
        <v>14</v>
      </c>
      <c r="N175" s="101" t="s">
        <v>226</v>
      </c>
      <c r="O175" s="280" t="s">
        <v>252</v>
      </c>
      <c r="P175" s="290" t="s">
        <v>248</v>
      </c>
      <c r="Q175" s="280" t="s">
        <v>69</v>
      </c>
      <c r="R175" s="213"/>
      <c r="S175" s="213" t="s">
        <v>69</v>
      </c>
      <c r="T175" s="213" t="s">
        <v>198</v>
      </c>
      <c r="U175" s="291">
        <f>((($I$141*$G$141)+($I$142*$G$142)+($I$143*$G$143)+($I$144*$G$144)+($I$145*$G$145)+($I$146*$G$146))/1000)*$J$120</f>
        <v>47.582999999999998</v>
      </c>
      <c r="V175" s="291">
        <v>100</v>
      </c>
      <c r="W175" s="292">
        <f>ROUNDUP((U175)/100,0)</f>
        <v>1</v>
      </c>
    </row>
    <row r="176" spans="1:23" s="1" customFormat="1" ht="18" customHeight="1">
      <c r="A176" s="201">
        <f>IF(B176="","",+A175+1)</f>
        <v>2</v>
      </c>
      <c r="B176" s="140" t="s">
        <v>106</v>
      </c>
      <c r="C176" s="140" t="s">
        <v>503</v>
      </c>
      <c r="D176" s="139" t="s">
        <v>75</v>
      </c>
      <c r="E176" s="143"/>
      <c r="F176" s="143" t="s">
        <v>75</v>
      </c>
      <c r="G176" s="143" t="s">
        <v>202</v>
      </c>
      <c r="H176" s="143">
        <v>2</v>
      </c>
      <c r="I176" s="130"/>
      <c r="J176" s="131">
        <f t="shared" ref="J176:J197" si="35">$J$120*H176</f>
        <v>2</v>
      </c>
      <c r="N176" s="101" t="s">
        <v>230</v>
      </c>
      <c r="O176" s="280" t="s">
        <v>253</v>
      </c>
      <c r="P176" s="290" t="s">
        <v>249</v>
      </c>
      <c r="Q176" s="280" t="s">
        <v>188</v>
      </c>
      <c r="R176" s="213"/>
      <c r="S176" s="213" t="s">
        <v>188</v>
      </c>
      <c r="T176" s="213" t="s">
        <v>198</v>
      </c>
      <c r="U176" s="291">
        <f>((($I$141*$G$141)+($I$142*$G$142)+($I$143*$G$143)+($I$144*$G$144)+($I$145*$G$145)+($I$146*$G$146))/1000)*$J$120</f>
        <v>47.582999999999998</v>
      </c>
      <c r="V176" s="291">
        <v>100</v>
      </c>
      <c r="W176" s="292">
        <f t="shared" ref="W176:W178" si="36">ROUNDUP((U176)/100,0)</f>
        <v>1</v>
      </c>
    </row>
    <row r="177" spans="1:23" s="1" customFormat="1" ht="18" customHeight="1">
      <c r="A177" s="201">
        <f t="shared" ref="A177:A204" si="37">IF(B177="","",+A176+1)</f>
        <v>3</v>
      </c>
      <c r="B177" s="140" t="s">
        <v>107</v>
      </c>
      <c r="C177" s="140" t="s">
        <v>504</v>
      </c>
      <c r="D177" s="139" t="s">
        <v>76</v>
      </c>
      <c r="E177" s="143"/>
      <c r="F177" s="143" t="s">
        <v>76</v>
      </c>
      <c r="G177" s="143" t="s">
        <v>202</v>
      </c>
      <c r="H177" s="143">
        <v>2</v>
      </c>
      <c r="I177" s="130"/>
      <c r="J177" s="131">
        <f t="shared" si="35"/>
        <v>2</v>
      </c>
      <c r="N177" s="101" t="s">
        <v>229</v>
      </c>
      <c r="O177" s="290" t="s">
        <v>254</v>
      </c>
      <c r="P177" s="290" t="s">
        <v>250</v>
      </c>
      <c r="Q177" s="280" t="s">
        <v>70</v>
      </c>
      <c r="R177" s="213"/>
      <c r="S177" s="213" t="s">
        <v>70</v>
      </c>
      <c r="T177" s="213" t="s">
        <v>198</v>
      </c>
      <c r="U177" s="291">
        <f>((($I$141*$G$141)+($I$142*$G$142)+($I$143*$G$143)+($I$144*$G$144)+($I$145*$G$145)+($I$146*$G$146))/1000)*$J$120</f>
        <v>47.582999999999998</v>
      </c>
      <c r="V177" s="291">
        <v>100</v>
      </c>
      <c r="W177" s="292">
        <f t="shared" si="36"/>
        <v>1</v>
      </c>
    </row>
    <row r="178" spans="1:23" s="1" customFormat="1" ht="18" customHeight="1">
      <c r="A178" s="201">
        <f t="shared" si="37"/>
        <v>4</v>
      </c>
      <c r="B178" s="140" t="s">
        <v>108</v>
      </c>
      <c r="C178" s="140" t="s">
        <v>10</v>
      </c>
      <c r="D178" s="139">
        <v>9</v>
      </c>
      <c r="E178" s="143"/>
      <c r="F178" s="143">
        <v>9</v>
      </c>
      <c r="G178" s="143" t="s">
        <v>202</v>
      </c>
      <c r="H178" s="143">
        <v>8</v>
      </c>
      <c r="I178" s="130"/>
      <c r="J178" s="131">
        <f t="shared" si="35"/>
        <v>8</v>
      </c>
      <c r="N178" s="101" t="s">
        <v>231</v>
      </c>
      <c r="O178" s="290" t="s">
        <v>255</v>
      </c>
      <c r="P178" s="290" t="s">
        <v>251</v>
      </c>
      <c r="Q178" s="280" t="s">
        <v>189</v>
      </c>
      <c r="R178" s="213"/>
      <c r="S178" s="213" t="s">
        <v>189</v>
      </c>
      <c r="T178" s="213" t="s">
        <v>198</v>
      </c>
      <c r="U178" s="291">
        <f>((($I$141*$G$141)+($I$142*$G$142)+($I$143*$G$143)+($I$144*$G$144)+($I$145*$G$145)+($I$146*$G$146))/1000)*$J$120</f>
        <v>47.582999999999998</v>
      </c>
      <c r="V178" s="291">
        <v>100</v>
      </c>
      <c r="W178" s="292">
        <f t="shared" si="36"/>
        <v>1</v>
      </c>
    </row>
    <row r="179" spans="1:23" s="1" customFormat="1" ht="18" customHeight="1">
      <c r="A179" s="201">
        <f t="shared" si="37"/>
        <v>5</v>
      </c>
      <c r="B179" s="140" t="s">
        <v>109</v>
      </c>
      <c r="C179" s="140" t="s">
        <v>68</v>
      </c>
      <c r="D179" s="139">
        <v>9</v>
      </c>
      <c r="E179" s="143"/>
      <c r="F179" s="143">
        <v>9</v>
      </c>
      <c r="G179" s="143" t="s">
        <v>202</v>
      </c>
      <c r="H179" s="143">
        <v>110</v>
      </c>
      <c r="I179" s="130"/>
      <c r="J179" s="131">
        <f t="shared" si="35"/>
        <v>110</v>
      </c>
      <c r="N179" s="101" t="s">
        <v>232</v>
      </c>
      <c r="O179" s="290" t="s">
        <v>256</v>
      </c>
      <c r="P179" s="290" t="s">
        <v>247</v>
      </c>
      <c r="Q179" s="280" t="s">
        <v>233</v>
      </c>
      <c r="R179" s="213"/>
      <c r="S179" s="213" t="s">
        <v>233</v>
      </c>
      <c r="T179" s="213" t="s">
        <v>198</v>
      </c>
      <c r="U179" s="291">
        <f>((($I$141*$G$141)+($I$142*$G$142)+($I$143*$G$143)+($I$144*$G$144)+($I$145*$G$145)+($I$146*$G$146))/1000)*$J$120</f>
        <v>47.582999999999998</v>
      </c>
      <c r="V179" s="291">
        <v>100</v>
      </c>
      <c r="W179" s="292">
        <f>ROUNDUP((U179)/100,0)</f>
        <v>1</v>
      </c>
    </row>
    <row r="180" spans="1:23" s="1" customFormat="1" ht="18" customHeight="1">
      <c r="A180" s="201">
        <f t="shared" si="37"/>
        <v>6</v>
      </c>
      <c r="B180" s="140" t="s">
        <v>143</v>
      </c>
      <c r="C180" s="140" t="s">
        <v>121</v>
      </c>
      <c r="D180" s="139" t="s">
        <v>103</v>
      </c>
      <c r="E180" s="143"/>
      <c r="F180" s="143" t="s">
        <v>103</v>
      </c>
      <c r="G180" s="143" t="s">
        <v>185</v>
      </c>
      <c r="H180" s="143">
        <v>3</v>
      </c>
      <c r="I180" s="130"/>
      <c r="J180" s="131">
        <f>$J$120*H180</f>
        <v>3</v>
      </c>
    </row>
    <row r="181" spans="1:23" s="1" customFormat="1" ht="18" customHeight="1">
      <c r="A181" s="201">
        <f t="shared" si="37"/>
        <v>7</v>
      </c>
      <c r="B181" s="140" t="s">
        <v>118</v>
      </c>
      <c r="C181" s="140" t="s">
        <v>77</v>
      </c>
      <c r="D181" s="139" t="s">
        <v>80</v>
      </c>
      <c r="E181" s="143"/>
      <c r="F181" s="143" t="s">
        <v>80</v>
      </c>
      <c r="G181" s="143" t="s">
        <v>185</v>
      </c>
      <c r="H181" s="143">
        <v>1</v>
      </c>
      <c r="I181" s="130"/>
      <c r="J181" s="131">
        <f t="shared" si="35"/>
        <v>1</v>
      </c>
    </row>
    <row r="182" spans="1:23" s="1" customFormat="1" ht="18" customHeight="1">
      <c r="A182" s="201">
        <f t="shared" si="37"/>
        <v>8</v>
      </c>
      <c r="B182" s="140" t="s">
        <v>120</v>
      </c>
      <c r="C182" s="140" t="s">
        <v>94</v>
      </c>
      <c r="D182" s="139" t="s">
        <v>96</v>
      </c>
      <c r="E182" s="143"/>
      <c r="F182" s="143" t="s">
        <v>96</v>
      </c>
      <c r="G182" s="143" t="s">
        <v>185</v>
      </c>
      <c r="H182" s="143">
        <v>1</v>
      </c>
      <c r="I182" s="130"/>
      <c r="J182" s="131">
        <f t="shared" si="35"/>
        <v>1</v>
      </c>
    </row>
    <row r="183" spans="1:23" s="1" customFormat="1" ht="18" customHeight="1">
      <c r="A183" s="201">
        <f t="shared" si="37"/>
        <v>9</v>
      </c>
      <c r="B183" s="140" t="s">
        <v>131</v>
      </c>
      <c r="C183" s="140" t="s">
        <v>100</v>
      </c>
      <c r="D183" s="139" t="s">
        <v>102</v>
      </c>
      <c r="E183" s="143"/>
      <c r="F183" s="143" t="s">
        <v>102</v>
      </c>
      <c r="G183" s="143" t="s">
        <v>185</v>
      </c>
      <c r="H183" s="143">
        <v>2</v>
      </c>
      <c r="I183" s="130"/>
      <c r="J183" s="131">
        <f t="shared" si="35"/>
        <v>2</v>
      </c>
    </row>
    <row r="184" spans="1:23" s="1" customFormat="1" ht="18" customHeight="1">
      <c r="A184" s="201">
        <f t="shared" si="37"/>
        <v>10</v>
      </c>
      <c r="B184" s="140" t="s">
        <v>119</v>
      </c>
      <c r="C184" s="140" t="s">
        <v>95</v>
      </c>
      <c r="D184" s="139" t="s">
        <v>97</v>
      </c>
      <c r="E184" s="143"/>
      <c r="F184" s="143" t="s">
        <v>97</v>
      </c>
      <c r="G184" s="143" t="s">
        <v>185</v>
      </c>
      <c r="H184" s="143">
        <v>1</v>
      </c>
      <c r="I184" s="144"/>
      <c r="J184" s="131">
        <f t="shared" si="35"/>
        <v>1</v>
      </c>
      <c r="N184" s="56"/>
      <c r="O184" s="56"/>
      <c r="P184" s="56"/>
      <c r="Q184" s="289"/>
      <c r="R184" s="289"/>
      <c r="S184" s="289"/>
      <c r="T184" s="17"/>
      <c r="U184" s="17"/>
      <c r="V184" s="17"/>
      <c r="W184" s="56"/>
    </row>
    <row r="185" spans="1:23" s="1" customFormat="1" ht="18" customHeight="1">
      <c r="A185" s="201">
        <f t="shared" si="37"/>
        <v>11</v>
      </c>
      <c r="B185" s="140" t="s">
        <v>113</v>
      </c>
      <c r="C185" s="140" t="s">
        <v>502</v>
      </c>
      <c r="D185" s="139" t="s">
        <v>83</v>
      </c>
      <c r="E185" s="143"/>
      <c r="F185" s="143" t="s">
        <v>83</v>
      </c>
      <c r="G185" s="143" t="s">
        <v>185</v>
      </c>
      <c r="H185" s="143">
        <v>3</v>
      </c>
      <c r="I185" s="144"/>
      <c r="J185" s="131">
        <f t="shared" si="35"/>
        <v>3</v>
      </c>
      <c r="N185" s="101" t="s">
        <v>227</v>
      </c>
      <c r="O185" s="246" t="s">
        <v>29</v>
      </c>
      <c r="P185" s="246" t="s">
        <v>3</v>
      </c>
      <c r="Q185" s="246" t="s">
        <v>199</v>
      </c>
      <c r="R185" s="246" t="s">
        <v>5</v>
      </c>
      <c r="S185" s="246" t="s">
        <v>28</v>
      </c>
      <c r="T185" s="246" t="s">
        <v>19</v>
      </c>
      <c r="U185" s="246" t="s">
        <v>200</v>
      </c>
      <c r="V185" s="246" t="s">
        <v>20</v>
      </c>
      <c r="W185" s="246" t="s">
        <v>201</v>
      </c>
    </row>
    <row r="186" spans="1:23" s="1" customFormat="1" ht="18" customHeight="1">
      <c r="A186" s="201">
        <f t="shared" si="37"/>
        <v>12</v>
      </c>
      <c r="B186" s="140" t="s">
        <v>122</v>
      </c>
      <c r="C186" s="140" t="s">
        <v>101</v>
      </c>
      <c r="D186" s="139" t="s">
        <v>104</v>
      </c>
      <c r="E186" s="143"/>
      <c r="F186" s="143" t="s">
        <v>104</v>
      </c>
      <c r="G186" s="143" t="s">
        <v>185</v>
      </c>
      <c r="H186" s="143">
        <v>1</v>
      </c>
      <c r="I186" s="144"/>
      <c r="J186" s="131">
        <f t="shared" si="35"/>
        <v>1</v>
      </c>
      <c r="N186" s="101" t="s">
        <v>240</v>
      </c>
      <c r="O186" s="290" t="s">
        <v>234</v>
      </c>
      <c r="P186" s="290" t="s">
        <v>236</v>
      </c>
      <c r="Q186" s="280" t="s">
        <v>190</v>
      </c>
      <c r="R186" s="213"/>
      <c r="S186" s="213" t="s">
        <v>190</v>
      </c>
      <c r="T186" s="213" t="s">
        <v>198</v>
      </c>
      <c r="U186" s="291">
        <f>((($I$134*$G$134)+($I$136*$G$136)+($I$139*$G$139))/1000)*$J$120</f>
        <v>12.657999999999999</v>
      </c>
      <c r="V186" s="291">
        <v>300</v>
      </c>
      <c r="W186" s="292">
        <f>ROUNDUP((U186)/V186,0)</f>
        <v>1</v>
      </c>
    </row>
    <row r="187" spans="1:23" s="1" customFormat="1" ht="18" customHeight="1">
      <c r="A187" s="201">
        <f t="shared" si="37"/>
        <v>13</v>
      </c>
      <c r="B187" s="140" t="s">
        <v>112</v>
      </c>
      <c r="C187" s="140" t="s">
        <v>114</v>
      </c>
      <c r="D187" s="128" t="s">
        <v>520</v>
      </c>
      <c r="E187" s="129"/>
      <c r="F187" s="129" t="s">
        <v>520</v>
      </c>
      <c r="G187" s="143" t="s">
        <v>202</v>
      </c>
      <c r="H187" s="143">
        <v>6</v>
      </c>
      <c r="I187" s="130"/>
      <c r="J187" s="131">
        <f t="shared" si="35"/>
        <v>6</v>
      </c>
      <c r="N187" s="101" t="s">
        <v>241</v>
      </c>
      <c r="O187" s="290" t="s">
        <v>235</v>
      </c>
      <c r="P187" s="290" t="s">
        <v>238</v>
      </c>
      <c r="Q187" s="280" t="s">
        <v>71</v>
      </c>
      <c r="R187" s="213"/>
      <c r="S187" s="213" t="s">
        <v>71</v>
      </c>
      <c r="T187" s="213" t="s">
        <v>198</v>
      </c>
      <c r="U187" s="291">
        <f>((($I$134*$G$134)+($I$136*$G$136)+($I$139*$G$139))/1000)*$J$120</f>
        <v>12.657999999999999</v>
      </c>
      <c r="V187" s="291">
        <v>100</v>
      </c>
      <c r="W187" s="292">
        <f t="shared" ref="W187:W189" si="38">ROUNDUP((U187)/V187,0)</f>
        <v>1</v>
      </c>
    </row>
    <row r="188" spans="1:23" s="1" customFormat="1" ht="18" customHeight="1">
      <c r="A188" s="201">
        <f t="shared" si="37"/>
        <v>14</v>
      </c>
      <c r="B188" s="140" t="s">
        <v>115</v>
      </c>
      <c r="C188" s="140" t="s">
        <v>45</v>
      </c>
      <c r="D188" s="139" t="s">
        <v>84</v>
      </c>
      <c r="E188" s="143"/>
      <c r="F188" s="143" t="s">
        <v>84</v>
      </c>
      <c r="G188" s="143" t="s">
        <v>202</v>
      </c>
      <c r="H188" s="143">
        <v>1</v>
      </c>
      <c r="I188" s="130"/>
      <c r="J188" s="131">
        <f t="shared" si="35"/>
        <v>1</v>
      </c>
      <c r="N188" s="101" t="s">
        <v>240</v>
      </c>
      <c r="O188" s="290" t="s">
        <v>245</v>
      </c>
      <c r="P188" s="290" t="s">
        <v>237</v>
      </c>
      <c r="Q188" s="280" t="s">
        <v>72</v>
      </c>
      <c r="R188" s="213"/>
      <c r="S188" s="213" t="s">
        <v>72</v>
      </c>
      <c r="T188" s="213" t="s">
        <v>198</v>
      </c>
      <c r="U188" s="291">
        <f>((($I$141*$G$141*2)+($I$143*$G$143*2)+($I$145*$G$145*2))/1000)*$J$120</f>
        <v>75.662999999999997</v>
      </c>
      <c r="V188" s="291">
        <v>350</v>
      </c>
      <c r="W188" s="292">
        <f t="shared" si="38"/>
        <v>1</v>
      </c>
    </row>
    <row r="189" spans="1:23" s="1" customFormat="1" ht="18" customHeight="1">
      <c r="A189" s="201">
        <f t="shared" si="37"/>
        <v>15</v>
      </c>
      <c r="B189" s="140" t="s">
        <v>110</v>
      </c>
      <c r="C189" s="140" t="s">
        <v>66</v>
      </c>
      <c r="D189" s="139" t="s">
        <v>73</v>
      </c>
      <c r="E189" s="143"/>
      <c r="F189" s="143" t="s">
        <v>73</v>
      </c>
      <c r="G189" s="143" t="s">
        <v>202</v>
      </c>
      <c r="H189" s="143">
        <v>2</v>
      </c>
      <c r="I189" s="130"/>
      <c r="J189" s="131">
        <f>$J$120*H189</f>
        <v>2</v>
      </c>
      <c r="N189" s="101" t="s">
        <v>241</v>
      </c>
      <c r="O189" s="290" t="s">
        <v>246</v>
      </c>
      <c r="P189" s="290" t="s">
        <v>239</v>
      </c>
      <c r="Q189" s="280" t="s">
        <v>193</v>
      </c>
      <c r="R189" s="213"/>
      <c r="S189" s="213" t="s">
        <v>193</v>
      </c>
      <c r="T189" s="213" t="s">
        <v>198</v>
      </c>
      <c r="U189" s="291">
        <f>((($I$141*$G$141*2)+($I$143*$G$143*2)+($I$145*$G$145*2))/1000)*$J$120</f>
        <v>75.662999999999997</v>
      </c>
      <c r="V189" s="291">
        <v>100</v>
      </c>
      <c r="W189" s="292">
        <f t="shared" si="38"/>
        <v>1</v>
      </c>
    </row>
    <row r="190" spans="1:23" s="1" customFormat="1" ht="18" customHeight="1">
      <c r="A190" s="201">
        <f t="shared" si="37"/>
        <v>16</v>
      </c>
      <c r="B190" s="140" t="s">
        <v>512</v>
      </c>
      <c r="C190" s="140" t="s">
        <v>135</v>
      </c>
      <c r="D190" s="139" t="s">
        <v>137</v>
      </c>
      <c r="E190" s="143"/>
      <c r="F190" s="143" t="s">
        <v>137</v>
      </c>
      <c r="G190" s="143" t="s">
        <v>198</v>
      </c>
      <c r="H190" s="261">
        <f>((($I$149*$G$149)+($I$150*$G$150))/1000)*$J$120</f>
        <v>5.6159999999999997</v>
      </c>
      <c r="I190" s="258">
        <v>100</v>
      </c>
      <c r="J190" s="267">
        <f t="shared" ref="J190:J195" si="39">ROUNDUP((H190)/100,0)</f>
        <v>1</v>
      </c>
    </row>
    <row r="191" spans="1:23" s="1" customFormat="1" ht="18" customHeight="1">
      <c r="A191" s="201">
        <f t="shared" si="37"/>
        <v>17</v>
      </c>
      <c r="B191" s="140" t="s">
        <v>513</v>
      </c>
      <c r="C191" s="140" t="s">
        <v>136</v>
      </c>
      <c r="D191" s="139" t="s">
        <v>138</v>
      </c>
      <c r="E191" s="143"/>
      <c r="F191" s="143" t="s">
        <v>138</v>
      </c>
      <c r="G191" s="143" t="s">
        <v>198</v>
      </c>
      <c r="H191" s="261">
        <f>((($I$144*$G$144)+(I146*G146))/1000)*$J$120</f>
        <v>5.6159999999999997</v>
      </c>
      <c r="I191" s="258">
        <v>100</v>
      </c>
      <c r="J191" s="267">
        <f t="shared" si="39"/>
        <v>1</v>
      </c>
    </row>
    <row r="192" spans="1:23" s="1" customFormat="1" ht="18" customHeight="1">
      <c r="A192" s="201">
        <f t="shared" si="37"/>
        <v>18</v>
      </c>
      <c r="B192" s="139" t="str">
        <f>IF($D$129="Standard",$O$186,IF($D$129="Soumdproof",$O$187,))</f>
        <v>ยางเฟรมกันน้ำ (ธรรมดา)</v>
      </c>
      <c r="C192" s="139" t="str">
        <f>IF($D$129="Standard",$P$186,IF($D$129="Soumdproof",$P$187,))</f>
        <v>FRAME SEAL (Standard)</v>
      </c>
      <c r="D192" s="139" t="str">
        <f>IF($D$129="Standard",$Q$186,IF($D$129="Soumdproof",$Q$187,))</f>
        <v>02-026</v>
      </c>
      <c r="E192" s="143">
        <f>IF($D$129="Standard",R190,IF($D$129="Soumdproof",R191,))</f>
        <v>0</v>
      </c>
      <c r="F192" s="143" t="str">
        <f>IF($D$129="Standard",$S$186,IF($D$129="Soumdproof",$S$187,))</f>
        <v>02-026</v>
      </c>
      <c r="G192" s="143" t="str">
        <f>IF($D$129="Standard",$T$186,IF($D$129="Soumdproof",$T$187,))</f>
        <v>M</v>
      </c>
      <c r="H192" s="261">
        <f>IF($D$129="Standard",$U$186,IF($D$129="Soumdproof",$U$187,))</f>
        <v>12.657999999999999</v>
      </c>
      <c r="I192" s="258">
        <f>IF($D$129="Standard",$V$186,IF($D$129="Soumdproof",$V$187,))</f>
        <v>300</v>
      </c>
      <c r="J192" s="267">
        <f t="shared" si="39"/>
        <v>1</v>
      </c>
    </row>
    <row r="193" spans="1:23" s="1" customFormat="1" ht="18" customHeight="1">
      <c r="A193" s="201">
        <f t="shared" si="37"/>
        <v>19</v>
      </c>
      <c r="B193" s="139" t="str">
        <f>IF($D$129="Standard",$O$188,IF($D$129="Soumdproof",$O$189,))</f>
        <v>ยางแซชกันน้ำ (ธรรมดา)</v>
      </c>
      <c r="C193" s="139" t="str">
        <f>IF($D$129="Standard",$P$188,IF($D$129="Soumdproof",$P$189,))</f>
        <v>SASH SEAL FOAM (Standard)</v>
      </c>
      <c r="D193" s="139" t="str">
        <f>IF($D$129="Standard",$Q$188,IF($D$129="Soumdproof",$Q$189,))</f>
        <v>02-031</v>
      </c>
      <c r="E193" s="143">
        <f>IF($D$129="Standard",R192,IF($D$129="Soumdproof",R193,))</f>
        <v>0</v>
      </c>
      <c r="F193" s="143" t="str">
        <f>IF($D$129="Standard",$S$188,IF($D$129="Soumdproof",$S$189,))</f>
        <v>02-031</v>
      </c>
      <c r="G193" s="143" t="str">
        <f>IF($D$129="Standard",$T$188,IF($D$129="Soumdproof",$T$189,))</f>
        <v>M</v>
      </c>
      <c r="H193" s="261">
        <f>IF($D$129="Standard",$U$188,IF($D$129="Soumdproof",$U$189,))</f>
        <v>75.662999999999997</v>
      </c>
      <c r="I193" s="258">
        <f>IF($D$129="Standard",$V$188,IF($D$129="Soumdproof",$V$189,))</f>
        <v>350</v>
      </c>
      <c r="J193" s="267">
        <f t="shared" si="39"/>
        <v>1</v>
      </c>
    </row>
    <row r="194" spans="1:23" s="1" customFormat="1" ht="18" customHeight="1">
      <c r="A194" s="201">
        <f t="shared" si="37"/>
        <v>20</v>
      </c>
      <c r="B194" s="241" t="str">
        <f>IF($D$127=5,$O$177,IF($D$127=6,$O$178,IF($D$127=8,$O$179,IF($D$127=10,$O$177,IF($D$127=12,$O$177,IF($D$127=14,$O$179,IF($D$127=18,$O$177,IF($D$127=20,$O$178,IF($D$127=22,"")))))))))</f>
        <v>8,14 mm ยางอัดกระจก</v>
      </c>
      <c r="C194" s="241" t="str">
        <f>IF($D$127=5,$P$177,IF($D$127=6,$P$178,IF($D$127=8,$P$179,IF($D$127=10,$P$177,IF($D$127=12,$P$177,IF($D$127=14,$P$179,IF($D$127=18,$P$177,IF($D$127=20,$P$178,IF($D$127=22,"")))))))))</f>
        <v>8,14 mm ROLL IN WEDGE</v>
      </c>
      <c r="D194" s="241" t="str">
        <f>IF($D$127=5,$Q$177,IF($D$127=6,$Q$178,IF($D$127=8,$Q$179,IF($D$127=10,$Q$177,IF($D$127=12,$Q$177,IF($D$127=14,$Q$179,IF($D$127=18,$Q$177,IF($D$127=20,$Q$178,IF($D$127=22,"")))))))))</f>
        <v>02-045</v>
      </c>
      <c r="E194" s="241">
        <f>IF($D$127=5,R181,IF($D$127=6,R182,IF($D$127=8,R183,IF($D$127=10,R181,IF($D$127=12,R181,IF($D$127=14,R183,IF($D$127=18,R181,IF($D$127=20,R182,IF($D$127=22,"",)))))))))</f>
        <v>0</v>
      </c>
      <c r="F194" s="242" t="str">
        <f>IF($D$127=5,$S$177,IF($D$127=6,$S$178,IF($D$127=8,$S$179,IF($D$127=10,$S$177,IF($D$127=12,$S$177,IF($D$127=14,$S$179,IF($D$127=18,$S$177,IF($D$127=20,$S$178,IF($D$127=22,"")))))))))</f>
        <v>02-045</v>
      </c>
      <c r="G194" s="242" t="str">
        <f>IF($D$127=5,$T$177,IF($D$127=6,$T$178,IF($D$127=8,$T$179,IF($D$127=10,$T$177,IF($D$127=12,$T$177,IF($D$127=14,$T$179,IF($D$127=18,$T$177,IF($D$127=20,$T$178,IF($D$127=22,"")))))))))</f>
        <v>M</v>
      </c>
      <c r="H194" s="261">
        <f>IF($D$127=5,$U$177,IF($D$127=6,$U$178,IF($D$127=8,$U$179,IF($D$127=10,$U$177*2,IF($D$127=12,$U$177,IF($D$127=14,$U$179*2,IF($D$127=18,$U$177,IF($D$127=20,$U$178,IF($D$127=22,"")))))))))</f>
        <v>47.582999999999998</v>
      </c>
      <c r="I194" s="258">
        <f>IF($D$127=5,$V$177,IF($D$127=6,$V$178,IF($D$127=8,$V$179,IF($D$127=10,$V$177,IF($D$127=12,$V$177,IF($D$127=14,$V$179,IF($D$127=18,$V$177,IF($D$127=20,$V$178,IF($D$127=22,"")))))))))</f>
        <v>100</v>
      </c>
      <c r="J194" s="267">
        <f t="shared" si="39"/>
        <v>1</v>
      </c>
    </row>
    <row r="195" spans="1:23" ht="18" customHeight="1">
      <c r="A195" s="201">
        <f t="shared" si="37"/>
        <v>21</v>
      </c>
      <c r="B195" s="241" t="str">
        <f>IF($D$127=5,$O$175,IF($D$127=6,$O$175,IF($D$127=8,$O$177,IF($D$127=10,"",IF($D$127=12,$O$176,IF($D$127=14,"",IF($D$127=18,$O$175,IF($D$127=20,$O$176,IF($D$127=22,"",)))))))))</f>
        <v>5,8,10,12,18 mmยางอัดกระจก</v>
      </c>
      <c r="C195" s="241" t="str">
        <f>IF($D$127=5,$P$175,IF($D$127=6,$P$175,IF($D$127=8,$P$177,IF($D$127=10,"",IF($D$127=12,$P$176,IF($D$127=14,"",IF($D$127=18,$P$175,IF($D$127=20,$P$176,IF($D$127=22,"",)))))))))</f>
        <v>5,8,10,12,18 mm ROLL IN WEDGE</v>
      </c>
      <c r="D195" s="241" t="str">
        <f>IF($D$127=5,$Q$175,IF($D$127=6,$Q$175,IF($D$127=8,$Q$177,IF($D$127=10,"",IF($D$127=12,$Q$176,IF($D$127=14,"",IF($D$127=18,$Q$175,IF($D$127=20,$Q$176,IF($D$127=22,"",)))))))))</f>
        <v>02-033</v>
      </c>
      <c r="E195" s="241">
        <f>IF($D$127=5,R179,IF($D$127=6,R179,IF($D$127=8,R181,IF($D$127=10,"",IF($D$127=12,R180,IF($D$127=14,"",IF($D$127=18,R179,IF($D$127=20,R180,IF($D$127=22,"",)))))))))</f>
        <v>0</v>
      </c>
      <c r="F195" s="242" t="str">
        <f>IF($D$127=5,$S$175,IF($D$127=6,$S$175,IF($D$127=8,$S$177,IF($D$127=10,"",IF($D$127=12,$S$176,IF($D$127=14,"",IF($D$127=18,$S$175,IF($D$127=20,$S$176,IF($D$127=22,"",)))))))))</f>
        <v>02-033</v>
      </c>
      <c r="G195" s="242" t="str">
        <f>IF($D$127=5,$T$175,IF($D$127=6,$T$175,IF($D$127=8,$T$177,IF($D$127=10,"",IF($D$127=12,$T$176,IF($D$127=14,"",IF($D$127=18,$T$175,IF($D$127=20,$T$176,IF($D$127=22,"",)))))))))</f>
        <v>M</v>
      </c>
      <c r="H195" s="261">
        <f>IF($D$127=5,$U$175,IF($D$127=6,$U$175,IF($D$127=8,$U$177,IF($D$127=10,"",IF($D$127=12,$U$176,IF($D$127=14,"",IF($D$127=18,$U$175,IF($D$127=20,$U$176,IF($D$127=22,"")))))))))</f>
        <v>47.582999999999998</v>
      </c>
      <c r="I195" s="258">
        <f>IF($D$127=5,$V$175,IF($D$127=6,$V$175,IF($D$127=8,$V$177,IF($D$127=10,"",IF($D$127=12,$V$176,IF($D$127=14,"",IF($D$127=18,$V$175,IF($D$127=20,$V$176,IF($D$127=22,"",)))))))))</f>
        <v>100</v>
      </c>
      <c r="J195" s="267">
        <f t="shared" si="39"/>
        <v>1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s="1" customFormat="1" ht="18" customHeight="1">
      <c r="A196" s="201" t="str">
        <f t="shared" si="37"/>
        <v/>
      </c>
      <c r="B196" s="140"/>
      <c r="C196" s="140"/>
      <c r="D196" s="139"/>
      <c r="E196" s="143"/>
      <c r="F196" s="143"/>
      <c r="G196" s="143"/>
      <c r="H196" s="143"/>
      <c r="I196" s="130"/>
      <c r="J196" s="131"/>
    </row>
    <row r="197" spans="1:23" s="1" customFormat="1" ht="18" customHeight="1">
      <c r="A197" s="201" t="str">
        <f t="shared" si="37"/>
        <v/>
      </c>
      <c r="B197" s="140"/>
      <c r="C197" s="140"/>
      <c r="D197" s="139"/>
      <c r="E197" s="143"/>
      <c r="F197" s="143"/>
      <c r="G197" s="143"/>
      <c r="H197" s="143"/>
      <c r="I197" s="130"/>
      <c r="J197" s="131">
        <f t="shared" si="35"/>
        <v>0</v>
      </c>
    </row>
    <row r="198" spans="1:23" s="1" customFormat="1" ht="18" customHeight="1">
      <c r="A198" s="201" t="str">
        <f t="shared" si="37"/>
        <v/>
      </c>
      <c r="B198" s="140"/>
      <c r="C198" s="140"/>
      <c r="D198" s="139"/>
      <c r="E198" s="143"/>
      <c r="F198" s="143"/>
      <c r="G198" s="143"/>
      <c r="H198" s="143"/>
      <c r="I198" s="130"/>
      <c r="J198" s="131">
        <f t="shared" ref="J198:J205" si="40">$J$120*H198</f>
        <v>0</v>
      </c>
    </row>
    <row r="199" spans="1:23" s="1" customFormat="1" ht="18" customHeight="1">
      <c r="A199" s="201" t="str">
        <f t="shared" si="37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 t="shared" si="40"/>
        <v>0</v>
      </c>
    </row>
    <row r="200" spans="1:23" s="1" customFormat="1" ht="18" customHeight="1">
      <c r="A200" s="201" t="str">
        <f t="shared" si="37"/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si="40"/>
        <v>0</v>
      </c>
    </row>
    <row r="201" spans="1:23" s="1" customFormat="1" ht="18" customHeight="1">
      <c r="A201" s="201" t="str">
        <f t="shared" si="37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ref="J201:J204" si="41">$J$120*H201</f>
        <v>0</v>
      </c>
    </row>
    <row r="202" spans="1:23" s="1" customFormat="1" ht="18" customHeight="1">
      <c r="A202" s="201" t="str">
        <f t="shared" si="37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si="41"/>
        <v>0</v>
      </c>
    </row>
    <row r="203" spans="1:23" s="1" customFormat="1" ht="18" customHeight="1">
      <c r="A203" s="201" t="str">
        <f t="shared" si="37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si="41"/>
        <v>0</v>
      </c>
    </row>
    <row r="204" spans="1:23" s="1" customFormat="1" ht="18" customHeight="1">
      <c r="A204" s="201" t="str">
        <f t="shared" si="37"/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 t="shared" si="41"/>
        <v>0</v>
      </c>
    </row>
    <row r="205" spans="1:23" s="1" customFormat="1" ht="18" customHeight="1">
      <c r="A205" s="317" t="str">
        <f>IF(B205="","",+#REF!+1)</f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 t="shared" si="40"/>
        <v>0</v>
      </c>
    </row>
    <row r="206" spans="1:23" s="1" customFormat="1" ht="18" customHeight="1">
      <c r="A206" s="25"/>
      <c r="B206" s="161"/>
      <c r="C206" s="33"/>
      <c r="D206" s="30"/>
      <c r="E206" s="17"/>
      <c r="F206" s="30"/>
      <c r="G206" s="30"/>
      <c r="H206" s="161"/>
      <c r="I206" s="24"/>
      <c r="J206" s="24"/>
    </row>
    <row r="207" spans="1:23" ht="18" customHeight="1">
      <c r="A207" s="17"/>
      <c r="J207" s="99" t="str">
        <f>LEFT($J$111,13)&amp;"-02"</f>
        <v>FG-240-7P3L4R-02</v>
      </c>
    </row>
    <row r="208" spans="1:23" ht="12.75" customHeight="1">
      <c r="B208" s="56"/>
      <c r="C208" s="56"/>
      <c r="D208" s="30"/>
      <c r="E208" s="17"/>
      <c r="F208" s="17"/>
      <c r="G208" s="17"/>
      <c r="H208" s="17"/>
      <c r="K208" s="7"/>
      <c r="L208" s="7"/>
      <c r="M208" s="2"/>
      <c r="N208" s="2"/>
    </row>
    <row r="209" spans="1:14" ht="30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231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231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/>
      <c r="C215"/>
      <c r="D215" s="81"/>
      <c r="E215"/>
      <c r="F215"/>
      <c r="G215"/>
      <c r="H215"/>
      <c r="I215" s="160"/>
      <c r="J215" s="116"/>
    </row>
    <row r="216" spans="1:14" s="1" customFormat="1" ht="15" customHeight="1">
      <c r="A216" s="17"/>
      <c r="B216" s="93"/>
      <c r="C216" s="56"/>
      <c r="D216" s="30"/>
      <c r="E216" s="29"/>
      <c r="F216" s="160"/>
      <c r="G216" s="160"/>
      <c r="H216" s="16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s="1" customFormat="1" ht="15.6">
      <c r="A218" s="109"/>
      <c r="B218" s="33"/>
      <c r="C218" s="327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368</v>
      </c>
      <c r="D220" s="30"/>
      <c r="E220" s="29"/>
      <c r="F220" s="30"/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89"/>
      <c r="J221" s="12"/>
    </row>
    <row r="222" spans="1:14" s="1" customFormat="1" ht="15" customHeight="1">
      <c r="A222" s="109"/>
      <c r="B222" s="33"/>
      <c r="C222" s="327" t="s">
        <v>273</v>
      </c>
      <c r="D222" s="161"/>
      <c r="E222" s="109"/>
      <c r="F222" s="161"/>
      <c r="J222" s="12"/>
    </row>
    <row r="223" spans="1:14" s="1" customFormat="1" ht="15" customHeight="1">
      <c r="A223" s="109"/>
      <c r="B223" s="33"/>
      <c r="C223" s="374">
        <f>$I$133</f>
        <v>4940</v>
      </c>
      <c r="D223" s="161"/>
      <c r="E223" s="35"/>
      <c r="F223" s="161"/>
      <c r="G223" s="68"/>
      <c r="J223" s="12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326"/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326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327"/>
      <c r="D229" s="161"/>
      <c r="E229" s="109"/>
      <c r="F229" s="161"/>
      <c r="H229" s="109"/>
      <c r="I229" s="229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229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229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229"/>
      <c r="J232" s="117"/>
    </row>
    <row r="233" spans="1:10" s="1" customFormat="1" ht="15.9" customHeight="1">
      <c r="A233" s="44"/>
      <c r="B233" s="44"/>
      <c r="C233" s="89" t="s">
        <v>381</v>
      </c>
      <c r="D233" s="84"/>
      <c r="E233" s="44"/>
      <c r="F233" s="44"/>
      <c r="G233" s="109"/>
      <c r="H233" s="109"/>
      <c r="I233" s="229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4914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229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29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109"/>
      <c r="J242" s="24"/>
    </row>
    <row r="243" spans="1:10" s="1" customFormat="1" ht="15.9" customHeight="1">
      <c r="A243" s="109"/>
      <c r="B243" s="33"/>
      <c r="C243" s="89" t="s">
        <v>385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.9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" customHeight="1">
      <c r="A245" s="109"/>
      <c r="B245" s="33"/>
      <c r="C245" s="327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4940</v>
      </c>
      <c r="D246" s="161"/>
      <c r="E246" s="109"/>
      <c r="F246" s="161"/>
      <c r="G246" s="109"/>
      <c r="H246" s="109"/>
      <c r="I246" s="44"/>
      <c r="J246" s="119"/>
    </row>
    <row r="247" spans="1:10" s="1" customFormat="1" ht="15.9" customHeight="1">
      <c r="A247" s="109"/>
      <c r="B247" s="33"/>
      <c r="C247" s="363">
        <f>$J$135</f>
        <v>1</v>
      </c>
      <c r="D247" s="161"/>
      <c r="E247" s="109"/>
      <c r="F247" s="161"/>
      <c r="G247" s="109"/>
      <c r="H247" s="109"/>
      <c r="I247" s="32"/>
      <c r="J247" s="40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0"/>
      <c r="H251" s="109"/>
      <c r="I251" s="24"/>
      <c r="J251" s="24"/>
    </row>
    <row r="252" spans="1:10" s="1" customFormat="1" ht="15.9" customHeight="1">
      <c r="A252" s="109"/>
      <c r="B252" s="33"/>
      <c r="D252" s="161"/>
      <c r="E252" s="109"/>
      <c r="F252" s="109"/>
      <c r="G252" s="109"/>
      <c r="H252" s="109"/>
      <c r="I252" s="24"/>
      <c r="J252" s="24"/>
    </row>
    <row r="253" spans="1:10" s="1" customFormat="1" ht="15.9" customHeight="1">
      <c r="A253" s="44"/>
      <c r="B253" s="44"/>
      <c r="D253" s="84"/>
      <c r="E253" s="44"/>
      <c r="F253" s="44"/>
      <c r="G253" s="109"/>
      <c r="H253" s="109"/>
      <c r="I253" s="24"/>
      <c r="J253" s="24"/>
    </row>
    <row r="254" spans="1:10" s="1" customFormat="1" ht="15.9" customHeight="1">
      <c r="A254" s="40"/>
      <c r="B254" s="40"/>
      <c r="C254" s="89" t="s">
        <v>382</v>
      </c>
      <c r="D254" s="85"/>
      <c r="E254" s="40"/>
      <c r="F254" s="32"/>
      <c r="G254" s="109"/>
      <c r="I254" s="24"/>
      <c r="J254" s="24"/>
    </row>
    <row r="255" spans="1:10" s="1" customFormat="1" ht="15.9" customHeight="1">
      <c r="A255" s="27"/>
      <c r="B255" s="33"/>
      <c r="C255" s="328" t="s">
        <v>275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27" t="s">
        <v>273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74">
        <f>$I$136</f>
        <v>4940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63">
        <f>$J$136</f>
        <v>1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46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161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89" t="s">
        <v>380</v>
      </c>
      <c r="D264" s="161"/>
      <c r="E264" s="109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8" t="s">
        <v>379</v>
      </c>
      <c r="D265" s="328"/>
      <c r="E265" s="328"/>
      <c r="F265" s="109"/>
      <c r="G265" s="109"/>
      <c r="H265" s="109"/>
      <c r="I265" s="24"/>
      <c r="J265" s="24"/>
    </row>
    <row r="266" spans="1:10" s="1" customFormat="1" ht="15.9" customHeight="1">
      <c r="A266" s="27"/>
      <c r="B266" s="33"/>
      <c r="C266" s="327" t="s">
        <v>279</v>
      </c>
      <c r="D266" s="327"/>
      <c r="E266" s="327"/>
      <c r="F266" s="109"/>
      <c r="G266" s="109"/>
      <c r="H266" s="109"/>
      <c r="J266" s="12"/>
    </row>
    <row r="267" spans="1:10" s="1" customFormat="1" ht="15.9" customHeight="1">
      <c r="A267" s="27"/>
      <c r="B267" s="33"/>
      <c r="C267" s="374">
        <f>$I$137</f>
        <v>2900</v>
      </c>
      <c r="D267" s="161"/>
      <c r="E267" s="109"/>
      <c r="F267" s="109"/>
      <c r="G267" s="33"/>
      <c r="H267" s="33"/>
      <c r="J267" s="12"/>
    </row>
    <row r="268" spans="1:10" s="1" customFormat="1" ht="15.9" customHeight="1">
      <c r="A268" s="27"/>
      <c r="B268" s="33"/>
      <c r="C268" s="363">
        <f>$J$137+$J$138</f>
        <v>2</v>
      </c>
      <c r="D268" s="161"/>
      <c r="E268" s="10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B271" s="33"/>
      <c r="D271" s="89"/>
      <c r="E271" s="89"/>
      <c r="F271" s="109"/>
      <c r="G271" s="109"/>
      <c r="H271" s="109"/>
      <c r="J271" s="12"/>
    </row>
    <row r="272" spans="1:10" s="1" customFormat="1" ht="15.9" customHeight="1">
      <c r="A272" s="27"/>
      <c r="D272" s="328"/>
      <c r="E272" s="328"/>
      <c r="F272" s="109"/>
      <c r="G272" s="109"/>
      <c r="H272" s="109"/>
      <c r="J272" s="12"/>
    </row>
    <row r="273" spans="1:10" s="1" customFormat="1" ht="15.9" customHeight="1">
      <c r="A273" s="27"/>
      <c r="B273" s="33"/>
      <c r="D273" s="328"/>
      <c r="E273" s="328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33"/>
      <c r="D274" s="161"/>
      <c r="E274" s="109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89" t="s">
        <v>383</v>
      </c>
      <c r="D275" s="162"/>
      <c r="E275" s="24"/>
      <c r="F275" s="109"/>
      <c r="G275" s="109"/>
      <c r="I275" s="24"/>
      <c r="J275" s="24"/>
    </row>
    <row r="276" spans="1:10" s="1" customFormat="1" ht="15.9" customHeight="1">
      <c r="A276" s="27"/>
      <c r="B276" s="33"/>
      <c r="C276" s="328" t="s">
        <v>649</v>
      </c>
      <c r="D276" s="328"/>
      <c r="E276" s="328"/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433" t="s">
        <v>650</v>
      </c>
      <c r="D277" s="327"/>
      <c r="E277" s="327"/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374">
        <f>$I$139</f>
        <v>2804</v>
      </c>
      <c r="F278" s="109"/>
      <c r="G278" s="109"/>
      <c r="I278" s="109"/>
      <c r="J278" s="24"/>
    </row>
    <row r="279" spans="1:10" s="1" customFormat="1" ht="15.9" customHeight="1">
      <c r="A279" s="27"/>
      <c r="B279" s="33"/>
      <c r="C279" s="363">
        <f>$J$139+$J$140</f>
        <v>2</v>
      </c>
      <c r="F279" s="109"/>
      <c r="G279" s="109"/>
      <c r="I279" s="109"/>
      <c r="J279" s="24"/>
    </row>
    <row r="280" spans="1:10" s="1" customFormat="1" ht="15.9" customHeight="1">
      <c r="A280" s="27"/>
      <c r="B280" s="33"/>
      <c r="F280" s="109"/>
      <c r="G280" s="109"/>
      <c r="H280" s="109"/>
      <c r="J280" s="12"/>
    </row>
    <row r="281" spans="1:10" s="1" customFormat="1" ht="15.9" customHeight="1">
      <c r="A281" s="27"/>
      <c r="B281" s="33"/>
      <c r="C281" s="33"/>
      <c r="D281" s="161"/>
      <c r="E281" s="109"/>
      <c r="F281" s="109"/>
      <c r="G281" s="109"/>
      <c r="H281" s="109"/>
      <c r="J281" s="12"/>
    </row>
    <row r="282" spans="1:10" s="1" customFormat="1" ht="15.9" customHeight="1">
      <c r="A282" s="27"/>
      <c r="B282" s="33"/>
      <c r="F282" s="109"/>
      <c r="G282" s="109"/>
      <c r="H282" s="109"/>
      <c r="J282" s="12"/>
    </row>
    <row r="283" spans="1:10" s="1" customFormat="1" ht="15.9" customHeight="1">
      <c r="A283" s="27"/>
      <c r="B283" s="33"/>
      <c r="F283" s="109"/>
      <c r="G283" s="109"/>
      <c r="H283" s="109"/>
      <c r="I283" s="162"/>
      <c r="J283" s="24"/>
    </row>
    <row r="284" spans="1:10" s="1" customFormat="1" ht="15.9" customHeight="1">
      <c r="A284" s="27"/>
      <c r="B284" s="33"/>
      <c r="C284" s="89" t="s">
        <v>386</v>
      </c>
      <c r="F284" s="109"/>
      <c r="G284" s="109"/>
      <c r="H284" s="109"/>
      <c r="I284" s="109"/>
      <c r="J284" s="24"/>
    </row>
    <row r="285" spans="1:10" s="1" customFormat="1" ht="15.9" customHeight="1">
      <c r="A285" s="27"/>
      <c r="B285" s="33"/>
      <c r="C285" s="94" t="s">
        <v>444</v>
      </c>
      <c r="D285" s="161"/>
      <c r="E285" s="109"/>
      <c r="F285" s="109"/>
      <c r="G285" s="109"/>
      <c r="H285" s="109"/>
      <c r="I285" s="24"/>
      <c r="J285" s="24"/>
    </row>
    <row r="286" spans="1:10" s="1" customFormat="1" ht="15.9" customHeight="1">
      <c r="A286" s="27"/>
      <c r="B286" s="33"/>
      <c r="C286" s="327" t="s">
        <v>445</v>
      </c>
      <c r="D286" s="161"/>
      <c r="E286" s="109"/>
      <c r="F286" s="109"/>
      <c r="G286" s="109"/>
      <c r="H286" s="109"/>
      <c r="I286" s="24"/>
      <c r="J286" s="24"/>
    </row>
    <row r="287" spans="1:10" s="1" customFormat="1" ht="15.9" customHeight="1">
      <c r="A287" s="27"/>
      <c r="B287" s="33"/>
      <c r="C287" s="328" t="s">
        <v>281</v>
      </c>
      <c r="D287" s="328"/>
      <c r="E287" s="328"/>
      <c r="F287" s="109"/>
      <c r="G287" s="109"/>
      <c r="I287" s="24"/>
      <c r="J287" s="24"/>
    </row>
    <row r="288" spans="1:10" s="23" customFormat="1" ht="15.9" customHeight="1">
      <c r="A288" s="27"/>
      <c r="B288" s="33"/>
      <c r="C288" s="327" t="s">
        <v>282</v>
      </c>
      <c r="D288" s="327"/>
      <c r="E288" s="327"/>
      <c r="F288" s="109"/>
      <c r="G288" s="109"/>
      <c r="H288" s="1"/>
      <c r="I288" s="109"/>
      <c r="J288" s="109"/>
    </row>
    <row r="289" spans="1:10" s="1" customFormat="1" ht="15.9" customHeight="1">
      <c r="A289" s="27"/>
      <c r="B289" s="33"/>
      <c r="C289" s="374">
        <f>$I$141</f>
        <v>590.78571428571433</v>
      </c>
      <c r="F289" s="109"/>
      <c r="G289" s="109"/>
      <c r="I289" s="44"/>
      <c r="J289" s="119"/>
    </row>
    <row r="290" spans="1:10" s="1" customFormat="1" ht="15.9" customHeight="1">
      <c r="A290" s="27"/>
      <c r="B290" s="33"/>
      <c r="C290" s="363">
        <f>$J$141+$J$142</f>
        <v>14</v>
      </c>
      <c r="D290" s="161"/>
      <c r="E290" s="109"/>
      <c r="F290" s="109"/>
      <c r="G290" s="109"/>
      <c r="H290" s="161"/>
      <c r="I290" s="32"/>
      <c r="J290" s="40"/>
    </row>
    <row r="291" spans="1:10" s="1" customFormat="1" ht="15.9" customHeight="1">
      <c r="A291" s="27"/>
      <c r="B291" s="33"/>
      <c r="C291" s="374">
        <f>$I$143</f>
        <v>2808</v>
      </c>
      <c r="D291" s="161"/>
      <c r="E291" s="109"/>
      <c r="F291" s="109"/>
      <c r="G291" s="109"/>
      <c r="H291" s="109"/>
      <c r="I291" s="24"/>
      <c r="J291" s="24"/>
    </row>
    <row r="292" spans="1:10" s="1" customFormat="1" ht="15.9" customHeight="1">
      <c r="A292" s="27"/>
      <c r="B292" s="33"/>
      <c r="C292" s="363">
        <f>$J$143+$J$144+$J$145+$J$146</f>
        <v>14</v>
      </c>
      <c r="D292" s="161"/>
      <c r="E292" s="109"/>
      <c r="F292" s="109"/>
      <c r="G292" s="109"/>
      <c r="H292" s="109"/>
      <c r="I292" s="24"/>
      <c r="J292" s="24"/>
    </row>
    <row r="293" spans="1:10" s="1" customFormat="1" ht="15.9" customHeight="1">
      <c r="A293" s="27"/>
      <c r="B293" s="33"/>
      <c r="D293" s="161"/>
      <c r="E293" s="109"/>
      <c r="F293" s="109"/>
      <c r="G293" s="109"/>
      <c r="H293" s="109"/>
      <c r="I293" s="24"/>
      <c r="J293" s="24"/>
    </row>
    <row r="294" spans="1:10" s="1" customFormat="1" ht="15.9" customHeight="1">
      <c r="A294" s="27"/>
      <c r="B294" s="33"/>
      <c r="C294" s="33"/>
      <c r="D294" s="161"/>
      <c r="E294" s="109"/>
      <c r="F294" s="109"/>
      <c r="G294" s="109"/>
      <c r="H294" s="109"/>
      <c r="I294" s="109"/>
      <c r="J294" s="24"/>
    </row>
    <row r="295" spans="1:10" s="1" customFormat="1" ht="15.9" customHeight="1">
      <c r="A295" s="27"/>
      <c r="B295" s="33"/>
      <c r="C295" s="23"/>
      <c r="D295" s="161"/>
      <c r="E295" s="109"/>
      <c r="F295" s="109"/>
      <c r="G295" s="109"/>
      <c r="H295" s="109"/>
      <c r="I295" s="109"/>
      <c r="J295" s="24"/>
    </row>
    <row r="296" spans="1:10" s="1" customFormat="1" ht="15.9" customHeight="1">
      <c r="A296" s="27"/>
      <c r="B296" s="33"/>
      <c r="C296" s="89" t="s">
        <v>384</v>
      </c>
      <c r="D296" s="161"/>
      <c r="E296" s="109"/>
      <c r="F296" s="109"/>
      <c r="G296" s="109"/>
      <c r="H296" s="109"/>
      <c r="I296" s="109"/>
      <c r="J296" s="24"/>
    </row>
    <row r="297" spans="1:10" s="1" customFormat="1" ht="15.9" customHeight="1">
      <c r="A297" s="27"/>
      <c r="B297" s="33"/>
      <c r="C297" s="94" t="s">
        <v>444</v>
      </c>
      <c r="D297" s="161"/>
      <c r="E297" s="109"/>
      <c r="F297" s="109"/>
      <c r="G297" s="44"/>
      <c r="H297" s="44"/>
      <c r="I297" s="109"/>
      <c r="J297" s="24"/>
    </row>
    <row r="298" spans="1:10" s="1" customFormat="1" ht="15.9" customHeight="1">
      <c r="A298" s="27"/>
      <c r="B298" s="33"/>
      <c r="C298" s="327" t="s">
        <v>445</v>
      </c>
      <c r="D298" s="328"/>
      <c r="E298" s="328"/>
      <c r="F298" s="109"/>
      <c r="G298" s="40"/>
      <c r="H298" s="32"/>
      <c r="I298" s="109"/>
      <c r="J298" s="24"/>
    </row>
    <row r="299" spans="1:10" s="1" customFormat="1" ht="15.9" customHeight="1">
      <c r="A299" s="41"/>
      <c r="B299" s="33"/>
      <c r="C299" s="328" t="s">
        <v>286</v>
      </c>
      <c r="D299" s="327"/>
      <c r="E299" s="327"/>
      <c r="F299" s="109"/>
      <c r="G299" s="109"/>
      <c r="H299" s="109"/>
      <c r="I299" s="109"/>
      <c r="J299" s="24"/>
    </row>
    <row r="300" spans="1:10" s="1" customFormat="1" ht="15.9" customHeight="1">
      <c r="A300" s="44"/>
      <c r="B300" s="44"/>
      <c r="C300" s="327" t="s">
        <v>285</v>
      </c>
      <c r="D300" s="86"/>
      <c r="E300" s="79"/>
      <c r="F300" s="44"/>
      <c r="G300" s="109"/>
      <c r="H300" s="109"/>
      <c r="I300" s="109"/>
      <c r="J300" s="24"/>
    </row>
    <row r="301" spans="1:10" s="1" customFormat="1" ht="15.9" customHeight="1">
      <c r="A301" s="40"/>
      <c r="B301" s="40"/>
      <c r="C301" s="374">
        <f>$I$147</f>
        <v>590.78571428571433</v>
      </c>
      <c r="D301" s="87"/>
      <c r="E301" s="80"/>
      <c r="F301" s="32"/>
      <c r="G301" s="109"/>
      <c r="H301" s="109"/>
      <c r="I301" s="109"/>
      <c r="J301" s="24"/>
    </row>
    <row r="302" spans="1:10" s="1" customFormat="1" ht="15.9" customHeight="1">
      <c r="A302" s="109"/>
      <c r="B302" s="33"/>
      <c r="C302" s="363">
        <f>$J$147</f>
        <v>14</v>
      </c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C303" s="374">
        <f>$I$148</f>
        <v>2658</v>
      </c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C304" s="363">
        <f>$J$148</f>
        <v>14</v>
      </c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C306" s="89" t="s">
        <v>387</v>
      </c>
      <c r="D306" s="161"/>
      <c r="E306" s="109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328" t="s">
        <v>281</v>
      </c>
      <c r="D307" s="328"/>
      <c r="E307" s="328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542" t="s">
        <v>282</v>
      </c>
      <c r="D308" s="542"/>
      <c r="E308" s="542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74">
        <f>$I$149</f>
        <v>2808</v>
      </c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63">
        <f>$J$149+$J$150</f>
        <v>2</v>
      </c>
      <c r="D310" s="328"/>
      <c r="E310" s="328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D311" s="15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33"/>
      <c r="D314" s="162"/>
      <c r="E314" s="24"/>
      <c r="F314" s="109"/>
      <c r="G314" s="109"/>
      <c r="H314" s="109"/>
      <c r="I314" s="27"/>
      <c r="J314" s="99" t="str">
        <f>LEFT($J$111,13)&amp;"-03"</f>
        <v>FG-240-7P3L4R-03</v>
      </c>
    </row>
    <row r="315" spans="1:14" ht="12.75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30" customHeight="1">
      <c r="A316" s="17"/>
      <c r="B316" s="26"/>
      <c r="C316" s="26"/>
      <c r="D316" s="83"/>
      <c r="E316" s="25"/>
      <c r="F316" s="25"/>
      <c r="G316" s="25"/>
      <c r="H316" s="25"/>
      <c r="I316" s="179"/>
      <c r="J316" s="90" t="str">
        <f>$J$2</f>
        <v>HOMELIFE</v>
      </c>
    </row>
    <row r="317" spans="1:14" ht="24.9" customHeight="1">
      <c r="B317" s="231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231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s="1" customFormat="1" ht="15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  <c r="K320" s="4"/>
      <c r="L320" s="4"/>
      <c r="M320" s="4"/>
      <c r="N320" s="4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228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228"/>
      <c r="I331" s="161"/>
      <c r="J331" s="109"/>
    </row>
    <row r="332" spans="1:10" s="1" customFormat="1" ht="15" customHeight="1">
      <c r="A332" s="64" t="str">
        <f>A18</f>
        <v>240-7 Panel (3L4R)</v>
      </c>
      <c r="B332" s="92"/>
      <c r="C332" s="161"/>
      <c r="D332" s="161"/>
      <c r="E332" s="109"/>
      <c r="F332" s="228"/>
      <c r="G332" s="228"/>
      <c r="H332" s="228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92"/>
      <c r="C333" s="161"/>
      <c r="D333" s="161"/>
      <c r="E333" s="109"/>
      <c r="F333" s="228"/>
      <c r="G333" s="228"/>
      <c r="H333" s="228"/>
      <c r="I333" s="109"/>
      <c r="J333" s="109"/>
    </row>
    <row r="334" spans="1:10" s="1" customFormat="1" ht="15.9" customHeight="1">
      <c r="A334" s="109"/>
      <c r="B334" s="45"/>
      <c r="C334" s="42"/>
      <c r="D334" s="161"/>
      <c r="E334" s="109"/>
      <c r="F334" s="507"/>
      <c r="G334" s="507"/>
      <c r="H334" s="228"/>
      <c r="I334" s="109"/>
      <c r="J334" s="109"/>
    </row>
    <row r="335" spans="1:10" s="1" customFormat="1" ht="15.9" customHeight="1">
      <c r="A335" s="39"/>
      <c r="B335" s="109"/>
      <c r="C335" s="161"/>
      <c r="D335" s="161"/>
      <c r="E335" s="109"/>
      <c r="F335" s="37"/>
      <c r="G335" s="38"/>
      <c r="H335" s="109"/>
      <c r="I335" s="109"/>
      <c r="J335" s="109"/>
    </row>
    <row r="336" spans="1:10" s="1" customFormat="1" ht="15.9" customHeight="1">
      <c r="A336" s="44"/>
      <c r="C336" s="43"/>
      <c r="D336" s="161"/>
      <c r="E336" s="109"/>
      <c r="F336" s="109"/>
      <c r="G336" s="109"/>
      <c r="H336" s="109"/>
      <c r="I336" s="44"/>
      <c r="J336" s="119"/>
    </row>
    <row r="337" spans="1:10" s="1" customFormat="1" ht="15.9" customHeight="1">
      <c r="A337" s="40"/>
      <c r="C337" s="44"/>
      <c r="D337" s="84"/>
      <c r="E337" s="44"/>
      <c r="F337" s="44"/>
      <c r="G337" s="44"/>
      <c r="H337" s="44"/>
      <c r="I337" s="32"/>
      <c r="J337" s="40"/>
    </row>
    <row r="338" spans="1:10" s="1" customFormat="1" ht="15.9" customHeight="1">
      <c r="A338" s="109"/>
      <c r="C338" s="161"/>
      <c r="D338" s="85"/>
      <c r="E338" s="40"/>
      <c r="F338" s="32"/>
      <c r="G338" s="40"/>
      <c r="H338" s="32"/>
      <c r="I338" s="24"/>
      <c r="J338" s="24"/>
    </row>
    <row r="339" spans="1:10" s="1" customFormat="1" ht="15.9" customHeight="1">
      <c r="A339" s="109"/>
      <c r="C339" s="163"/>
      <c r="D339" s="161"/>
      <c r="E339" s="109"/>
      <c r="F339" s="161"/>
      <c r="G339" s="109"/>
      <c r="H339" s="109"/>
      <c r="I339" s="24"/>
      <c r="J339" s="24"/>
    </row>
    <row r="340" spans="1:10" s="1" customFormat="1" ht="15.9" customHeight="1">
      <c r="A340" s="109"/>
      <c r="B340" s="33"/>
      <c r="C340" s="161"/>
      <c r="D340" s="161"/>
      <c r="E340" s="109"/>
      <c r="F340" s="161"/>
      <c r="G340" s="109"/>
      <c r="H340" s="109"/>
      <c r="I340" s="162"/>
      <c r="J340" s="162"/>
    </row>
    <row r="341" spans="1:10" s="1" customFormat="1" ht="15.9" customHeight="1">
      <c r="A341" s="109"/>
      <c r="B341" s="33"/>
      <c r="C341" s="44"/>
      <c r="D341" s="161"/>
      <c r="E341" s="109"/>
      <c r="F341" s="161"/>
      <c r="G341" s="109"/>
      <c r="H341" s="162"/>
      <c r="I341" s="161"/>
      <c r="J341" s="161"/>
    </row>
    <row r="342" spans="1:10" s="1" customFormat="1" ht="15.9" customHeight="1">
      <c r="A342" s="109"/>
      <c r="B342" s="33"/>
      <c r="C342" s="42"/>
      <c r="D342" s="161"/>
      <c r="E342" s="109"/>
      <c r="F342" s="161"/>
      <c r="G342" s="109"/>
      <c r="H342" s="161"/>
      <c r="I342" s="161"/>
      <c r="J342" s="161"/>
    </row>
    <row r="343" spans="1:10" s="1" customFormat="1" ht="15.9" customHeight="1">
      <c r="A343" s="109"/>
      <c r="B343" s="33"/>
      <c r="C343" s="163"/>
      <c r="D343" s="161"/>
      <c r="E343" s="109"/>
      <c r="F343" s="161"/>
      <c r="G343" s="109"/>
      <c r="H343" s="161"/>
      <c r="I343" s="109"/>
      <c r="J343" s="24"/>
    </row>
    <row r="344" spans="1:10" s="1" customFormat="1" ht="15.9" customHeight="1">
      <c r="A344" s="109"/>
      <c r="B344" s="33"/>
      <c r="C344" s="161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44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3"/>
      <c r="D350" s="161"/>
      <c r="E350" s="109"/>
      <c r="F350" s="161"/>
      <c r="G350" s="109"/>
      <c r="H350" s="109"/>
      <c r="I350" s="109"/>
      <c r="J350" s="24"/>
    </row>
    <row r="351" spans="1:10" s="1" customFormat="1" ht="15.9" customHeight="1">
      <c r="A351" s="109"/>
      <c r="B351" s="33"/>
      <c r="C351" s="161"/>
      <c r="D351" s="161"/>
      <c r="E351" s="109"/>
      <c r="F351" s="161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1" customFormat="1" ht="15" customHeight="1">
      <c r="A353" s="109"/>
      <c r="B353" s="33"/>
      <c r="C353" s="33"/>
      <c r="D353" s="161"/>
      <c r="E353" s="109"/>
      <c r="F353" s="109"/>
      <c r="G353" s="109"/>
      <c r="H353" s="107"/>
      <c r="I353" s="24"/>
      <c r="J353" s="24"/>
    </row>
    <row r="354" spans="1:10" s="23" customFormat="1" ht="15.9" customHeight="1">
      <c r="A354" s="109"/>
      <c r="B354" s="33"/>
      <c r="C354" s="33"/>
      <c r="D354" s="161"/>
      <c r="E354" s="109"/>
      <c r="F354" s="109"/>
      <c r="G354" s="109"/>
      <c r="H354" s="109"/>
      <c r="I354" s="109"/>
      <c r="J354" s="109"/>
    </row>
    <row r="355" spans="1:10" s="1" customFormat="1" ht="15.9" customHeight="1">
      <c r="A355" s="44"/>
      <c r="B355" s="33"/>
      <c r="C355" s="33"/>
      <c r="D355" s="161"/>
      <c r="E355" s="109"/>
      <c r="F355" s="109"/>
      <c r="G355" s="109"/>
      <c r="H355" s="109"/>
      <c r="I355" s="44"/>
      <c r="J355" s="119"/>
    </row>
    <row r="356" spans="1:10" s="1" customFormat="1" ht="15.9" customHeight="1">
      <c r="A356" s="40"/>
      <c r="B356" s="44"/>
      <c r="C356" s="44"/>
      <c r="D356" s="84"/>
      <c r="E356" s="44"/>
      <c r="F356" s="44"/>
      <c r="G356" s="44"/>
      <c r="H356" s="44"/>
      <c r="I356" s="32"/>
      <c r="J356" s="40"/>
    </row>
    <row r="357" spans="1:10" s="1" customFormat="1" ht="15.9" customHeight="1">
      <c r="A357" s="27"/>
      <c r="B357" s="40"/>
      <c r="C357" s="44"/>
      <c r="D357" s="85"/>
      <c r="E357" s="40"/>
      <c r="F357" s="32"/>
      <c r="G357" s="40"/>
      <c r="H357" s="32"/>
      <c r="I357" s="24"/>
      <c r="J357" s="24"/>
    </row>
    <row r="358" spans="1:10" s="1" customFormat="1" ht="15.9" customHeight="1">
      <c r="A358" s="27"/>
      <c r="B358" s="33"/>
      <c r="C358" s="42"/>
      <c r="D358" s="161"/>
      <c r="E358" s="109"/>
      <c r="F358" s="109"/>
      <c r="G358" s="109"/>
      <c r="H358" s="42"/>
      <c r="I358" s="163"/>
      <c r="J358" s="163"/>
    </row>
    <row r="359" spans="1:10" s="1" customFormat="1" ht="15.9" customHeight="1">
      <c r="A359" s="27"/>
      <c r="B359" s="33"/>
      <c r="C359" s="163"/>
      <c r="D359" s="161"/>
      <c r="E359" s="109"/>
      <c r="F359" s="109"/>
      <c r="G359" s="109"/>
      <c r="H359" s="163"/>
      <c r="I359" s="161"/>
      <c r="J359" s="161"/>
    </row>
    <row r="360" spans="1:10" s="1" customFormat="1" ht="15.9" customHeight="1">
      <c r="A360" s="27"/>
      <c r="B360" s="33"/>
      <c r="C360" s="161"/>
      <c r="D360" s="161"/>
      <c r="E360" s="109"/>
      <c r="F360" s="109"/>
      <c r="G360" s="109"/>
      <c r="H360" s="161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46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161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D372" s="161"/>
      <c r="E372" s="109"/>
      <c r="F372" s="109"/>
      <c r="G372" s="33"/>
      <c r="H372" s="33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42"/>
      <c r="I376" s="163"/>
      <c r="J376" s="163"/>
    </row>
    <row r="377" spans="1:10" s="1" customFormat="1" ht="15.9" customHeight="1">
      <c r="A377" s="27"/>
      <c r="B377" s="33"/>
      <c r="C377" s="47"/>
      <c r="D377" s="161"/>
      <c r="E377" s="109"/>
      <c r="F377" s="109"/>
      <c r="G377" s="109"/>
      <c r="H377" s="163"/>
      <c r="I377" s="161"/>
      <c r="J377" s="161"/>
    </row>
    <row r="378" spans="1:10" s="1" customFormat="1" ht="15.9" customHeight="1">
      <c r="A378" s="27"/>
      <c r="B378" s="33"/>
      <c r="C378" s="46"/>
      <c r="D378" s="161"/>
      <c r="E378" s="109"/>
      <c r="F378" s="109"/>
      <c r="G378" s="109"/>
      <c r="H378" s="161"/>
      <c r="I378" s="24"/>
      <c r="J378" s="24"/>
    </row>
    <row r="379" spans="1:10" s="1" customFormat="1" ht="15.9" customHeight="1">
      <c r="A379" s="27"/>
      <c r="B379" s="33"/>
      <c r="C379" s="161"/>
      <c r="D379" s="161"/>
      <c r="E379" s="109"/>
      <c r="F379" s="109"/>
      <c r="G379" s="109"/>
      <c r="H379" s="42"/>
      <c r="I379" s="163"/>
      <c r="J379" s="163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3"/>
      <c r="I380" s="161"/>
      <c r="J380" s="161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1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64"/>
      <c r="J388" s="16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4"/>
      <c r="I389" s="165"/>
      <c r="J389" s="165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5"/>
      <c r="I390" s="161"/>
      <c r="J390" s="161"/>
    </row>
    <row r="391" spans="1:10" s="1" customFormat="1" ht="15.9" customHeight="1">
      <c r="A391" s="27"/>
      <c r="B391" s="33"/>
      <c r="C391" s="47"/>
      <c r="D391" s="161"/>
      <c r="E391" s="109"/>
      <c r="F391" s="109"/>
      <c r="G391" s="109"/>
      <c r="H391" s="161"/>
      <c r="I391" s="24"/>
      <c r="J391" s="24"/>
    </row>
    <row r="392" spans="1:10" s="1" customFormat="1" ht="15.9" customHeight="1">
      <c r="A392" s="27"/>
      <c r="B392" s="33"/>
      <c r="C392" s="46"/>
      <c r="D392" s="161"/>
      <c r="E392" s="109"/>
      <c r="F392" s="109"/>
      <c r="G392" s="109"/>
      <c r="H392" s="109"/>
      <c r="I392" s="109"/>
      <c r="J392" s="24"/>
    </row>
    <row r="393" spans="1:10" s="1" customFormat="1" ht="15.9" customHeight="1">
      <c r="A393" s="27"/>
      <c r="B393" s="33"/>
      <c r="C393" s="161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23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1" customFormat="1" ht="15.9" customHeight="1">
      <c r="A405" s="44"/>
      <c r="B405" s="33"/>
      <c r="C405" s="33"/>
      <c r="D405" s="161"/>
      <c r="E405" s="109"/>
      <c r="F405" s="109"/>
      <c r="G405" s="109"/>
      <c r="H405" s="109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109"/>
      <c r="B419" s="44"/>
      <c r="C419" s="44"/>
      <c r="D419" s="84"/>
      <c r="E419" s="44"/>
      <c r="F419" s="44"/>
      <c r="G419" s="44"/>
      <c r="H419" s="44"/>
      <c r="I419" s="24"/>
      <c r="J419" s="24"/>
      <c r="K419" s="71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LEFT($J$111,13)&amp;"-04"</f>
        <v>FG-240-7P3L4R-04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A423" s="109"/>
      <c r="B423" s="33"/>
      <c r="C423" s="33"/>
      <c r="D423" s="161"/>
      <c r="E423" s="109"/>
      <c r="F423" s="109"/>
      <c r="G423" s="109"/>
      <c r="H423" s="109"/>
      <c r="I423" s="109"/>
      <c r="J423" s="90" t="str">
        <f>$J$2</f>
        <v>HOMELIFE</v>
      </c>
      <c r="K423" s="7"/>
      <c r="L423" s="7"/>
      <c r="M423" s="2"/>
      <c r="N423" s="2"/>
    </row>
    <row r="424" spans="1:14" ht="24.9" customHeight="1">
      <c r="A424" s="109"/>
      <c r="B424" s="33"/>
      <c r="C424" s="33"/>
      <c r="D424" s="161"/>
      <c r="E424" s="109"/>
      <c r="F424" s="109"/>
      <c r="G424" s="109"/>
      <c r="H424" s="109"/>
      <c r="I424" s="109"/>
      <c r="J424" s="91" t="str">
        <f>$J$3</f>
        <v>Fabricators Guide</v>
      </c>
      <c r="K424" s="7"/>
      <c r="L424" s="7"/>
      <c r="M424" s="2"/>
      <c r="N424" s="2"/>
    </row>
    <row r="425" spans="1:14" ht="24.9" customHeight="1">
      <c r="B425" s="231"/>
      <c r="C425" s="28"/>
      <c r="D425" s="28"/>
      <c r="E425" s="28"/>
      <c r="F425" s="28"/>
      <c r="G425" s="28"/>
      <c r="H425" s="28"/>
      <c r="I425" s="28"/>
      <c r="J425" s="91" t="str">
        <f>$J$4</f>
        <v xml:space="preserve">240 Series Bi Fold Door </v>
      </c>
      <c r="K425" s="48"/>
      <c r="L425" s="48"/>
      <c r="M425" s="4"/>
      <c r="N425" s="4"/>
    </row>
    <row r="426" spans="1:14" s="1" customFormat="1" ht="15" customHeight="1" thickBot="1">
      <c r="A426" s="78"/>
      <c r="B426" s="8"/>
      <c r="C426" s="28"/>
      <c r="D426" s="28"/>
      <c r="E426" s="28"/>
      <c r="F426" s="28"/>
      <c r="G426" s="28"/>
      <c r="H426" s="2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  <c r="K427" s="4"/>
      <c r="L427" s="4"/>
      <c r="M427" s="4"/>
      <c r="N427" s="4"/>
    </row>
    <row r="428" spans="1:14" s="1" customFormat="1" ht="15" customHeight="1">
      <c r="A428" s="193"/>
      <c r="B428" s="194"/>
      <c r="C428" s="194"/>
      <c r="D428" s="194"/>
      <c r="E428" s="194"/>
      <c r="F428" s="194"/>
      <c r="G428" s="194"/>
      <c r="H428" s="194"/>
      <c r="I428" s="193"/>
      <c r="K428" s="56"/>
      <c r="L428" s="56"/>
      <c r="M428" s="56"/>
      <c r="N428" s="56"/>
    </row>
    <row r="429" spans="1:14" s="1" customFormat="1" ht="15" customHeight="1">
      <c r="A429" s="45"/>
      <c r="B429" s="193"/>
      <c r="C429" s="193"/>
      <c r="D429" s="193"/>
      <c r="E429" s="193"/>
      <c r="F429" s="193"/>
      <c r="G429" s="193"/>
      <c r="H429" s="193"/>
      <c r="I429" s="44"/>
      <c r="J429" s="119"/>
    </row>
    <row r="430" spans="1:14" s="1" customFormat="1" ht="15" customHeight="1">
      <c r="A430" s="109"/>
      <c r="B430" s="39"/>
      <c r="C430" s="33"/>
      <c r="D430" s="161"/>
      <c r="E430" s="35"/>
      <c r="F430" s="39"/>
      <c r="G430" s="193"/>
      <c r="H430" s="44"/>
      <c r="I430" s="44"/>
      <c r="J430" s="119"/>
    </row>
    <row r="431" spans="1:14" s="1" customFormat="1" ht="15" customHeight="1">
      <c r="A431" s="109"/>
      <c r="B431" s="33"/>
      <c r="C431" s="33"/>
      <c r="D431" s="161"/>
      <c r="E431" s="35"/>
      <c r="F431" s="161"/>
      <c r="G431" s="193"/>
      <c r="H431" s="44"/>
      <c r="I431" s="44"/>
      <c r="J431" s="119"/>
    </row>
    <row r="432" spans="1:14" s="1" customFormat="1" ht="15" customHeight="1">
      <c r="A432" s="109"/>
      <c r="B432" s="56"/>
      <c r="C432" s="56"/>
      <c r="D432" s="30"/>
      <c r="E432" s="29"/>
      <c r="F432" s="30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109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3"/>
      <c r="H434" s="44"/>
      <c r="I434" s="44"/>
      <c r="J434" s="119"/>
    </row>
    <row r="435" spans="1:10" s="1" customFormat="1" ht="15" customHeight="1">
      <c r="A435" s="109"/>
      <c r="B435" s="33"/>
      <c r="C435" s="161"/>
      <c r="D435" s="161"/>
      <c r="E435" s="35"/>
      <c r="F435" s="161"/>
      <c r="H435" s="44"/>
      <c r="I435" s="44"/>
      <c r="J435" s="119"/>
    </row>
    <row r="436" spans="1:10" s="1" customFormat="1" ht="15" customHeight="1">
      <c r="A436" s="39"/>
      <c r="B436" s="33"/>
      <c r="C436" s="42"/>
      <c r="D436" s="161"/>
      <c r="E436" s="109"/>
      <c r="F436" s="69"/>
      <c r="H436" s="44"/>
      <c r="I436" s="44"/>
      <c r="J436" s="119"/>
    </row>
    <row r="437" spans="1:10" s="1" customFormat="1" ht="15" customHeight="1">
      <c r="A437" s="92"/>
      <c r="B437" s="39"/>
      <c r="C437" s="163"/>
      <c r="D437" s="161"/>
      <c r="E437" s="109"/>
      <c r="F437" s="68"/>
      <c r="H437" s="44"/>
      <c r="I437" s="44"/>
      <c r="J437" s="119"/>
    </row>
    <row r="438" spans="1:10" s="1" customFormat="1" ht="15" customHeight="1">
      <c r="B438" s="92"/>
      <c r="C438" s="161"/>
      <c r="D438" s="161"/>
      <c r="E438" s="109"/>
      <c r="F438" s="228"/>
      <c r="H438" s="44"/>
      <c r="I438" s="44"/>
      <c r="J438" s="119"/>
    </row>
    <row r="439" spans="1:10" s="1" customFormat="1" ht="15" customHeight="1">
      <c r="A439" s="64" t="str">
        <f>A18</f>
        <v>240-7 Panel (3L4R)</v>
      </c>
      <c r="B439" s="92"/>
      <c r="C439" s="161"/>
      <c r="D439" s="161"/>
      <c r="E439" s="109"/>
      <c r="F439" s="228"/>
      <c r="H439" s="44"/>
      <c r="I439" s="44"/>
      <c r="J439" s="119"/>
    </row>
    <row r="440" spans="1:10" s="1" customFormat="1" ht="15.9" customHeight="1">
      <c r="A440" s="76" t="str">
        <f>A19</f>
        <v xml:space="preserve">Outside Bi Fold Door </v>
      </c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44"/>
      <c r="B442" s="38"/>
      <c r="C442" s="43"/>
      <c r="D442" s="161"/>
      <c r="E442" s="109"/>
      <c r="F442" s="109"/>
      <c r="H442" s="44"/>
      <c r="I442" s="44"/>
      <c r="J442" s="119"/>
    </row>
    <row r="443" spans="1:10" s="1" customFormat="1" ht="15.9" customHeight="1">
      <c r="A443" s="40"/>
      <c r="C443" s="44"/>
      <c r="D443" s="84"/>
      <c r="E443" s="44"/>
      <c r="F443" s="44"/>
      <c r="H443" s="44"/>
      <c r="I443" s="44"/>
      <c r="J443" s="119"/>
    </row>
    <row r="444" spans="1:10" s="1" customFormat="1" ht="35.1" customHeight="1">
      <c r="A444" s="109"/>
      <c r="C444" s="161"/>
      <c r="D444" s="85"/>
      <c r="E444" s="40"/>
      <c r="F444" s="32"/>
      <c r="H444" s="44"/>
      <c r="I444" s="24"/>
      <c r="J444" s="24"/>
    </row>
    <row r="445" spans="1:10" ht="15.6">
      <c r="B445" s="64"/>
      <c r="C445" s="163"/>
      <c r="D445" s="161"/>
      <c r="E445" s="109"/>
      <c r="F445" s="161"/>
      <c r="G445" s="109"/>
      <c r="H445" s="109"/>
    </row>
    <row r="450" spans="1:10" s="1" customFormat="1" ht="15.9" customHeight="1">
      <c r="A450" s="109"/>
      <c r="B450"/>
      <c r="C450"/>
      <c r="D450" s="81"/>
      <c r="E450"/>
      <c r="F450"/>
      <c r="G450"/>
      <c r="H450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44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1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163"/>
      <c r="D456" s="161"/>
      <c r="E456" s="109"/>
      <c r="F456" s="161"/>
      <c r="G456" s="109"/>
      <c r="H456" s="109"/>
      <c r="I456" s="109"/>
      <c r="J456" s="24"/>
    </row>
    <row r="457" spans="1:10" s="1" customFormat="1" ht="15.9" customHeight="1">
      <c r="A457" s="109"/>
      <c r="B457" s="33"/>
      <c r="C457" s="161"/>
      <c r="D457" s="161"/>
      <c r="E457" s="109"/>
      <c r="F457" s="161"/>
      <c r="G457" s="109"/>
      <c r="H457" s="109"/>
      <c r="I457" s="24"/>
      <c r="J457" s="24"/>
    </row>
    <row r="458" spans="1:10" s="1" customFormat="1" ht="15.9" customHeight="1">
      <c r="A458" s="109"/>
      <c r="B458" s="33"/>
      <c r="C458" s="33"/>
      <c r="D458" s="161"/>
      <c r="E458" s="109"/>
      <c r="F458" s="109"/>
      <c r="G458" s="109"/>
      <c r="H458" s="109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7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" customHeight="1">
      <c r="A476" s="109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23" customFormat="1" ht="15.9" customHeight="1">
      <c r="A477" s="109"/>
      <c r="B477" s="33"/>
      <c r="C477" s="33"/>
      <c r="D477" s="161"/>
      <c r="E477" s="109"/>
      <c r="F477" s="109"/>
      <c r="G477" s="109"/>
      <c r="H477" s="109"/>
      <c r="I477" s="109"/>
      <c r="J477" s="109"/>
    </row>
    <row r="478" spans="1:10" s="1" customFormat="1" ht="15.9" customHeight="1">
      <c r="A478" s="44"/>
      <c r="B478" s="33"/>
      <c r="C478" s="33"/>
      <c r="D478" s="161"/>
      <c r="E478" s="109"/>
      <c r="F478" s="109"/>
      <c r="G478" s="109"/>
      <c r="H478" s="109"/>
      <c r="I478" s="44"/>
      <c r="J478" s="119"/>
    </row>
    <row r="479" spans="1:10" s="1" customFormat="1" ht="15.9" customHeight="1">
      <c r="A479" s="40"/>
      <c r="B479" s="44"/>
      <c r="C479" s="44"/>
      <c r="D479" s="84"/>
      <c r="E479" s="44"/>
      <c r="F479" s="44"/>
      <c r="G479" s="44"/>
      <c r="H479" s="44"/>
      <c r="I479" s="32"/>
      <c r="J479" s="40"/>
    </row>
    <row r="480" spans="1:10" s="1" customFormat="1" ht="15.9" customHeight="1">
      <c r="A480" s="27"/>
      <c r="B480" s="40"/>
      <c r="C480" s="44"/>
      <c r="D480" s="85"/>
      <c r="E480" s="40"/>
      <c r="F480" s="32"/>
      <c r="G480" s="40"/>
      <c r="H480" s="32"/>
      <c r="I480" s="24"/>
      <c r="J480" s="24"/>
    </row>
    <row r="481" spans="1:10" s="1" customFormat="1" ht="15.9" customHeight="1">
      <c r="A481" s="27"/>
      <c r="B481" s="33"/>
      <c r="C481" s="42"/>
      <c r="D481" s="161"/>
      <c r="E481" s="109"/>
      <c r="F481" s="109"/>
      <c r="G481" s="109"/>
      <c r="H481" s="42"/>
      <c r="I481" s="67"/>
      <c r="J481" s="165"/>
    </row>
    <row r="482" spans="1:10" s="1" customFormat="1" ht="15.9" customHeight="1">
      <c r="A482" s="27"/>
      <c r="B482" s="33"/>
      <c r="C482" s="163"/>
      <c r="D482" s="161"/>
      <c r="E482" s="109"/>
      <c r="F482" s="109"/>
      <c r="G482" s="109"/>
      <c r="H482" s="67"/>
      <c r="I482" s="38"/>
      <c r="J482" s="109"/>
    </row>
    <row r="483" spans="1:10" s="1" customFormat="1" ht="15.9" customHeight="1">
      <c r="A483" s="27"/>
      <c r="B483" s="33"/>
      <c r="C483" s="161"/>
      <c r="D483" s="161"/>
      <c r="E483" s="109"/>
      <c r="F483" s="109"/>
      <c r="G483" s="109"/>
      <c r="H483" s="38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46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161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D495" s="161"/>
      <c r="E495" s="109"/>
      <c r="F495" s="109"/>
      <c r="G495" s="33"/>
      <c r="H495" s="33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42"/>
      <c r="I499" s="67"/>
      <c r="J499" s="165"/>
    </row>
    <row r="500" spans="1:10" s="1" customFormat="1" ht="15.9" customHeight="1">
      <c r="A500" s="27"/>
      <c r="B500" s="33"/>
      <c r="C500" s="47"/>
      <c r="D500" s="161"/>
      <c r="E500" s="109"/>
      <c r="F500" s="109"/>
      <c r="G500" s="109"/>
      <c r="H500" s="67"/>
      <c r="I500" s="38"/>
      <c r="J500" s="109"/>
    </row>
    <row r="501" spans="1:10" s="1" customFormat="1" ht="15.9" customHeight="1">
      <c r="A501" s="27"/>
      <c r="B501" s="33"/>
      <c r="C501" s="46"/>
      <c r="D501" s="161"/>
      <c r="E501" s="109"/>
      <c r="F501" s="109"/>
      <c r="G501" s="109"/>
      <c r="H501" s="38"/>
      <c r="I501" s="24"/>
      <c r="J501" s="24"/>
    </row>
    <row r="502" spans="1:10" s="1" customFormat="1" ht="15.9" customHeight="1">
      <c r="A502" s="27"/>
      <c r="B502" s="33"/>
      <c r="C502" s="161"/>
      <c r="D502" s="161"/>
      <c r="E502" s="109"/>
      <c r="F502" s="109"/>
      <c r="G502" s="109"/>
      <c r="H502" s="42"/>
      <c r="I502" s="67"/>
      <c r="J502" s="165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67"/>
      <c r="I503" s="38"/>
      <c r="J503" s="109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38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66"/>
      <c r="I511" s="38"/>
      <c r="J511" s="109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66"/>
      <c r="I512" s="38"/>
      <c r="J512" s="109"/>
    </row>
    <row r="513" spans="1:22" s="1" customFormat="1" ht="15.9" customHeight="1">
      <c r="A513" s="44"/>
      <c r="B513" s="33"/>
      <c r="C513" s="33"/>
      <c r="D513" s="161"/>
      <c r="E513" s="109"/>
      <c r="F513" s="109"/>
      <c r="G513" s="109"/>
      <c r="H513" s="67"/>
      <c r="I513" s="44"/>
      <c r="J513" s="119"/>
    </row>
    <row r="514" spans="1:22" s="1" customFormat="1" ht="15.9" customHeight="1">
      <c r="A514" s="44"/>
      <c r="B514" s="44"/>
      <c r="C514" s="44"/>
      <c r="D514" s="84"/>
      <c r="E514" s="44"/>
      <c r="F514" s="44"/>
      <c r="G514" s="44"/>
      <c r="H514" s="44"/>
      <c r="I514" s="44"/>
      <c r="J514" s="119"/>
    </row>
    <row r="515" spans="1:22" s="1" customFormat="1" ht="15.9" customHeight="1">
      <c r="A515" s="44"/>
      <c r="B515" s="44"/>
      <c r="C515" s="44"/>
      <c r="D515" s="84"/>
      <c r="E515" s="44"/>
      <c r="F515" s="44"/>
      <c r="G515" s="44"/>
      <c r="H515" s="44"/>
      <c r="I515" s="44"/>
      <c r="J515" s="119"/>
    </row>
    <row r="516" spans="1:22" s="1" customFormat="1" ht="15.9" customHeight="1">
      <c r="B516" s="44"/>
      <c r="C516" s="44"/>
      <c r="D516" s="84"/>
      <c r="E516" s="44"/>
      <c r="F516" s="44"/>
      <c r="G516" s="44"/>
      <c r="H516" s="44"/>
    </row>
    <row r="517" spans="1:22" s="1" customFormat="1" ht="15.9" customHeight="1" thickBot="1"/>
    <row r="518" spans="1:22" s="1" customFormat="1" ht="24.9" customHeight="1" thickBot="1">
      <c r="A518" s="502" t="s">
        <v>401</v>
      </c>
      <c r="B518" s="503"/>
      <c r="C518" s="503"/>
      <c r="D518" s="503"/>
      <c r="E518" s="503"/>
      <c r="F518" s="503"/>
      <c r="G518" s="503"/>
      <c r="H518" s="503"/>
      <c r="I518" s="503"/>
      <c r="J518" s="504"/>
    </row>
    <row r="519" spans="1:22" s="1" customFormat="1" ht="35.1" customHeight="1" thickBot="1">
      <c r="A519" s="102" t="s">
        <v>2</v>
      </c>
      <c r="B519" s="103" t="s">
        <v>3</v>
      </c>
      <c r="C519" s="103" t="s">
        <v>3</v>
      </c>
      <c r="D519" s="104" t="s">
        <v>35</v>
      </c>
      <c r="E519" s="103" t="s">
        <v>5</v>
      </c>
      <c r="F519" s="339" t="s">
        <v>27</v>
      </c>
      <c r="G519" s="305"/>
      <c r="H519" s="104" t="s">
        <v>27</v>
      </c>
      <c r="I519" s="104" t="s">
        <v>26</v>
      </c>
      <c r="J519" s="115" t="s">
        <v>6</v>
      </c>
      <c r="N519" s="249" t="s">
        <v>3</v>
      </c>
      <c r="O519" s="249" t="s">
        <v>3</v>
      </c>
    </row>
    <row r="520" spans="1:22" s="1" customFormat="1" ht="15.9" customHeight="1">
      <c r="A520" s="123">
        <f>IF(C520="","",1)</f>
        <v>1</v>
      </c>
      <c r="B520" s="121" t="str">
        <f>IF($D$127=5,N520,IF($D$127=6,N521,IF($D$127=8,N522,IF($D$127=10,N523,IF($D$127=12,N524,IF($D$127=14,N525,IF($D$127=18,N526,IF($D$127=20,N527,IF($D$127=22,N528,)))))))))</f>
        <v>กระจก 8 mm (สูง) (กว้าง)</v>
      </c>
      <c r="C520" s="121" t="str">
        <f>IF($D$127=5,O520,IF($D$127=6,O521,IF($D$127=8,O522,IF($D$127=10,O523,IF($D$127=12,O524,IF($D$127=14,O525,IF($D$127=18,O526,IF($D$127=20,O527,IF($D$127=22,O528,)))))))))</f>
        <v>GLASS thk.8 mm (H) (W)</v>
      </c>
      <c r="D520" s="124">
        <f>$J$123-215</f>
        <v>2685</v>
      </c>
      <c r="E520" s="123" t="s">
        <v>11</v>
      </c>
      <c r="F520" s="527" t="s">
        <v>271</v>
      </c>
      <c r="G520" s="528"/>
      <c r="H520" s="123" t="s">
        <v>409</v>
      </c>
      <c r="I520" s="124">
        <f>(($J$126-185-(113.25*6))/7)-13</f>
        <v>577.78571428571433</v>
      </c>
      <c r="J520" s="151">
        <f>$J$120*7</f>
        <v>7</v>
      </c>
      <c r="M520" s="1">
        <f>ROW()</f>
        <v>520</v>
      </c>
      <c r="N520" s="19" t="s">
        <v>194</v>
      </c>
      <c r="O520" s="19" t="s">
        <v>195</v>
      </c>
    </row>
    <row r="521" spans="1:22" s="1" customFormat="1" ht="15.9" customHeight="1">
      <c r="A521" s="346"/>
      <c r="B521" s="295"/>
      <c r="C521" s="295"/>
      <c r="D521" s="296"/>
      <c r="E521" s="238"/>
      <c r="F521" s="251"/>
      <c r="G521" s="297"/>
      <c r="H521" s="238"/>
      <c r="I521" s="298"/>
      <c r="J521" s="299"/>
      <c r="M521" s="1">
        <f>ROW()</f>
        <v>521</v>
      </c>
      <c r="N521" s="19" t="s">
        <v>53</v>
      </c>
      <c r="O521" s="19" t="s">
        <v>54</v>
      </c>
    </row>
    <row r="522" spans="1:22" s="1" customFormat="1" ht="15.9" customHeight="1">
      <c r="A522" s="346"/>
      <c r="B522" s="295"/>
      <c r="C522" s="295"/>
      <c r="D522" s="296"/>
      <c r="E522" s="238"/>
      <c r="F522" s="251"/>
      <c r="G522" s="297"/>
      <c r="H522" s="238"/>
      <c r="I522" s="298"/>
      <c r="J522" s="299"/>
      <c r="M522" s="1">
        <f>ROW()</f>
        <v>522</v>
      </c>
      <c r="N522" s="19" t="s">
        <v>257</v>
      </c>
      <c r="O522" s="19" t="s">
        <v>258</v>
      </c>
    </row>
    <row r="523" spans="1:22" s="1" customFormat="1" ht="15.9" customHeight="1">
      <c r="A523" s="129" t="str">
        <f>IF(B523="","",+#REF!+1)</f>
        <v/>
      </c>
      <c r="B523" s="127"/>
      <c r="C523" s="127"/>
      <c r="D523" s="128"/>
      <c r="E523" s="129"/>
      <c r="F523" s="155"/>
      <c r="G523" s="157"/>
      <c r="H523" s="129"/>
      <c r="I523" s="144"/>
      <c r="J523" s="130"/>
      <c r="M523" s="1">
        <f>ROW()</f>
        <v>523</v>
      </c>
      <c r="N523" s="19" t="s">
        <v>259</v>
      </c>
      <c r="O523" s="19" t="s">
        <v>265</v>
      </c>
    </row>
    <row r="524" spans="1:22" s="1" customFormat="1" ht="15.9" customHeight="1">
      <c r="A524" s="135" t="str">
        <f>IF(B524="","",+A523+1)</f>
        <v/>
      </c>
      <c r="B524" s="133"/>
      <c r="C524" s="133"/>
      <c r="D524" s="134"/>
      <c r="E524" s="135"/>
      <c r="F524" s="158"/>
      <c r="G524" s="159"/>
      <c r="H524" s="135"/>
      <c r="I524" s="145"/>
      <c r="J524" s="136"/>
      <c r="M524" s="1">
        <f>ROW()</f>
        <v>524</v>
      </c>
      <c r="N524" s="19" t="s">
        <v>260</v>
      </c>
      <c r="O524" s="19" t="s">
        <v>266</v>
      </c>
    </row>
    <row r="525" spans="1:22" s="1" customFormat="1" ht="15.9" customHeight="1">
      <c r="A525" s="17"/>
      <c r="B525" s="56"/>
      <c r="C525" s="56"/>
      <c r="D525" s="30"/>
      <c r="E525" s="17"/>
      <c r="F525" s="17"/>
      <c r="G525" s="17"/>
      <c r="H525" s="109"/>
      <c r="I525" s="109"/>
      <c r="J525" s="24"/>
      <c r="M525" s="1">
        <f>ROW()</f>
        <v>525</v>
      </c>
      <c r="N525" s="19" t="s">
        <v>261</v>
      </c>
      <c r="O525" s="19" t="s">
        <v>267</v>
      </c>
    </row>
    <row r="526" spans="1:22">
      <c r="H526" s="294"/>
      <c r="I526" s="294"/>
      <c r="J526" s="99" t="str">
        <f>LEFT($J$111,13)&amp;"-05"</f>
        <v>FG-240-7P3L4R-05</v>
      </c>
      <c r="M526" s="1">
        <f>ROW()</f>
        <v>526</v>
      </c>
      <c r="N526" s="19" t="s">
        <v>262</v>
      </c>
      <c r="O526" s="19" t="s">
        <v>268</v>
      </c>
      <c r="P526" s="1"/>
      <c r="Q526" s="1"/>
      <c r="R526" s="1"/>
      <c r="S526" s="1"/>
      <c r="T526" s="1"/>
      <c r="U526" s="1"/>
      <c r="V526" s="1"/>
    </row>
    <row r="527" spans="1:22">
      <c r="M527" s="1">
        <f>ROW()</f>
        <v>527</v>
      </c>
      <c r="N527" s="19" t="s">
        <v>263</v>
      </c>
      <c r="O527" s="19" t="s">
        <v>269</v>
      </c>
    </row>
    <row r="528" spans="1:22">
      <c r="M528" s="1">
        <f>ROW()</f>
        <v>528</v>
      </c>
      <c r="N528" s="19" t="s">
        <v>264</v>
      </c>
      <c r="O528" s="19" t="s">
        <v>270</v>
      </c>
    </row>
  </sheetData>
  <sheetProtection selectLockedCells="1" selectUnlockedCells="1"/>
  <dataConsolidate function="product">
    <dataRefs count="1">
      <dataRef ref="O154:O162" sheet="240_2Panel(L)" r:id="rId1"/>
    </dataRefs>
  </dataConsolidate>
  <mergeCells count="46">
    <mergeCell ref="D171:D172"/>
    <mergeCell ref="H163:H168"/>
    <mergeCell ref="H161:H162"/>
    <mergeCell ref="H169:H170"/>
    <mergeCell ref="H171:H172"/>
    <mergeCell ref="D163:D168"/>
    <mergeCell ref="D169:D170"/>
    <mergeCell ref="A6:J6"/>
    <mergeCell ref="H120:I121"/>
    <mergeCell ref="J120:J121"/>
    <mergeCell ref="A117:J117"/>
    <mergeCell ref="D119:G119"/>
    <mergeCell ref="D121:G121"/>
    <mergeCell ref="A131:J131"/>
    <mergeCell ref="I154:J154"/>
    <mergeCell ref="I155:J155"/>
    <mergeCell ref="I156:J156"/>
    <mergeCell ref="D123:G123"/>
    <mergeCell ref="D125:G125"/>
    <mergeCell ref="D129:G129"/>
    <mergeCell ref="H123:I124"/>
    <mergeCell ref="J123:J124"/>
    <mergeCell ref="A125:B125"/>
    <mergeCell ref="H126:I127"/>
    <mergeCell ref="J126:J127"/>
    <mergeCell ref="D127:G127"/>
    <mergeCell ref="D159:D160"/>
    <mergeCell ref="H159:H160"/>
    <mergeCell ref="I159:J160"/>
    <mergeCell ref="I161:J161"/>
    <mergeCell ref="D161:D162"/>
    <mergeCell ref="I157:J157"/>
    <mergeCell ref="I162:J165"/>
    <mergeCell ref="I166:J167"/>
    <mergeCell ref="I168:J168"/>
    <mergeCell ref="I158:J158"/>
    <mergeCell ref="F520:G520"/>
    <mergeCell ref="A518:J518"/>
    <mergeCell ref="A427:J427"/>
    <mergeCell ref="A320:J320"/>
    <mergeCell ref="A173:J173"/>
    <mergeCell ref="F334:G334"/>
    <mergeCell ref="F330:G330"/>
    <mergeCell ref="F331:G331"/>
    <mergeCell ref="A213:J213"/>
    <mergeCell ref="C308:E308"/>
  </mergeCells>
  <dataValidations count="4">
    <dataValidation type="list" allowBlank="1" showInputMessage="1" showErrorMessage="1" sqref="C206">
      <formula1>$O$175:$O$193</formula1>
    </dataValidation>
    <dataValidation type="list" allowBlank="1" showInputMessage="1" showErrorMessage="1" sqref="D123:G123">
      <formula1>$P$118:$P$127</formula1>
    </dataValidation>
    <dataValidation type="list" allowBlank="1" showInputMessage="1" showErrorMessage="1" sqref="D127:G127">
      <formula1>$N$119:$N$127</formula1>
    </dataValidation>
    <dataValidation type="list" allowBlank="1" showInputMessage="1" showErrorMessage="1" sqref="D129:G129">
      <formula1>$O$119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16383" man="1"/>
    <brk id="421" max="9" man="1"/>
  </rowBreaks>
  <drawing r:id="rId3"/>
  <legacyDrawing r:id="rId4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5">
    <tabColor theme="5" tint="-0.249977111117893"/>
  </sheetPr>
  <dimension ref="A1:X528"/>
  <sheetViews>
    <sheetView showGridLines="0" view="pageBreakPreview" topLeftCell="A100" zoomScale="75" zoomScaleNormal="75" zoomScaleSheetLayoutView="75" workbookViewId="0">
      <selection activeCell="D127" sqref="D127:G127"/>
    </sheetView>
  </sheetViews>
  <sheetFormatPr defaultRowHeight="14.4" outlineLevelRow="1" outlineLevelCol="1"/>
  <cols>
    <col min="1" max="1" width="7" customWidth="1"/>
    <col min="2" max="2" width="40.6640625" customWidth="1"/>
    <col min="3" max="3" width="61.10937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6.6640625" customWidth="1"/>
    <col min="9" max="9" width="11.109375" bestFit="1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0.4414062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31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31"/>
      <c r="E3" s="231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184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/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>
      <c r="G55" s="10"/>
    </row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347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31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31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8">
      <c r="A118" s="12"/>
      <c r="C118" s="8"/>
      <c r="D118" s="15"/>
      <c r="E118" s="13"/>
      <c r="J118" s="230"/>
      <c r="K118" s="11"/>
      <c r="L118" s="56"/>
      <c r="M118" s="56"/>
      <c r="N118" s="243" t="s">
        <v>191</v>
      </c>
      <c r="O118" s="12" t="s">
        <v>227</v>
      </c>
      <c r="P118" s="247" t="s">
        <v>16</v>
      </c>
    </row>
    <row r="119" spans="1:16" s="1" customFormat="1" ht="15" customHeight="1">
      <c r="A119" s="12"/>
      <c r="C119" s="110" t="s">
        <v>635</v>
      </c>
      <c r="D119" s="524" t="s">
        <v>679</v>
      </c>
      <c r="E119" s="525"/>
      <c r="F119" s="525"/>
      <c r="G119" s="526"/>
      <c r="I119" s="16"/>
      <c r="J119" s="12"/>
      <c r="N119" s="244">
        <v>5</v>
      </c>
      <c r="O119" s="12" t="s">
        <v>243</v>
      </c>
      <c r="P119" s="335" t="s">
        <v>389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5">
        <v>6</v>
      </c>
      <c r="O120" s="12" t="s">
        <v>244</v>
      </c>
      <c r="P120" s="336" t="s">
        <v>390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8</v>
      </c>
      <c r="P121" s="336" t="s">
        <v>391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10</v>
      </c>
      <c r="P122" s="336" t="s">
        <v>392</v>
      </c>
    </row>
    <row r="123" spans="1:16" s="1" customFormat="1" ht="15" customHeight="1">
      <c r="A123" s="12"/>
      <c r="C123" s="110" t="s">
        <v>629</v>
      </c>
      <c r="D123" s="524" t="s">
        <v>15</v>
      </c>
      <c r="E123" s="525"/>
      <c r="F123" s="525"/>
      <c r="G123" s="526"/>
      <c r="H123" s="519" t="s">
        <v>638</v>
      </c>
      <c r="I123" s="520"/>
      <c r="J123" s="517">
        <v>3335</v>
      </c>
      <c r="N123" s="245">
        <v>12</v>
      </c>
      <c r="P123" s="335" t="s">
        <v>393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14</v>
      </c>
      <c r="P124" s="335" t="s">
        <v>394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228"/>
      <c r="L125" s="77"/>
      <c r="N125" s="245">
        <v>18</v>
      </c>
      <c r="P125" s="335" t="s">
        <v>395</v>
      </c>
    </row>
    <row r="126" spans="1:16" s="1" customFormat="1" ht="15" customHeight="1">
      <c r="A126" s="230"/>
      <c r="B126" s="230"/>
      <c r="C126" s="423" t="s">
        <v>631</v>
      </c>
      <c r="D126" s="15"/>
      <c r="H126" s="519" t="s">
        <v>639</v>
      </c>
      <c r="I126" s="520"/>
      <c r="J126" s="517">
        <v>4722</v>
      </c>
      <c r="K126" s="228"/>
      <c r="L126" s="77"/>
      <c r="N126" s="245">
        <v>20</v>
      </c>
      <c r="P126" s="335" t="s">
        <v>396</v>
      </c>
    </row>
    <row r="127" spans="1:16" s="1" customFormat="1" ht="15" customHeight="1">
      <c r="A127" s="230"/>
      <c r="B127" s="230"/>
      <c r="C127" s="110" t="s">
        <v>633</v>
      </c>
      <c r="D127" s="534">
        <v>6</v>
      </c>
      <c r="E127" s="535"/>
      <c r="F127" s="535"/>
      <c r="G127" s="536"/>
      <c r="H127" s="520"/>
      <c r="I127" s="520"/>
      <c r="J127" s="518"/>
      <c r="N127" s="245">
        <v>22</v>
      </c>
      <c r="P127" s="335" t="s">
        <v>397</v>
      </c>
    </row>
    <row r="128" spans="1:16" s="1" customFormat="1" ht="18.75" customHeight="1">
      <c r="C128" s="423" t="s">
        <v>632</v>
      </c>
      <c r="I128" s="12"/>
      <c r="J128" s="12"/>
    </row>
    <row r="129" spans="1:23" s="1" customFormat="1" ht="15" customHeight="1">
      <c r="A129" s="88" t="str">
        <f>A18</f>
        <v>240-7 Panel (4L3R)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4662</v>
      </c>
      <c r="J133" s="125">
        <f t="shared" ref="J133:J153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14</v>
      </c>
      <c r="U133" s="283" t="s">
        <v>300</v>
      </c>
      <c r="V133" s="285">
        <f>($J$126-185-(113.25*6))/7</f>
        <v>551.07142857142856</v>
      </c>
      <c r="W133" s="286">
        <f>$J$120*T133</f>
        <v>14</v>
      </c>
    </row>
    <row r="134" spans="1:23" s="1" customFormat="1" ht="18" customHeight="1">
      <c r="A134" s="143">
        <f t="shared" ref="A134:A152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4636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14</v>
      </c>
      <c r="U134" s="129" t="s">
        <v>300</v>
      </c>
      <c r="V134" s="144">
        <f>($J$126-185-(113.25*6))/7</f>
        <v>551.07142857142856</v>
      </c>
      <c r="W134" s="131">
        <f t="shared" ref="W134:W135" si="2">$J$120*T134</f>
        <v>14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4662</v>
      </c>
      <c r="J135" s="131">
        <f t="shared" ref="J135:J139" si="3">$J$120*G135</f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14</v>
      </c>
      <c r="U135" s="135" t="s">
        <v>300</v>
      </c>
      <c r="V135" s="145">
        <f>($J$126-185-(113.25*6))/7</f>
        <v>551.07142857142856</v>
      </c>
      <c r="W135" s="293">
        <f t="shared" si="2"/>
        <v>14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4662</v>
      </c>
      <c r="J136" s="131">
        <f t="shared" si="3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14</v>
      </c>
      <c r="U136" s="283" t="s">
        <v>64</v>
      </c>
      <c r="V136" s="288">
        <f>$J$123-242</f>
        <v>3093</v>
      </c>
      <c r="W136" s="286">
        <f>$J$120*T136</f>
        <v>14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3335</v>
      </c>
      <c r="J137" s="131">
        <f t="shared" si="3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14</v>
      </c>
      <c r="U137" s="129" t="s">
        <v>64</v>
      </c>
      <c r="V137" s="130">
        <f>$J$123-242</f>
        <v>3093</v>
      </c>
      <c r="W137" s="131">
        <f t="shared" ref="W137:W138" si="4">$J$120*T137</f>
        <v>14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3335</v>
      </c>
      <c r="J138" s="131">
        <f t="shared" si="3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14</v>
      </c>
      <c r="U138" s="135" t="s">
        <v>64</v>
      </c>
      <c r="V138" s="136">
        <f>$J$123-242</f>
        <v>3093</v>
      </c>
      <c r="W138" s="293">
        <f t="shared" si="4"/>
        <v>14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3239</v>
      </c>
      <c r="J139" s="131">
        <f t="shared" si="3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3239</v>
      </c>
      <c r="J140" s="131">
        <f t="shared" ref="J140" si="5">$J$120*G140</f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7</v>
      </c>
      <c r="H141" s="143" t="s">
        <v>300</v>
      </c>
      <c r="I141" s="178">
        <f>($J$126-185-(113.25*6))/7</f>
        <v>551.07142857142856</v>
      </c>
      <c r="J141" s="131">
        <f t="shared" ref="J141:J150" si="6">$J$120*G141</f>
        <v>7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7</v>
      </c>
      <c r="H142" s="143" t="s">
        <v>300</v>
      </c>
      <c r="I142" s="178">
        <f>($J$126-185-(113.25*6))/7</f>
        <v>551.07142857142856</v>
      </c>
      <c r="J142" s="131">
        <f t="shared" si="6"/>
        <v>7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10</v>
      </c>
      <c r="H143" s="143" t="s">
        <v>63</v>
      </c>
      <c r="I143" s="130">
        <f>$J$123-92</f>
        <v>3243</v>
      </c>
      <c r="J143" s="131">
        <f t="shared" si="6"/>
        <v>10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2</v>
      </c>
      <c r="H144" s="143" t="s">
        <v>63</v>
      </c>
      <c r="I144" s="130">
        <f t="shared" ref="I144:I146" si="7">$J$123-92</f>
        <v>3243</v>
      </c>
      <c r="J144" s="131">
        <f t="shared" si="6"/>
        <v>2</v>
      </c>
      <c r="N144" s="98"/>
    </row>
    <row r="145" spans="1:14" s="1" customFormat="1" ht="18" customHeight="1">
      <c r="A145" s="143">
        <f t="shared" si="1"/>
        <v>13</v>
      </c>
      <c r="B145" s="140" t="s">
        <v>8</v>
      </c>
      <c r="C145" s="140" t="s">
        <v>58</v>
      </c>
      <c r="D145" s="139" t="s">
        <v>50</v>
      </c>
      <c r="E145" s="143">
        <v>1.1060000000000001</v>
      </c>
      <c r="F145" s="139" t="s">
        <v>496</v>
      </c>
      <c r="G145" s="143">
        <v>1</v>
      </c>
      <c r="H145" s="143" t="s">
        <v>63</v>
      </c>
      <c r="I145" s="130">
        <f t="shared" si="7"/>
        <v>3243</v>
      </c>
      <c r="J145" s="131">
        <f t="shared" si="6"/>
        <v>1</v>
      </c>
      <c r="N145" s="98"/>
    </row>
    <row r="146" spans="1:14" s="1" customFormat="1" ht="18" customHeight="1">
      <c r="A146" s="143">
        <f t="shared" si="1"/>
        <v>14</v>
      </c>
      <c r="B146" s="140" t="s">
        <v>116</v>
      </c>
      <c r="C146" s="140" t="s">
        <v>99</v>
      </c>
      <c r="D146" s="139" t="s">
        <v>50</v>
      </c>
      <c r="E146" s="143">
        <v>1.1060000000000001</v>
      </c>
      <c r="F146" s="139" t="s">
        <v>507</v>
      </c>
      <c r="G146" s="143">
        <v>1</v>
      </c>
      <c r="H146" s="143" t="s">
        <v>63</v>
      </c>
      <c r="I146" s="130">
        <f t="shared" si="7"/>
        <v>3243</v>
      </c>
      <c r="J146" s="131">
        <f t="shared" si="6"/>
        <v>1</v>
      </c>
      <c r="N146" s="98"/>
    </row>
    <row r="147" spans="1:14" s="1" customFormat="1" ht="18" customHeight="1">
      <c r="A147" s="143">
        <f t="shared" si="1"/>
        <v>15</v>
      </c>
      <c r="B147" s="140" t="str">
        <f t="shared" ref="B147:I147" si="8">IF($D$127=5,O133,IF($D$127=6,O133,IF($D$127=8,O134,IF($D$127=10,O134,IF($D$127=12,O134,IF($D$127=14,O135,IF($D$127=18,O135,IF($D$127=20,O135,IF($D$127=22,O135,)))))))))</f>
        <v>5-6mm คิ้วตบกระจกแนวนอน</v>
      </c>
      <c r="C147" s="140" t="str">
        <f t="shared" si="8"/>
        <v>5-6mm GLAZING BEAD HORIZONTAL</v>
      </c>
      <c r="D147" s="140" t="str">
        <f t="shared" si="8"/>
        <v>B24008</v>
      </c>
      <c r="E147" s="140">
        <f t="shared" si="8"/>
        <v>0.23100000000000001</v>
      </c>
      <c r="F147" s="140" t="str">
        <f t="shared" si="8"/>
        <v>B24008-001</v>
      </c>
      <c r="G147" s="143">
        <f t="shared" si="8"/>
        <v>14</v>
      </c>
      <c r="H147" s="129" t="str">
        <f t="shared" si="8"/>
        <v>(W-185-(113.25 × 6))/7</v>
      </c>
      <c r="I147" s="178">
        <f t="shared" si="8"/>
        <v>551.07142857142856</v>
      </c>
      <c r="J147" s="131">
        <f t="shared" si="6"/>
        <v>14</v>
      </c>
      <c r="N147" s="98"/>
    </row>
    <row r="148" spans="1:14" s="1" customFormat="1" ht="18" customHeight="1">
      <c r="A148" s="143">
        <f t="shared" si="1"/>
        <v>16</v>
      </c>
      <c r="B148" s="140" t="str">
        <f t="shared" ref="B148:I148" si="9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40" t="str">
        <f t="shared" si="9"/>
        <v>5-6mm GLAZING BEAD VERTICAL</v>
      </c>
      <c r="D148" s="140" t="str">
        <f t="shared" si="9"/>
        <v>B24008</v>
      </c>
      <c r="E148" s="140">
        <f t="shared" si="9"/>
        <v>0.23100000000000001</v>
      </c>
      <c r="F148" s="140" t="str">
        <f t="shared" si="9"/>
        <v>B24008-002</v>
      </c>
      <c r="G148" s="143">
        <f t="shared" si="9"/>
        <v>14</v>
      </c>
      <c r="H148" s="129" t="str">
        <f t="shared" si="9"/>
        <v>H-242</v>
      </c>
      <c r="I148" s="144">
        <f t="shared" si="9"/>
        <v>3093</v>
      </c>
      <c r="J148" s="131">
        <f t="shared" si="6"/>
        <v>14</v>
      </c>
      <c r="N148" s="98"/>
    </row>
    <row r="149" spans="1:14" s="1" customFormat="1" ht="18" customHeight="1">
      <c r="A149" s="143">
        <f t="shared" si="1"/>
        <v>17</v>
      </c>
      <c r="B149" s="140" t="s">
        <v>125</v>
      </c>
      <c r="C149" s="140" t="s">
        <v>124</v>
      </c>
      <c r="D149" s="139" t="s">
        <v>123</v>
      </c>
      <c r="E149" s="143"/>
      <c r="F149" s="139" t="s">
        <v>362</v>
      </c>
      <c r="G149" s="143">
        <v>1</v>
      </c>
      <c r="H149" s="143" t="s">
        <v>63</v>
      </c>
      <c r="I149" s="130">
        <f>$J$123-92</f>
        <v>3243</v>
      </c>
      <c r="J149" s="131">
        <f t="shared" si="6"/>
        <v>1</v>
      </c>
      <c r="N149" s="98"/>
    </row>
    <row r="150" spans="1:14" s="1" customFormat="1" ht="18" customHeight="1">
      <c r="A150" s="143">
        <f t="shared" si="1"/>
        <v>18</v>
      </c>
      <c r="B150" s="140" t="s">
        <v>125</v>
      </c>
      <c r="C150" s="140" t="s">
        <v>124</v>
      </c>
      <c r="D150" s="139" t="s">
        <v>123</v>
      </c>
      <c r="E150" s="143"/>
      <c r="F150" s="139" t="s">
        <v>363</v>
      </c>
      <c r="G150" s="143">
        <v>1</v>
      </c>
      <c r="H150" s="143" t="s">
        <v>63</v>
      </c>
      <c r="I150" s="130">
        <f>$J$123-92</f>
        <v>3243</v>
      </c>
      <c r="J150" s="131">
        <f t="shared" si="6"/>
        <v>1</v>
      </c>
      <c r="N150" s="98"/>
    </row>
    <row r="151" spans="1:14" s="1" customFormat="1" ht="18" customHeight="1">
      <c r="A151" s="143" t="str">
        <f t="shared" si="1"/>
        <v/>
      </c>
      <c r="B151" s="140"/>
      <c r="C151" s="140"/>
      <c r="D151" s="139"/>
      <c r="E151" s="143"/>
      <c r="F151" s="139"/>
      <c r="G151" s="143"/>
      <c r="H151" s="143"/>
      <c r="I151" s="144"/>
      <c r="J151" s="131"/>
      <c r="N151" s="98"/>
    </row>
    <row r="152" spans="1:14" s="1" customFormat="1" ht="18" customHeight="1">
      <c r="A152" s="143" t="str">
        <f t="shared" si="1"/>
        <v/>
      </c>
      <c r="B152" s="140"/>
      <c r="C152" s="140"/>
      <c r="D152" s="139"/>
      <c r="E152" s="143"/>
      <c r="F152" s="139"/>
      <c r="G152" s="143"/>
      <c r="H152" s="143"/>
      <c r="I152" s="144"/>
      <c r="J152" s="131">
        <f t="shared" ref="J152" si="10">$J$120*G152</f>
        <v>0</v>
      </c>
      <c r="N152" s="98"/>
    </row>
    <row r="153" spans="1:14" s="1" customFormat="1" ht="18" customHeight="1" thickBot="1">
      <c r="A153" s="143" t="str">
        <f>IF(B153="","",+A140+1)</f>
        <v/>
      </c>
      <c r="B153" s="167"/>
      <c r="C153" s="167"/>
      <c r="D153" s="168"/>
      <c r="E153" s="166"/>
      <c r="F153" s="168"/>
      <c r="G153" s="166"/>
      <c r="H153" s="166"/>
      <c r="I153" s="171"/>
      <c r="J153" s="172">
        <f t="shared" si="0"/>
        <v>0</v>
      </c>
    </row>
    <row r="154" spans="1:14" s="1" customFormat="1" ht="27" outlineLevel="1" thickBot="1">
      <c r="A154" s="169" t="s">
        <v>2</v>
      </c>
      <c r="B154" s="169" t="s">
        <v>29</v>
      </c>
      <c r="C154" s="169" t="s">
        <v>3</v>
      </c>
      <c r="D154" s="169" t="s">
        <v>4</v>
      </c>
      <c r="E154" s="169" t="s">
        <v>5</v>
      </c>
      <c r="F154" s="177" t="s">
        <v>85</v>
      </c>
      <c r="G154" s="169" t="s">
        <v>22</v>
      </c>
      <c r="H154" s="170" t="s">
        <v>23</v>
      </c>
      <c r="I154" s="540"/>
      <c r="J154" s="541"/>
    </row>
    <row r="155" spans="1:14" s="1" customFormat="1" ht="15" customHeight="1" outlineLevel="1">
      <c r="A155" s="21">
        <f>IF(B155="","",1)</f>
        <v>1</v>
      </c>
      <c r="B155" s="173" t="str">
        <f t="shared" ref="B155:C161" si="11">B133</f>
        <v>เฟรมบน</v>
      </c>
      <c r="C155" s="173" t="str">
        <f t="shared" si="11"/>
        <v>HEAD</v>
      </c>
      <c r="D155" s="174" t="str">
        <f>VLOOKUP(C155,$C$133:$H$153,2,0)</f>
        <v>B24001</v>
      </c>
      <c r="E155" s="175">
        <f t="shared" ref="E155:E161" si="12">VLOOKUP(C155,$C$133:$H$153,3,0)</f>
        <v>1.603</v>
      </c>
      <c r="F155" s="353">
        <f>VLOOKUP(C155,$C$133:$J$153,7,0)</f>
        <v>4662</v>
      </c>
      <c r="G155" s="175">
        <f t="shared" ref="G155:G161" si="13">VLOOKUP(C155,$C$133:$J$153,8,0)</f>
        <v>1</v>
      </c>
      <c r="H155" s="191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ref="A156" si="14">IF(B156="","",+A155+1)</f>
        <v>2</v>
      </c>
      <c r="B156" s="173" t="str">
        <f t="shared" si="11"/>
        <v>บังใบบน</v>
      </c>
      <c r="C156" s="173" t="str">
        <f t="shared" si="11"/>
        <v>DOOR STOP HEAD</v>
      </c>
      <c r="D156" s="174" t="str">
        <f>VLOOKUP(C156,$C$133:$H$153,2,0)</f>
        <v>B24002</v>
      </c>
      <c r="E156" s="175">
        <f t="shared" si="12"/>
        <v>0.27800000000000002</v>
      </c>
      <c r="F156" s="353">
        <f t="shared" ref="F156:F161" si="15">VLOOKUP(C156,$C$133:$I$153,7,0)</f>
        <v>4636</v>
      </c>
      <c r="G156" s="175">
        <f t="shared" si="13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ref="A157:A161" si="16">IF(B157="","",+A156+1)</f>
        <v>3</v>
      </c>
      <c r="B157" s="173" t="str">
        <f t="shared" si="11"/>
        <v xml:space="preserve">เฟรมล่าง </v>
      </c>
      <c r="C157" s="173" t="str">
        <f t="shared" si="11"/>
        <v>SILL</v>
      </c>
      <c r="D157" s="174" t="str">
        <f>VLOOKUP(C157,$C$133:$H$153,2,0)</f>
        <v>B24003</v>
      </c>
      <c r="E157" s="175">
        <f t="shared" si="12"/>
        <v>1.603</v>
      </c>
      <c r="F157" s="353">
        <f t="shared" si="15"/>
        <v>4662</v>
      </c>
      <c r="G157" s="175">
        <f t="shared" si="13"/>
        <v>1</v>
      </c>
      <c r="H157" s="192">
        <f t="shared" ref="H157:H158" si="17">ROUNDUP((F157*G157)/6400,0)</f>
        <v>1</v>
      </c>
      <c r="I157" s="501"/>
      <c r="J157" s="501"/>
    </row>
    <row r="158" spans="1:14" s="1" customFormat="1" ht="15" customHeight="1" outlineLevel="1">
      <c r="A158" s="18">
        <f t="shared" si="16"/>
        <v>4</v>
      </c>
      <c r="B158" s="173" t="str">
        <f t="shared" si="11"/>
        <v>ตัวตับธรณี</v>
      </c>
      <c r="C158" s="173" t="str">
        <f t="shared" si="11"/>
        <v>DOOR STOP SILL</v>
      </c>
      <c r="D158" s="174" t="str">
        <f>VLOOKUP(C158,$C$133:$H$153,2,0)</f>
        <v>B24004</v>
      </c>
      <c r="E158" s="175">
        <f t="shared" si="12"/>
        <v>0.51600000000000001</v>
      </c>
      <c r="F158" s="353">
        <f t="shared" si="15"/>
        <v>4662</v>
      </c>
      <c r="G158" s="175">
        <f t="shared" si="13"/>
        <v>1</v>
      </c>
      <c r="H158" s="192">
        <f t="shared" si="17"/>
        <v>1</v>
      </c>
      <c r="I158" s="501"/>
      <c r="J158" s="501"/>
    </row>
    <row r="159" spans="1:14" s="1" customFormat="1" ht="15" customHeight="1" outlineLevel="1">
      <c r="A159" s="18">
        <f t="shared" si="16"/>
        <v>5</v>
      </c>
      <c r="B159" s="173" t="str">
        <f t="shared" si="11"/>
        <v>เฟรมข้าง (ซ้าย)</v>
      </c>
      <c r="C159" s="173" t="str">
        <f t="shared" si="11"/>
        <v>JAMB (L)</v>
      </c>
      <c r="D159" s="508" t="str">
        <f>VLOOKUP(C159,$C$133:$H$153,2,0)</f>
        <v>B24005</v>
      </c>
      <c r="E159" s="175">
        <f t="shared" si="12"/>
        <v>0.89300000000000002</v>
      </c>
      <c r="F159" s="353">
        <f t="shared" si="15"/>
        <v>3335</v>
      </c>
      <c r="G159" s="175">
        <f t="shared" si="13"/>
        <v>1</v>
      </c>
      <c r="H159" s="516">
        <f>ROUNDUP(((F159*G159)+(F160*G160))/6400,0)</f>
        <v>2</v>
      </c>
      <c r="I159" s="506"/>
      <c r="J159" s="506"/>
    </row>
    <row r="160" spans="1:14" s="1" customFormat="1" ht="15" customHeight="1" outlineLevel="1">
      <c r="A160" s="18">
        <f t="shared" si="16"/>
        <v>6</v>
      </c>
      <c r="B160" s="173" t="str">
        <f t="shared" si="11"/>
        <v>เฟรมข้าง (ขวา)</v>
      </c>
      <c r="C160" s="173" t="str">
        <f t="shared" si="11"/>
        <v>JAMB (R)</v>
      </c>
      <c r="D160" s="509"/>
      <c r="E160" s="175">
        <f t="shared" si="12"/>
        <v>0.89300000000000002</v>
      </c>
      <c r="F160" s="353">
        <f t="shared" si="15"/>
        <v>3335</v>
      </c>
      <c r="G160" s="175">
        <f t="shared" si="13"/>
        <v>1</v>
      </c>
      <c r="H160" s="516"/>
      <c r="I160" s="506"/>
      <c r="J160" s="506"/>
    </row>
    <row r="161" spans="1:23" s="1" customFormat="1" ht="15" customHeight="1" outlineLevel="1">
      <c r="A161" s="18">
        <f t="shared" si="16"/>
        <v>7</v>
      </c>
      <c r="B161" s="173" t="str">
        <f t="shared" si="11"/>
        <v>บังใบข้าง (ซ้าย)</v>
      </c>
      <c r="C161" s="173" t="str">
        <f t="shared" si="11"/>
        <v>DOOR STOP JAMB (L)</v>
      </c>
      <c r="D161" s="508" t="str">
        <f>VLOOKUP(C161,$C$133:$H$153,2,0)</f>
        <v>B24006</v>
      </c>
      <c r="E161" s="175">
        <f t="shared" si="12"/>
        <v>0.23499999999999999</v>
      </c>
      <c r="F161" s="353">
        <f t="shared" si="15"/>
        <v>3239</v>
      </c>
      <c r="G161" s="175">
        <f t="shared" si="13"/>
        <v>1</v>
      </c>
      <c r="H161" s="516">
        <f>ROUNDUP(((F161*G161)+(F162*G162))/6400,0)</f>
        <v>2</v>
      </c>
      <c r="I161" s="501"/>
      <c r="J161" s="501"/>
    </row>
    <row r="162" spans="1:23" s="1" customFormat="1" ht="15" customHeight="1" outlineLevel="1">
      <c r="A162" s="18">
        <f t="shared" ref="A162:A172" si="18">IF(B162="","",+A161+1)</f>
        <v>8</v>
      </c>
      <c r="B162" s="173" t="str">
        <f t="shared" ref="B162:C162" si="19">B140</f>
        <v>บังใบข้าง (ขวา)</v>
      </c>
      <c r="C162" s="173" t="str">
        <f t="shared" si="19"/>
        <v>DOOR STOP JAMB (R)</v>
      </c>
      <c r="D162" s="509"/>
      <c r="E162" s="175">
        <f t="shared" ref="E162:E172" si="20">VLOOKUP(C162,$C$133:$H$153,3,0)</f>
        <v>0.23499999999999999</v>
      </c>
      <c r="F162" s="353">
        <f t="shared" ref="F162:F172" si="21">VLOOKUP(C162,$C$133:$I$153,7,0)</f>
        <v>3239</v>
      </c>
      <c r="G162" s="175">
        <f t="shared" ref="G162:G172" si="22">VLOOKUP(C162,$C$133:$J$153,8,0)</f>
        <v>1</v>
      </c>
      <c r="H162" s="516"/>
      <c r="I162" s="506"/>
      <c r="J162" s="506"/>
    </row>
    <row r="163" spans="1:23" s="1" customFormat="1" ht="13.8" outlineLevel="1">
      <c r="A163" s="18">
        <f t="shared" si="18"/>
        <v>9</v>
      </c>
      <c r="B163" s="173" t="str">
        <f t="shared" ref="B163:C163" si="23">B141</f>
        <v>ขวางบน</v>
      </c>
      <c r="C163" s="173" t="str">
        <f t="shared" si="23"/>
        <v>SASH (Hor) (T)</v>
      </c>
      <c r="D163" s="508" t="str">
        <f t="shared" ref="D163:D171" si="24">VLOOKUP(C163,$C$133:$H$153,2,0)</f>
        <v>B24007</v>
      </c>
      <c r="E163" s="175">
        <f t="shared" si="20"/>
        <v>1.1060000000000001</v>
      </c>
      <c r="F163" s="353">
        <f t="shared" si="21"/>
        <v>551.07142857142856</v>
      </c>
      <c r="G163" s="175">
        <f t="shared" si="22"/>
        <v>7</v>
      </c>
      <c r="H163" s="512">
        <f>ROUNDUP(((F163*G163)+(F164*G164)+(F165*G165)+(F166*G166)+(F167*G167)+(F168*G168))/6400,0)</f>
        <v>9</v>
      </c>
      <c r="I163" s="506"/>
      <c r="J163" s="506"/>
    </row>
    <row r="164" spans="1:23" s="1" customFormat="1" ht="13.8" outlineLevel="1">
      <c r="A164" s="18">
        <f t="shared" si="18"/>
        <v>10</v>
      </c>
      <c r="B164" s="173" t="str">
        <f t="shared" ref="B164:C164" si="25">B142</f>
        <v>ขวางล่าง</v>
      </c>
      <c r="C164" s="173" t="str">
        <f t="shared" si="25"/>
        <v>SASH (Hor) (B)</v>
      </c>
      <c r="D164" s="510"/>
      <c r="E164" s="175">
        <f t="shared" si="20"/>
        <v>1.1060000000000001</v>
      </c>
      <c r="F164" s="353">
        <f t="shared" si="21"/>
        <v>551.07142857142856</v>
      </c>
      <c r="G164" s="175">
        <f t="shared" si="22"/>
        <v>7</v>
      </c>
      <c r="H164" s="514"/>
      <c r="I164" s="506"/>
      <c r="J164" s="506"/>
    </row>
    <row r="165" spans="1:23" s="1" customFormat="1" ht="13.8" outlineLevel="1">
      <c r="A165" s="18">
        <f t="shared" si="18"/>
        <v>11</v>
      </c>
      <c r="B165" s="173" t="str">
        <f t="shared" ref="B165:C165" si="26">B143</f>
        <v>เสา</v>
      </c>
      <c r="C165" s="173" t="str">
        <f t="shared" si="26"/>
        <v xml:space="preserve">SASH (Ver) </v>
      </c>
      <c r="D165" s="510"/>
      <c r="E165" s="175">
        <f t="shared" si="20"/>
        <v>1.1060000000000001</v>
      </c>
      <c r="F165" s="353">
        <f t="shared" si="21"/>
        <v>3243</v>
      </c>
      <c r="G165" s="175">
        <f t="shared" si="22"/>
        <v>10</v>
      </c>
      <c r="H165" s="514"/>
      <c r="I165" s="506"/>
      <c r="J165" s="506"/>
    </row>
    <row r="166" spans="1:23" s="1" customFormat="1" ht="13.8" outlineLevel="1">
      <c r="A166" s="18">
        <f t="shared" si="18"/>
        <v>12</v>
      </c>
      <c r="B166" s="173" t="str">
        <f t="shared" ref="B166:C166" si="27">B144</f>
        <v>เสากุญแจ</v>
      </c>
      <c r="C166" s="173" t="str">
        <f t="shared" si="27"/>
        <v xml:space="preserve">SASH (Ver) LOCK </v>
      </c>
      <c r="D166" s="510"/>
      <c r="E166" s="175">
        <f t="shared" si="20"/>
        <v>1.1060000000000001</v>
      </c>
      <c r="F166" s="353">
        <f t="shared" si="21"/>
        <v>3243</v>
      </c>
      <c r="G166" s="175">
        <f t="shared" si="22"/>
        <v>2</v>
      </c>
      <c r="H166" s="514"/>
      <c r="I166" s="506"/>
      <c r="J166" s="506"/>
    </row>
    <row r="167" spans="1:23" s="1" customFormat="1" ht="13.8" outlineLevel="1">
      <c r="A167" s="18">
        <f t="shared" si="18"/>
        <v>13</v>
      </c>
      <c r="B167" s="173" t="str">
        <f t="shared" ref="B167:C167" si="28">B145</f>
        <v>เสากุญแจ</v>
      </c>
      <c r="C167" s="173" t="str">
        <f t="shared" si="28"/>
        <v xml:space="preserve">SASH (Ver) LOCK </v>
      </c>
      <c r="D167" s="510"/>
      <c r="E167" s="175">
        <f t="shared" si="20"/>
        <v>1.1060000000000001</v>
      </c>
      <c r="F167" s="353">
        <f t="shared" si="21"/>
        <v>3243</v>
      </c>
      <c r="G167" s="175">
        <f t="shared" si="22"/>
        <v>2</v>
      </c>
      <c r="H167" s="514"/>
      <c r="I167" s="506"/>
      <c r="J167" s="506"/>
    </row>
    <row r="168" spans="1:23" s="1" customFormat="1" ht="15" customHeight="1" outlineLevel="1">
      <c r="A168" s="18">
        <f t="shared" si="18"/>
        <v>14</v>
      </c>
      <c r="B168" s="173" t="str">
        <f t="shared" ref="B168:C168" si="29">B146</f>
        <v>เสากุญแจมือจับ</v>
      </c>
      <c r="C168" s="173" t="str">
        <f t="shared" si="29"/>
        <v>SASH (Ver) LOCK HANDLE</v>
      </c>
      <c r="D168" s="509"/>
      <c r="E168" s="175">
        <f t="shared" si="20"/>
        <v>1.1060000000000001</v>
      </c>
      <c r="F168" s="353">
        <f t="shared" si="21"/>
        <v>3243</v>
      </c>
      <c r="G168" s="175">
        <f t="shared" si="22"/>
        <v>1</v>
      </c>
      <c r="H168" s="515"/>
      <c r="I168" s="501"/>
      <c r="J168" s="501"/>
    </row>
    <row r="169" spans="1:23" s="1" customFormat="1" ht="13.8" outlineLevel="1">
      <c r="A169" s="18">
        <f t="shared" si="18"/>
        <v>15</v>
      </c>
      <c r="B169" s="173" t="str">
        <f t="shared" ref="B169:C169" si="30">B147</f>
        <v>5-6mm คิ้วตบกระจกแนวนอน</v>
      </c>
      <c r="C169" s="173" t="str">
        <f t="shared" si="30"/>
        <v>5-6mm GLAZING BEAD HORIZONTAL</v>
      </c>
      <c r="D169" s="508" t="str">
        <f t="shared" si="24"/>
        <v>B24008</v>
      </c>
      <c r="E169" s="175">
        <f t="shared" si="20"/>
        <v>0.23100000000000001</v>
      </c>
      <c r="F169" s="353">
        <f t="shared" si="21"/>
        <v>551.07142857142856</v>
      </c>
      <c r="G169" s="175">
        <f t="shared" si="22"/>
        <v>14</v>
      </c>
      <c r="H169" s="516">
        <f>ROUNDUP(((F169*G169)+(F170*G170))/6400,0)</f>
        <v>8</v>
      </c>
      <c r="I169" s="232"/>
      <c r="J169" s="232"/>
    </row>
    <row r="170" spans="1:23" s="1" customFormat="1" ht="15" customHeight="1" outlineLevel="1">
      <c r="A170" s="18">
        <f t="shared" si="18"/>
        <v>16</v>
      </c>
      <c r="B170" s="173" t="str">
        <f t="shared" ref="B170:C170" si="31">B148</f>
        <v>5-6mm คิ้วตบกระจกแนวตั้ง</v>
      </c>
      <c r="C170" s="173" t="str">
        <f t="shared" si="31"/>
        <v>5-6mm GLAZING BEAD VERTICAL</v>
      </c>
      <c r="D170" s="509"/>
      <c r="E170" s="175">
        <f t="shared" si="20"/>
        <v>0.23100000000000001</v>
      </c>
      <c r="F170" s="353">
        <f t="shared" si="21"/>
        <v>3093</v>
      </c>
      <c r="G170" s="175">
        <f t="shared" si="22"/>
        <v>14</v>
      </c>
      <c r="H170" s="516"/>
      <c r="I170" s="232"/>
      <c r="J170" s="232"/>
    </row>
    <row r="171" spans="1:23" s="1" customFormat="1" ht="13.8" outlineLevel="1">
      <c r="A171" s="18">
        <f t="shared" si="18"/>
        <v>17</v>
      </c>
      <c r="B171" s="173" t="str">
        <f t="shared" ref="B171:C171" si="32">B149</f>
        <v>บังใบ</v>
      </c>
      <c r="C171" s="173" t="str">
        <f t="shared" si="32"/>
        <v>SASH STOP</v>
      </c>
      <c r="D171" s="508" t="str">
        <f t="shared" si="24"/>
        <v>B24009</v>
      </c>
      <c r="E171" s="175">
        <f t="shared" si="20"/>
        <v>0</v>
      </c>
      <c r="F171" s="353">
        <f t="shared" si="21"/>
        <v>3243</v>
      </c>
      <c r="G171" s="175">
        <f t="shared" si="22"/>
        <v>1</v>
      </c>
      <c r="H171" s="516">
        <f>ROUNDUP(((F171*G171)+(F172*G172))/6400,0)</f>
        <v>2</v>
      </c>
      <c r="I171" s="232"/>
      <c r="J171" s="232"/>
    </row>
    <row r="172" spans="1:23" s="1" customFormat="1" outlineLevel="1" thickBot="1">
      <c r="A172" s="18">
        <f t="shared" si="18"/>
        <v>18</v>
      </c>
      <c r="B172" s="173" t="str">
        <f t="shared" ref="B172:C172" si="33">B150</f>
        <v>บังใบ</v>
      </c>
      <c r="C172" s="173" t="str">
        <f t="shared" si="33"/>
        <v>SASH STOP</v>
      </c>
      <c r="D172" s="511"/>
      <c r="E172" s="175">
        <f t="shared" si="20"/>
        <v>0</v>
      </c>
      <c r="F172" s="353">
        <f t="shared" si="21"/>
        <v>3243</v>
      </c>
      <c r="G172" s="175">
        <f t="shared" si="22"/>
        <v>1</v>
      </c>
      <c r="H172" s="516"/>
      <c r="I172" s="232"/>
      <c r="J172" s="232"/>
    </row>
    <row r="173" spans="1:23" s="1" customFormat="1" ht="24.9" customHeight="1" thickBot="1">
      <c r="A173" s="529" t="s">
        <v>9</v>
      </c>
      <c r="B173" s="530"/>
      <c r="C173" s="530"/>
      <c r="D173" s="530"/>
      <c r="E173" s="530"/>
      <c r="F173" s="530"/>
      <c r="G173" s="530"/>
      <c r="H173" s="530"/>
      <c r="I173" s="530"/>
      <c r="J173" s="531"/>
    </row>
    <row r="174" spans="1:23" s="1" customFormat="1" ht="35.1" customHeight="1" thickBot="1">
      <c r="A174" s="102" t="s">
        <v>2</v>
      </c>
      <c r="B174" s="103" t="s">
        <v>29</v>
      </c>
      <c r="C174" s="103" t="s">
        <v>3</v>
      </c>
      <c r="D174" s="103" t="s">
        <v>199</v>
      </c>
      <c r="E174" s="103" t="s">
        <v>5</v>
      </c>
      <c r="F174" s="104" t="s">
        <v>28</v>
      </c>
      <c r="G174" s="103" t="s">
        <v>19</v>
      </c>
      <c r="H174" s="104" t="s">
        <v>200</v>
      </c>
      <c r="I174" s="104" t="s">
        <v>20</v>
      </c>
      <c r="J174" s="115" t="s">
        <v>201</v>
      </c>
      <c r="N174" s="101" t="s">
        <v>191</v>
      </c>
      <c r="O174" s="246" t="s">
        <v>29</v>
      </c>
      <c r="P174" s="246" t="s">
        <v>3</v>
      </c>
      <c r="Q174" s="246" t="s">
        <v>199</v>
      </c>
      <c r="R174" s="246" t="s">
        <v>5</v>
      </c>
      <c r="S174" s="246" t="s">
        <v>28</v>
      </c>
      <c r="T174" s="246" t="s">
        <v>19</v>
      </c>
      <c r="U174" s="246" t="s">
        <v>200</v>
      </c>
      <c r="V174" s="246" t="s">
        <v>20</v>
      </c>
      <c r="W174" s="246" t="s">
        <v>201</v>
      </c>
    </row>
    <row r="175" spans="1:23" s="1" customFormat="1" ht="18" customHeight="1">
      <c r="A175" s="200">
        <f>IF(B175="","",1)</f>
        <v>1</v>
      </c>
      <c r="B175" s="140" t="s">
        <v>111</v>
      </c>
      <c r="C175" s="140" t="s">
        <v>67</v>
      </c>
      <c r="D175" s="139" t="s">
        <v>74</v>
      </c>
      <c r="E175" s="143"/>
      <c r="F175" s="143" t="s">
        <v>74</v>
      </c>
      <c r="G175" s="143" t="s">
        <v>202</v>
      </c>
      <c r="H175" s="143">
        <v>14</v>
      </c>
      <c r="I175" s="130"/>
      <c r="J175" s="131">
        <f>$J$120*H175</f>
        <v>14</v>
      </c>
      <c r="N175" s="101" t="s">
        <v>226</v>
      </c>
      <c r="O175" s="280" t="s">
        <v>252</v>
      </c>
      <c r="P175" s="290" t="s">
        <v>248</v>
      </c>
      <c r="Q175" s="280" t="s">
        <v>69</v>
      </c>
      <c r="R175" s="213"/>
      <c r="S175" s="213" t="s">
        <v>69</v>
      </c>
      <c r="T175" s="213" t="s">
        <v>198</v>
      </c>
      <c r="U175" s="291">
        <f>((($I$141*$G$141)+($I$142*$G$142)+($I$143*$G$143)+($I$144*$G$144)+($I$145*$G$145)+($I$146*$G$146))/1000)*$J$120</f>
        <v>53.116999999999997</v>
      </c>
      <c r="V175" s="291">
        <v>100</v>
      </c>
      <c r="W175" s="292">
        <f>ROUNDUP((U175)/100,0)</f>
        <v>1</v>
      </c>
    </row>
    <row r="176" spans="1:23" s="1" customFormat="1" ht="18" customHeight="1">
      <c r="A176" s="201">
        <f>IF(B176="","",+A175+1)</f>
        <v>2</v>
      </c>
      <c r="B176" s="140" t="s">
        <v>106</v>
      </c>
      <c r="C176" s="140" t="s">
        <v>503</v>
      </c>
      <c r="D176" s="139" t="s">
        <v>75</v>
      </c>
      <c r="E176" s="143"/>
      <c r="F176" s="143" t="s">
        <v>75</v>
      </c>
      <c r="G176" s="143" t="s">
        <v>202</v>
      </c>
      <c r="H176" s="143">
        <v>2</v>
      </c>
      <c r="I176" s="130"/>
      <c r="J176" s="131">
        <f t="shared" ref="J176:J198" si="34">$J$120*H176</f>
        <v>2</v>
      </c>
      <c r="N176" s="101" t="s">
        <v>230</v>
      </c>
      <c r="O176" s="280" t="s">
        <v>253</v>
      </c>
      <c r="P176" s="290" t="s">
        <v>249</v>
      </c>
      <c r="Q176" s="280" t="s">
        <v>188</v>
      </c>
      <c r="R176" s="213"/>
      <c r="S176" s="213" t="s">
        <v>188</v>
      </c>
      <c r="T176" s="213" t="s">
        <v>198</v>
      </c>
      <c r="U176" s="291">
        <f>((($I$141*$G$141)+($I$142*$G$142)+($I$143*$G$143)+($I$144*$G$144)+($I$145*$G$145)+($I$146*$G$146))/1000)*$J$120</f>
        <v>53.116999999999997</v>
      </c>
      <c r="V176" s="291">
        <v>100</v>
      </c>
      <c r="W176" s="292">
        <f t="shared" ref="W176:W178" si="35">ROUNDUP((U176)/100,0)</f>
        <v>1</v>
      </c>
    </row>
    <row r="177" spans="1:23" s="1" customFormat="1" ht="18" customHeight="1">
      <c r="A177" s="201">
        <f t="shared" ref="A177:A203" si="36">IF(B177="","",+A176+1)</f>
        <v>3</v>
      </c>
      <c r="B177" s="140" t="s">
        <v>107</v>
      </c>
      <c r="C177" s="140" t="s">
        <v>504</v>
      </c>
      <c r="D177" s="139" t="s">
        <v>76</v>
      </c>
      <c r="E177" s="143"/>
      <c r="F177" s="143" t="s">
        <v>76</v>
      </c>
      <c r="G177" s="143" t="s">
        <v>202</v>
      </c>
      <c r="H177" s="143">
        <v>2</v>
      </c>
      <c r="I177" s="130"/>
      <c r="J177" s="131">
        <f t="shared" si="34"/>
        <v>2</v>
      </c>
      <c r="N177" s="101" t="s">
        <v>229</v>
      </c>
      <c r="O177" s="290" t="s">
        <v>254</v>
      </c>
      <c r="P177" s="290" t="s">
        <v>250</v>
      </c>
      <c r="Q177" s="280" t="s">
        <v>70</v>
      </c>
      <c r="R177" s="213"/>
      <c r="S177" s="213" t="s">
        <v>70</v>
      </c>
      <c r="T177" s="213" t="s">
        <v>198</v>
      </c>
      <c r="U177" s="291">
        <f>((($I$141*$G$141)+($I$142*$G$142)+($I$143*$G$143)+($I$144*$G$144)+($I$145*$G$145)+($I$146*$G$146))/1000)*$J$120</f>
        <v>53.116999999999997</v>
      </c>
      <c r="V177" s="291">
        <v>100</v>
      </c>
      <c r="W177" s="292">
        <f t="shared" si="35"/>
        <v>1</v>
      </c>
    </row>
    <row r="178" spans="1:23" s="1" customFormat="1" ht="18" customHeight="1">
      <c r="A178" s="201">
        <f t="shared" si="36"/>
        <v>4</v>
      </c>
      <c r="B178" s="140" t="s">
        <v>108</v>
      </c>
      <c r="C178" s="140" t="s">
        <v>10</v>
      </c>
      <c r="D178" s="139">
        <v>9</v>
      </c>
      <c r="E178" s="143"/>
      <c r="F178" s="143">
        <v>9</v>
      </c>
      <c r="G178" s="143" t="s">
        <v>202</v>
      </c>
      <c r="H178" s="143">
        <v>8</v>
      </c>
      <c r="I178" s="130"/>
      <c r="J178" s="131">
        <f t="shared" si="34"/>
        <v>8</v>
      </c>
      <c r="N178" s="101" t="s">
        <v>231</v>
      </c>
      <c r="O178" s="290" t="s">
        <v>255</v>
      </c>
      <c r="P178" s="290" t="s">
        <v>251</v>
      </c>
      <c r="Q178" s="280" t="s">
        <v>189</v>
      </c>
      <c r="R178" s="213"/>
      <c r="S178" s="213" t="s">
        <v>189</v>
      </c>
      <c r="T178" s="213" t="s">
        <v>198</v>
      </c>
      <c r="U178" s="291">
        <f>((($I$141*$G$141)+($I$142*$G$142)+($I$143*$G$143)+($I$144*$G$144)+($I$145*$G$145)+($I$146*$G$146))/1000)*$J$120</f>
        <v>53.116999999999997</v>
      </c>
      <c r="V178" s="291">
        <v>100</v>
      </c>
      <c r="W178" s="292">
        <f t="shared" si="35"/>
        <v>1</v>
      </c>
    </row>
    <row r="179" spans="1:23" s="1" customFormat="1" ht="18" customHeight="1">
      <c r="A179" s="201">
        <f t="shared" si="36"/>
        <v>5</v>
      </c>
      <c r="B179" s="140" t="s">
        <v>109</v>
      </c>
      <c r="C179" s="140" t="s">
        <v>68</v>
      </c>
      <c r="D179" s="139">
        <v>9</v>
      </c>
      <c r="E179" s="143"/>
      <c r="F179" s="143">
        <v>9</v>
      </c>
      <c r="G179" s="143" t="s">
        <v>202</v>
      </c>
      <c r="H179" s="143">
        <v>110</v>
      </c>
      <c r="I179" s="130"/>
      <c r="J179" s="131">
        <f t="shared" si="34"/>
        <v>110</v>
      </c>
      <c r="N179" s="101" t="s">
        <v>232</v>
      </c>
      <c r="O179" s="290" t="s">
        <v>256</v>
      </c>
      <c r="P179" s="290" t="s">
        <v>247</v>
      </c>
      <c r="Q179" s="280" t="s">
        <v>233</v>
      </c>
      <c r="R179" s="213"/>
      <c r="S179" s="213" t="s">
        <v>233</v>
      </c>
      <c r="T179" s="213" t="s">
        <v>198</v>
      </c>
      <c r="U179" s="291">
        <f>((($I$141*$G$141)+($I$142*$G$142)+($I$143*$G$143)+($I$144*$G$144)+($I$145*$G$145)+($I$146*$G$146))/1000)*$J$120</f>
        <v>53.116999999999997</v>
      </c>
      <c r="V179" s="291">
        <v>100</v>
      </c>
      <c r="W179" s="292">
        <f>ROUNDUP((U179)/100,0)</f>
        <v>1</v>
      </c>
    </row>
    <row r="180" spans="1:23" s="1" customFormat="1" ht="18" customHeight="1">
      <c r="A180" s="201">
        <f t="shared" si="36"/>
        <v>6</v>
      </c>
      <c r="B180" s="140" t="s">
        <v>143</v>
      </c>
      <c r="C180" s="140" t="s">
        <v>121</v>
      </c>
      <c r="D180" s="139" t="s">
        <v>103</v>
      </c>
      <c r="E180" s="143"/>
      <c r="F180" s="143" t="s">
        <v>103</v>
      </c>
      <c r="G180" s="143" t="s">
        <v>185</v>
      </c>
      <c r="H180" s="143">
        <v>3</v>
      </c>
      <c r="I180" s="130"/>
      <c r="J180" s="131">
        <f>$J$120*H180</f>
        <v>3</v>
      </c>
    </row>
    <row r="181" spans="1:23" s="1" customFormat="1" ht="18" customHeight="1">
      <c r="A181" s="201">
        <f t="shared" si="36"/>
        <v>7</v>
      </c>
      <c r="B181" s="140" t="s">
        <v>118</v>
      </c>
      <c r="C181" s="140" t="s">
        <v>77</v>
      </c>
      <c r="D181" s="139" t="s">
        <v>80</v>
      </c>
      <c r="E181" s="143"/>
      <c r="F181" s="143" t="s">
        <v>80</v>
      </c>
      <c r="G181" s="143" t="s">
        <v>185</v>
      </c>
      <c r="H181" s="143">
        <v>1</v>
      </c>
      <c r="I181" s="130"/>
      <c r="J181" s="131">
        <f t="shared" si="34"/>
        <v>1</v>
      </c>
    </row>
    <row r="182" spans="1:23" s="1" customFormat="1" ht="18" customHeight="1">
      <c r="A182" s="201">
        <f t="shared" si="36"/>
        <v>8</v>
      </c>
      <c r="B182" s="140" t="s">
        <v>120</v>
      </c>
      <c r="C182" s="140" t="s">
        <v>94</v>
      </c>
      <c r="D182" s="139" t="s">
        <v>96</v>
      </c>
      <c r="E182" s="143"/>
      <c r="F182" s="143" t="s">
        <v>96</v>
      </c>
      <c r="G182" s="143" t="s">
        <v>185</v>
      </c>
      <c r="H182" s="143">
        <v>1</v>
      </c>
      <c r="I182" s="130"/>
      <c r="J182" s="131">
        <f t="shared" si="34"/>
        <v>1</v>
      </c>
    </row>
    <row r="183" spans="1:23" s="1" customFormat="1" ht="18" customHeight="1">
      <c r="A183" s="201">
        <f t="shared" si="36"/>
        <v>9</v>
      </c>
      <c r="B183" s="140" t="s">
        <v>131</v>
      </c>
      <c r="C183" s="140" t="s">
        <v>100</v>
      </c>
      <c r="D183" s="139" t="s">
        <v>102</v>
      </c>
      <c r="E183" s="143"/>
      <c r="F183" s="143" t="s">
        <v>102</v>
      </c>
      <c r="G183" s="143" t="s">
        <v>185</v>
      </c>
      <c r="H183" s="143">
        <v>2</v>
      </c>
      <c r="I183" s="130"/>
      <c r="J183" s="131">
        <f t="shared" si="34"/>
        <v>2</v>
      </c>
    </row>
    <row r="184" spans="1:23" s="1" customFormat="1" ht="18" customHeight="1">
      <c r="A184" s="201">
        <f t="shared" si="36"/>
        <v>10</v>
      </c>
      <c r="B184" s="140" t="s">
        <v>142</v>
      </c>
      <c r="C184" s="140" t="s">
        <v>141</v>
      </c>
      <c r="D184" s="139" t="s">
        <v>81</v>
      </c>
      <c r="E184" s="143"/>
      <c r="F184" s="143" t="s">
        <v>81</v>
      </c>
      <c r="G184" s="143" t="s">
        <v>185</v>
      </c>
      <c r="H184" s="143">
        <v>1</v>
      </c>
      <c r="I184" s="144"/>
      <c r="J184" s="131">
        <f t="shared" si="34"/>
        <v>1</v>
      </c>
      <c r="N184" s="56"/>
      <c r="O184" s="56"/>
      <c r="P184" s="56"/>
      <c r="Q184" s="289"/>
      <c r="R184" s="289"/>
      <c r="S184" s="289"/>
      <c r="T184" s="17"/>
      <c r="U184" s="17"/>
      <c r="V184" s="17"/>
      <c r="W184" s="56"/>
    </row>
    <row r="185" spans="1:23" s="1" customFormat="1" ht="18" customHeight="1">
      <c r="A185" s="201">
        <f t="shared" si="36"/>
        <v>11</v>
      </c>
      <c r="B185" s="140" t="s">
        <v>113</v>
      </c>
      <c r="C185" s="140" t="s">
        <v>502</v>
      </c>
      <c r="D185" s="139" t="s">
        <v>83</v>
      </c>
      <c r="E185" s="143"/>
      <c r="F185" s="143" t="s">
        <v>83</v>
      </c>
      <c r="G185" s="143" t="s">
        <v>185</v>
      </c>
      <c r="H185" s="143">
        <v>3</v>
      </c>
      <c r="I185" s="144"/>
      <c r="J185" s="131">
        <f t="shared" si="34"/>
        <v>3</v>
      </c>
      <c r="N185" s="101" t="s">
        <v>227</v>
      </c>
      <c r="O185" s="246" t="s">
        <v>29</v>
      </c>
      <c r="P185" s="246" t="s">
        <v>3</v>
      </c>
      <c r="Q185" s="246" t="s">
        <v>199</v>
      </c>
      <c r="R185" s="246" t="s">
        <v>5</v>
      </c>
      <c r="S185" s="246" t="s">
        <v>28</v>
      </c>
      <c r="T185" s="246" t="s">
        <v>19</v>
      </c>
      <c r="U185" s="246" t="s">
        <v>200</v>
      </c>
      <c r="V185" s="246" t="s">
        <v>20</v>
      </c>
      <c r="W185" s="246" t="s">
        <v>201</v>
      </c>
    </row>
    <row r="186" spans="1:23" s="1" customFormat="1" ht="18" customHeight="1">
      <c r="A186" s="201">
        <f t="shared" si="36"/>
        <v>12</v>
      </c>
      <c r="B186" s="140" t="s">
        <v>122</v>
      </c>
      <c r="C186" s="140" t="s">
        <v>101</v>
      </c>
      <c r="D186" s="139" t="s">
        <v>104</v>
      </c>
      <c r="E186" s="143"/>
      <c r="F186" s="143" t="s">
        <v>104</v>
      </c>
      <c r="G186" s="143" t="s">
        <v>185</v>
      </c>
      <c r="H186" s="143">
        <v>1</v>
      </c>
      <c r="I186" s="144"/>
      <c r="J186" s="131">
        <f t="shared" si="34"/>
        <v>1</v>
      </c>
      <c r="N186" s="101" t="s">
        <v>240</v>
      </c>
      <c r="O186" s="290" t="s">
        <v>234</v>
      </c>
      <c r="P186" s="290" t="s">
        <v>236</v>
      </c>
      <c r="Q186" s="280" t="s">
        <v>190</v>
      </c>
      <c r="R186" s="213"/>
      <c r="S186" s="213" t="s">
        <v>190</v>
      </c>
      <c r="T186" s="213" t="s">
        <v>198</v>
      </c>
      <c r="U186" s="291">
        <f>((($I$134*$G$134)+($I$136*$G$136)+($I$139*$G$139))/1000)*$J$120</f>
        <v>12.537000000000001</v>
      </c>
      <c r="V186" s="291">
        <v>300</v>
      </c>
      <c r="W186" s="292">
        <f>ROUNDUP((U186)/V186,0)</f>
        <v>1</v>
      </c>
    </row>
    <row r="187" spans="1:23" s="1" customFormat="1" ht="18" customHeight="1">
      <c r="A187" s="201">
        <f t="shared" si="36"/>
        <v>13</v>
      </c>
      <c r="B187" s="140" t="s">
        <v>112</v>
      </c>
      <c r="C187" s="140" t="s">
        <v>114</v>
      </c>
      <c r="D187" s="128" t="s">
        <v>520</v>
      </c>
      <c r="E187" s="129"/>
      <c r="F187" s="129" t="s">
        <v>520</v>
      </c>
      <c r="G187" s="143" t="s">
        <v>202</v>
      </c>
      <c r="H187" s="143">
        <v>6</v>
      </c>
      <c r="I187" s="130"/>
      <c r="J187" s="131">
        <f t="shared" si="34"/>
        <v>6</v>
      </c>
      <c r="N187" s="101" t="s">
        <v>241</v>
      </c>
      <c r="O187" s="290" t="s">
        <v>235</v>
      </c>
      <c r="P187" s="290" t="s">
        <v>238</v>
      </c>
      <c r="Q187" s="280" t="s">
        <v>71</v>
      </c>
      <c r="R187" s="213"/>
      <c r="S187" s="213" t="s">
        <v>71</v>
      </c>
      <c r="T187" s="213" t="s">
        <v>198</v>
      </c>
      <c r="U187" s="291">
        <f>((($I$134*$G$134)+($I$136*$G$136)+($I$139*$G$139))/1000)*$J$120</f>
        <v>12.537000000000001</v>
      </c>
      <c r="V187" s="291">
        <v>100</v>
      </c>
      <c r="W187" s="292">
        <f t="shared" ref="W187:W189" si="37">ROUNDUP((U187)/V187,0)</f>
        <v>1</v>
      </c>
    </row>
    <row r="188" spans="1:23" s="1" customFormat="1" ht="18" customHeight="1">
      <c r="A188" s="201">
        <f t="shared" si="36"/>
        <v>14</v>
      </c>
      <c r="B188" s="140" t="s">
        <v>115</v>
      </c>
      <c r="C188" s="140" t="s">
        <v>45</v>
      </c>
      <c r="D188" s="139" t="s">
        <v>84</v>
      </c>
      <c r="E188" s="143"/>
      <c r="F188" s="143" t="s">
        <v>84</v>
      </c>
      <c r="G188" s="143" t="s">
        <v>202</v>
      </c>
      <c r="H188" s="143">
        <v>1</v>
      </c>
      <c r="I188" s="130"/>
      <c r="J188" s="131">
        <f t="shared" si="34"/>
        <v>1</v>
      </c>
      <c r="N188" s="101" t="s">
        <v>240</v>
      </c>
      <c r="O188" s="290" t="s">
        <v>245</v>
      </c>
      <c r="P188" s="290" t="s">
        <v>237</v>
      </c>
      <c r="Q188" s="280" t="s">
        <v>72</v>
      </c>
      <c r="R188" s="213"/>
      <c r="S188" s="213" t="s">
        <v>72</v>
      </c>
      <c r="T188" s="213" t="s">
        <v>198</v>
      </c>
      <c r="U188" s="291">
        <f>((($I$141*$G$141*2)+($I$143*$G$143*2)+($I$144*$G$144*2))/1000)*$J$120</f>
        <v>85.546999999999997</v>
      </c>
      <c r="V188" s="291">
        <v>350</v>
      </c>
      <c r="W188" s="292">
        <f t="shared" si="37"/>
        <v>1</v>
      </c>
    </row>
    <row r="189" spans="1:23" s="1" customFormat="1" ht="18" customHeight="1">
      <c r="A189" s="201">
        <f t="shared" si="36"/>
        <v>15</v>
      </c>
      <c r="B189" s="140" t="s">
        <v>110</v>
      </c>
      <c r="C189" s="140" t="s">
        <v>66</v>
      </c>
      <c r="D189" s="139" t="s">
        <v>73</v>
      </c>
      <c r="E189" s="143"/>
      <c r="F189" s="143" t="s">
        <v>73</v>
      </c>
      <c r="G189" s="143" t="s">
        <v>202</v>
      </c>
      <c r="H189" s="143">
        <v>3</v>
      </c>
      <c r="I189" s="130"/>
      <c r="J189" s="131">
        <f>$J$120*H189</f>
        <v>3</v>
      </c>
      <c r="N189" s="101" t="s">
        <v>241</v>
      </c>
      <c r="O189" s="290" t="s">
        <v>246</v>
      </c>
      <c r="P189" s="290" t="s">
        <v>239</v>
      </c>
      <c r="Q189" s="280" t="s">
        <v>193</v>
      </c>
      <c r="R189" s="213"/>
      <c r="S189" s="213" t="s">
        <v>193</v>
      </c>
      <c r="T189" s="213" t="s">
        <v>198</v>
      </c>
      <c r="U189" s="291">
        <f>((($I$141*$G$141*2)+($I$143*$G$143*2)+($I$144*$G$144*2))/1000)*$J$120</f>
        <v>85.546999999999997</v>
      </c>
      <c r="V189" s="291">
        <v>100</v>
      </c>
      <c r="W189" s="292">
        <f t="shared" si="37"/>
        <v>1</v>
      </c>
    </row>
    <row r="190" spans="1:23" s="1" customFormat="1" ht="18" customHeight="1">
      <c r="A190" s="201">
        <f t="shared" si="36"/>
        <v>16</v>
      </c>
      <c r="B190" s="140" t="s">
        <v>512</v>
      </c>
      <c r="C190" s="140" t="s">
        <v>135</v>
      </c>
      <c r="D190" s="139" t="s">
        <v>137</v>
      </c>
      <c r="E190" s="143"/>
      <c r="F190" s="143" t="s">
        <v>137</v>
      </c>
      <c r="G190" s="143" t="s">
        <v>198</v>
      </c>
      <c r="H190" s="274">
        <f>((($I$149*$G$149)+($I$150*$G$150))/1000)*$J$120</f>
        <v>6.4859999999999998</v>
      </c>
      <c r="I190" s="259">
        <v>100</v>
      </c>
      <c r="J190" s="267">
        <f>ROUNDUP((H190)/100,0)</f>
        <v>1</v>
      </c>
    </row>
    <row r="191" spans="1:23" s="1" customFormat="1" ht="18" customHeight="1">
      <c r="A191" s="201">
        <f t="shared" si="36"/>
        <v>17</v>
      </c>
      <c r="B191" s="140" t="s">
        <v>513</v>
      </c>
      <c r="C191" s="140" t="s">
        <v>136</v>
      </c>
      <c r="D191" s="139" t="s">
        <v>138</v>
      </c>
      <c r="E191" s="143"/>
      <c r="F191" s="143" t="s">
        <v>138</v>
      </c>
      <c r="G191" s="143" t="s">
        <v>198</v>
      </c>
      <c r="H191" s="274">
        <f>(((I145*G145)+($I$146*$G$146))/1000)*$J$120</f>
        <v>6.4859999999999998</v>
      </c>
      <c r="I191" s="259">
        <v>100</v>
      </c>
      <c r="J191" s="267">
        <f t="shared" ref="J191:J195" si="38">ROUNDUP((H191)/100,0)</f>
        <v>1</v>
      </c>
    </row>
    <row r="192" spans="1:23" s="1" customFormat="1" ht="18" customHeight="1">
      <c r="A192" s="201">
        <f t="shared" si="36"/>
        <v>18</v>
      </c>
      <c r="B192" s="139" t="str">
        <f>IF($D$129="Standard",$O$186,IF($D$129="Soumdproof",$O$187,))</f>
        <v>ยางเฟรมกันน้ำ (ธรรมดา)</v>
      </c>
      <c r="C192" s="139" t="str">
        <f>IF($D$129="Standard",$P$186,IF($D$129="Soumdproof",$P$187,))</f>
        <v>FRAME SEAL (Standard)</v>
      </c>
      <c r="D192" s="139" t="str">
        <f>IF($D$129="Standard",$Q$186,IF($D$129="Soumdproof",$Q$187,))</f>
        <v>02-026</v>
      </c>
      <c r="E192" s="143">
        <f>IF($D$129="Standard",R190,IF($D$129="Soumdproof",R191,))</f>
        <v>0</v>
      </c>
      <c r="F192" s="143" t="str">
        <f>IF($D$129="Standard",$S$186,IF($D$129="Soumdproof",$S$187,))</f>
        <v>02-026</v>
      </c>
      <c r="G192" s="143" t="str">
        <f>IF($D$129="Standard",$T$186,IF($D$129="Soumdproof",$T$187,))</f>
        <v>M</v>
      </c>
      <c r="H192" s="261">
        <f>IF($D$129="Standard",$U$186,IF($D$129="Soumdproof",$U$187,))</f>
        <v>12.537000000000001</v>
      </c>
      <c r="I192" s="258">
        <f>IF($D$129="Standard",$V$186,IF($D$129="Soumdproof",$V$187,))</f>
        <v>300</v>
      </c>
      <c r="J192" s="267">
        <f t="shared" si="38"/>
        <v>1</v>
      </c>
    </row>
    <row r="193" spans="1:24" s="1" customFormat="1" ht="18" customHeight="1">
      <c r="A193" s="201">
        <f t="shared" si="36"/>
        <v>19</v>
      </c>
      <c r="B193" s="139" t="str">
        <f>IF($D$129="Standard",$O$188,IF($D$129="Soumdproof",$O$189,))</f>
        <v>ยางแซชกันน้ำ (ธรรมดา)</v>
      </c>
      <c r="C193" s="139" t="str">
        <f>IF($D$129="Standard",$P$188,IF($D$129="Soumdproof",$P$189,))</f>
        <v>SASH SEAL FOAM (Standard)</v>
      </c>
      <c r="D193" s="139" t="str">
        <f>IF($D$129="Standard",$Q$188,IF($D$129="Soumdproof",$Q$189,))</f>
        <v>02-031</v>
      </c>
      <c r="E193" s="143">
        <f>IF($D$129="Standard",R192,IF($D$129="Soumdproof",R193,))</f>
        <v>0</v>
      </c>
      <c r="F193" s="143" t="str">
        <f>IF($D$129="Standard",$S$188,IF($D$129="Soumdproof",$S$189,))</f>
        <v>02-031</v>
      </c>
      <c r="G193" s="143" t="str">
        <f>IF($D$129="Standard",$T$188,IF($D$129="Soumdproof",$T$189,))</f>
        <v>M</v>
      </c>
      <c r="H193" s="261">
        <f>IF($D$129="Standard",$U$188,IF($D$129="Soumdproof",$U$189,))</f>
        <v>85.546999999999997</v>
      </c>
      <c r="I193" s="258">
        <f>IF($D$129="Standard",$V$188,IF($D$129="Soumdproof",$V$189,))</f>
        <v>350</v>
      </c>
      <c r="J193" s="267">
        <f t="shared" si="38"/>
        <v>1</v>
      </c>
    </row>
    <row r="194" spans="1:24" s="1" customFormat="1" ht="18" customHeight="1">
      <c r="A194" s="201">
        <f t="shared" si="36"/>
        <v>20</v>
      </c>
      <c r="B194" s="241" t="str">
        <f>IF($D$127=5,$O$177,IF($D$127=6,$O$178,IF($D$127=8,$O$179,IF($D$127=10,$O$177,IF($D$127=12,$O$177,IF($D$127=14,$O$179,IF($D$127=18,$O$177,IF($D$127=20,$O$178,IF($D$127=22,"")))))))))</f>
        <v>6,20 mm ยางอัดกระจก</v>
      </c>
      <c r="C194" s="241" t="str">
        <f>IF($D$127=5,$P$177,IF($D$127=6,$P$178,IF($D$127=8,$P$179,IF($D$127=10,$P$177,IF($D$127=12,$P$177,IF($D$127=14,$P$179,IF($D$127=18,$P$177,IF($D$127=20,$P$178,IF($D$127=22,"")))))))))</f>
        <v>6,20 mm ROLL IN WEDGE</v>
      </c>
      <c r="D194" s="241" t="str">
        <f>IF($D$127=5,$Q$177,IF($D$127=6,$Q$178,IF($D$127=8,$Q$179,IF($D$127=10,$Q$177,IF($D$127=12,$Q$177,IF($D$127=14,$Q$179,IF($D$127=18,$Q$177,IF($D$127=20,$Q$178,IF($D$127=22,"")))))))))</f>
        <v>02-034</v>
      </c>
      <c r="E194" s="241">
        <f>IF($D$127=5,R181,IF($D$127=6,R182,IF($D$127=8,R183,IF($D$127=10,R181,IF($D$127=12,R181,IF($D$127=14,R183,IF($D$127=18,R181,IF($D$127=20,R182,IF($D$127=22,"",)))))))))</f>
        <v>0</v>
      </c>
      <c r="F194" s="242" t="str">
        <f>IF($D$127=5,$S$177,IF($D$127=6,$S$178,IF($D$127=8,$S$179,IF($D$127=10,$S$177,IF($D$127=12,$S$177,IF($D$127=14,$S$179,IF($D$127=18,$S$177,IF($D$127=20,$S$178,IF($D$127=22,"")))))))))</f>
        <v>02-034</v>
      </c>
      <c r="G194" s="242" t="str">
        <f>IF($D$127=5,$T$177,IF($D$127=6,$T$178,IF($D$127=8,$T$179,IF($D$127=10,$T$177,IF($D$127=12,$T$177,IF($D$127=14,$T$179,IF($D$127=18,$T$177,IF($D$127=20,$T$178,IF($D$127=22,"")))))))))</f>
        <v>M</v>
      </c>
      <c r="H194" s="261">
        <f>IF($D$127=5,$U$177,IF($D$127=6,$U$178,IF($D$127=8,$U$179,IF($D$127=10,$U$177*2,IF($D$127=12,$U$177,IF($D$127=14,$U$179*2,IF($D$127=18,$U$177,IF($D$127=20,$U$178,IF($D$127=22,"")))))))))</f>
        <v>53.116999999999997</v>
      </c>
      <c r="I194" s="258">
        <f>IF($D$127=5,$V$177,IF($D$127=6,$V$178,IF($D$127=8,$V$179,IF($D$127=10,$V$177,IF($D$127=12,$V$177,IF($D$127=14,$V$179,IF($D$127=18,$V$177,IF($D$127=20,$V$178,IF($D$127=22,"")))))))))</f>
        <v>100</v>
      </c>
      <c r="J194" s="267">
        <f t="shared" si="38"/>
        <v>1</v>
      </c>
    </row>
    <row r="195" spans="1:24" ht="18" customHeight="1">
      <c r="A195" s="201">
        <f t="shared" si="36"/>
        <v>21</v>
      </c>
      <c r="B195" s="241" t="str">
        <f>IF($D$127=5,$O$175,IF($D$127=6,$O$175,IF($D$127=8,$O$177,IF($D$127=10,"",IF($D$127=12,$O$176,IF($D$127=14,"",IF($D$127=18,$O$175,IF($D$127=20,$O$176,IF($D$127=22,"",)))))))))</f>
        <v>5,6,18 mm ยางรองกระจก</v>
      </c>
      <c r="C195" s="241" t="str">
        <f>IF($D$127=5,$P$175,IF($D$127=6,$P$175,IF($D$127=8,$P$177,IF($D$127=10,"",IF($D$127=12,$P$176,IF($D$127=14,"",IF($D$127=18,$P$175,IF($D$127=20,$P$176,IF($D$127=22,"",)))))))))</f>
        <v>5,6,18 mm CAPTIVE WEDGE</v>
      </c>
      <c r="D195" s="241" t="str">
        <f>IF($D$127=5,$Q$175,IF($D$127=6,$Q$175,IF($D$127=8,$Q$177,IF($D$127=10,"",IF($D$127=12,$Q$176,IF($D$127=14,"",IF($D$127=18,$Q$175,IF($D$127=20,$Q$176,IF($D$127=22,"",)))))))))</f>
        <v>02-022</v>
      </c>
      <c r="E195" s="241">
        <f>IF($D$127=5,R179,IF($D$127=6,R179,IF($D$127=8,R181,IF($D$127=10,"",IF($D$127=12,R180,IF($D$127=14,"",IF($D$127=18,R179,IF($D$127=20,R180,IF($D$127=22,"",)))))))))</f>
        <v>0</v>
      </c>
      <c r="F195" s="242" t="str">
        <f>IF($D$127=5,$S$175,IF($D$127=6,$S$175,IF($D$127=8,$S$177,IF($D$127=10,"",IF($D$127=12,$S$176,IF($D$127=14,"",IF($D$127=18,$S$175,IF($D$127=20,$S$176,IF($D$127=22,"",)))))))))</f>
        <v>02-022</v>
      </c>
      <c r="G195" s="242" t="str">
        <f>IF($D$127=5,$T$175,IF($D$127=6,$T$175,IF($D$127=8,$T$177,IF($D$127=10,"",IF($D$127=12,$T$176,IF($D$127=14,"",IF($D$127=18,$T$175,IF($D$127=20,$T$176,IF($D$127=22,"",)))))))))</f>
        <v>M</v>
      </c>
      <c r="H195" s="261">
        <f>IF($D$127=5,$U$175,IF($D$127=6,$U$175,IF($D$127=8,$U$177,IF($D$127=10,"",IF($D$127=12,$U$176,IF($D$127=14,"",IF($D$127=18,$U$175,IF($D$127=20,$U$176,IF($D$127=22,"")))))))))</f>
        <v>53.116999999999997</v>
      </c>
      <c r="I195" s="258">
        <f>IF($D$127=5,$V$175,IF($D$127=6,$V$175,IF($D$127=8,$V$177,IF($D$127=10,"",IF($D$127=12,$V$176,IF($D$127=14,"",IF($D$127=18,$V$175,IF($D$127=20,$V$176,IF($D$127=22,"",)))))))))</f>
        <v>100</v>
      </c>
      <c r="J195" s="267">
        <f t="shared" si="38"/>
        <v>1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s="1" customFormat="1" ht="18" customHeight="1">
      <c r="A196" s="201" t="str">
        <f t="shared" si="36"/>
        <v/>
      </c>
      <c r="B196" s="140"/>
      <c r="C196" s="140"/>
      <c r="D196" s="139"/>
      <c r="E196" s="143"/>
      <c r="F196" s="143"/>
      <c r="G196" s="143"/>
      <c r="H196" s="143"/>
      <c r="I196" s="130"/>
      <c r="J196" s="131"/>
    </row>
    <row r="197" spans="1:24" s="1" customFormat="1" ht="18" customHeight="1">
      <c r="A197" s="201" t="str">
        <f t="shared" si="36"/>
        <v/>
      </c>
      <c r="B197" s="140"/>
      <c r="C197" s="140"/>
      <c r="D197" s="139"/>
      <c r="E197" s="143"/>
      <c r="F197" s="143"/>
      <c r="G197" s="143"/>
      <c r="H197" s="143"/>
      <c r="I197" s="130"/>
      <c r="J197" s="131">
        <f t="shared" si="34"/>
        <v>0</v>
      </c>
    </row>
    <row r="198" spans="1:24" s="1" customFormat="1" ht="18" customHeight="1">
      <c r="A198" s="201" t="str">
        <f t="shared" si="36"/>
        <v/>
      </c>
      <c r="B198" s="140"/>
      <c r="C198" s="140"/>
      <c r="D198" s="139"/>
      <c r="E198" s="143"/>
      <c r="F198" s="143"/>
      <c r="G198" s="143"/>
      <c r="H198" s="143"/>
      <c r="I198" s="130"/>
      <c r="J198" s="131">
        <f t="shared" si="34"/>
        <v>0</v>
      </c>
    </row>
    <row r="199" spans="1:24" s="1" customFormat="1" ht="18" customHeight="1">
      <c r="A199" s="201" t="str">
        <f t="shared" si="36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 t="shared" ref="J199:J203" si="39">$J$120*H199</f>
        <v>0</v>
      </c>
    </row>
    <row r="200" spans="1:24" s="1" customFormat="1" ht="18" customHeight="1">
      <c r="A200" s="201" t="str">
        <f t="shared" si="36"/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si="39"/>
        <v>0</v>
      </c>
    </row>
    <row r="201" spans="1:24" s="1" customFormat="1" ht="18" customHeight="1">
      <c r="A201" s="201" t="str">
        <f t="shared" si="36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si="39"/>
        <v>0</v>
      </c>
    </row>
    <row r="202" spans="1:24" s="1" customFormat="1" ht="18" customHeight="1">
      <c r="A202" s="201" t="str">
        <f t="shared" si="36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si="39"/>
        <v>0</v>
      </c>
    </row>
    <row r="203" spans="1:24" s="1" customFormat="1" ht="18" customHeight="1">
      <c r="A203" s="201" t="str">
        <f t="shared" si="36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si="39"/>
        <v>0</v>
      </c>
    </row>
    <row r="204" spans="1:24" s="1" customFormat="1" ht="18" customHeight="1">
      <c r="A204" s="201" t="str">
        <f>IF(B204="","",+A203+1)</f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 t="shared" ref="J204:J205" si="40">$J$120*H204</f>
        <v>0</v>
      </c>
    </row>
    <row r="205" spans="1:24" s="1" customFormat="1" ht="18" customHeight="1">
      <c r="A205" s="317" t="str">
        <f t="shared" ref="A205" si="41">IF(B205="","",+A204+1)</f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 t="shared" si="40"/>
        <v>0</v>
      </c>
    </row>
    <row r="206" spans="1:24" s="1" customFormat="1" ht="18" customHeight="1">
      <c r="A206" s="25"/>
      <c r="B206" s="161"/>
      <c r="C206" s="33"/>
      <c r="D206" s="30"/>
      <c r="E206" s="17"/>
      <c r="F206" s="30"/>
      <c r="G206" s="30"/>
      <c r="H206" s="161"/>
      <c r="I206" s="24"/>
      <c r="J206" s="24"/>
    </row>
    <row r="207" spans="1:24" ht="18" customHeight="1">
      <c r="A207" s="17"/>
      <c r="J207" s="99" t="str">
        <f>LEFT($J$111,13)&amp;"-02"</f>
        <v>FG-240-7P4L3R-02</v>
      </c>
    </row>
    <row r="208" spans="1:24" ht="12.75" customHeight="1">
      <c r="B208" s="56"/>
      <c r="C208" s="56"/>
      <c r="D208" s="30"/>
      <c r="E208" s="17"/>
      <c r="F208" s="17"/>
      <c r="G208" s="17"/>
      <c r="H208" s="17"/>
      <c r="K208" s="7"/>
      <c r="L208" s="7"/>
      <c r="M208" s="2"/>
      <c r="N208" s="2"/>
    </row>
    <row r="209" spans="1:14" ht="30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231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231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/>
      <c r="C215"/>
      <c r="D215" s="81"/>
      <c r="E215"/>
      <c r="F215"/>
      <c r="G215"/>
      <c r="H215"/>
      <c r="I215" s="160"/>
      <c r="J215" s="116"/>
    </row>
    <row r="216" spans="1:14" s="1" customFormat="1" ht="15" customHeight="1">
      <c r="A216" s="17"/>
      <c r="B216" s="93"/>
      <c r="C216" s="56"/>
      <c r="D216" s="30"/>
      <c r="E216" s="29"/>
      <c r="F216" s="160"/>
      <c r="G216" s="160"/>
      <c r="H216" s="16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s="1" customFormat="1" ht="15.6">
      <c r="A218" s="109"/>
      <c r="B218" s="33"/>
      <c r="C218" s="327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368</v>
      </c>
      <c r="D220" s="30"/>
      <c r="E220" s="29"/>
      <c r="F220" s="30"/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89"/>
      <c r="J221" s="12"/>
    </row>
    <row r="222" spans="1:14" s="1" customFormat="1" ht="15" customHeight="1">
      <c r="A222" s="109"/>
      <c r="B222" s="33"/>
      <c r="C222" s="327" t="s">
        <v>273</v>
      </c>
      <c r="D222" s="161"/>
      <c r="E222" s="109"/>
      <c r="F222" s="161"/>
      <c r="J222" s="12"/>
    </row>
    <row r="223" spans="1:14" s="1" customFormat="1" ht="15" customHeight="1">
      <c r="A223" s="109"/>
      <c r="B223" s="33"/>
      <c r="C223" s="374">
        <f>$I$133</f>
        <v>4662</v>
      </c>
      <c r="D223" s="161"/>
      <c r="E223" s="35"/>
      <c r="F223" s="161"/>
      <c r="G223" s="68"/>
      <c r="J223" s="12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326"/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326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327"/>
      <c r="D229" s="161"/>
      <c r="E229" s="109"/>
      <c r="F229" s="161"/>
      <c r="H229" s="109"/>
      <c r="I229" s="229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229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229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229"/>
      <c r="J232" s="117"/>
    </row>
    <row r="233" spans="1:10" s="1" customFormat="1" ht="15.9" customHeight="1">
      <c r="A233" s="44"/>
      <c r="B233" s="44"/>
      <c r="C233" s="89" t="s">
        <v>381</v>
      </c>
      <c r="D233" s="84"/>
      <c r="E233" s="44"/>
      <c r="F233" s="44"/>
      <c r="G233" s="109"/>
      <c r="H233" s="109"/>
      <c r="I233" s="229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4636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229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29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109"/>
      <c r="J242" s="24"/>
    </row>
    <row r="243" spans="1:10" s="1" customFormat="1" ht="15.9" customHeight="1">
      <c r="A243" s="109"/>
      <c r="B243" s="33"/>
      <c r="C243" s="89" t="s">
        <v>370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.9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" customHeight="1">
      <c r="A245" s="109"/>
      <c r="B245" s="33"/>
      <c r="C245" s="327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4662</v>
      </c>
      <c r="D246" s="161"/>
      <c r="E246" s="109"/>
      <c r="F246" s="161"/>
      <c r="G246" s="109"/>
      <c r="H246" s="109"/>
      <c r="I246" s="44"/>
      <c r="J246" s="119"/>
    </row>
    <row r="247" spans="1:10" s="1" customFormat="1" ht="15.9" customHeight="1">
      <c r="A247" s="109"/>
      <c r="B247" s="33"/>
      <c r="C247" s="363">
        <f>$J$135</f>
        <v>1</v>
      </c>
      <c r="D247" s="161"/>
      <c r="E247" s="109"/>
      <c r="F247" s="161"/>
      <c r="G247" s="109"/>
      <c r="H247" s="109"/>
      <c r="I247" s="32"/>
      <c r="J247" s="40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0"/>
      <c r="H251" s="109"/>
      <c r="I251" s="24"/>
      <c r="J251" s="24"/>
    </row>
    <row r="252" spans="1:10" s="1" customFormat="1" ht="15.9" customHeight="1">
      <c r="A252" s="109"/>
      <c r="B252" s="33"/>
      <c r="D252" s="161"/>
      <c r="E252" s="109"/>
      <c r="F252" s="109"/>
      <c r="G252" s="109"/>
      <c r="H252" s="109"/>
      <c r="I252" s="24"/>
      <c r="J252" s="24"/>
    </row>
    <row r="253" spans="1:10" s="1" customFormat="1" ht="15.9" customHeight="1">
      <c r="A253" s="44"/>
      <c r="B253" s="44"/>
      <c r="D253" s="84"/>
      <c r="E253" s="44"/>
      <c r="F253" s="44"/>
      <c r="G253" s="109"/>
      <c r="H253" s="109"/>
      <c r="I253" s="24"/>
      <c r="J253" s="24"/>
    </row>
    <row r="254" spans="1:10" s="1" customFormat="1" ht="15.9" customHeight="1">
      <c r="A254" s="40"/>
      <c r="B254" s="40"/>
      <c r="C254" s="89" t="s">
        <v>371</v>
      </c>
      <c r="D254" s="85"/>
      <c r="E254" s="40"/>
      <c r="F254" s="32"/>
      <c r="G254" s="109"/>
      <c r="I254" s="24"/>
      <c r="J254" s="24"/>
    </row>
    <row r="255" spans="1:10" s="1" customFormat="1" ht="15.9" customHeight="1">
      <c r="A255" s="27"/>
      <c r="B255" s="33"/>
      <c r="C255" s="328" t="s">
        <v>275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27" t="s">
        <v>273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74">
        <f>$I$136</f>
        <v>4662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63">
        <f>$J$136</f>
        <v>1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46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161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89" t="s">
        <v>373</v>
      </c>
      <c r="D264" s="161"/>
      <c r="E264" s="109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8" t="s">
        <v>379</v>
      </c>
      <c r="D265" s="328"/>
      <c r="E265" s="328"/>
      <c r="F265" s="109"/>
      <c r="G265" s="109"/>
      <c r="H265" s="109"/>
      <c r="I265" s="24"/>
      <c r="J265" s="24"/>
    </row>
    <row r="266" spans="1:10" s="1" customFormat="1" ht="15.9" customHeight="1">
      <c r="A266" s="27"/>
      <c r="B266" s="33"/>
      <c r="C266" s="327" t="s">
        <v>279</v>
      </c>
      <c r="D266" s="327"/>
      <c r="E266" s="327"/>
      <c r="F266" s="109"/>
      <c r="G266" s="109"/>
      <c r="H266" s="109"/>
      <c r="J266" s="12"/>
    </row>
    <row r="267" spans="1:10" s="1" customFormat="1" ht="15.9" customHeight="1">
      <c r="A267" s="27"/>
      <c r="B267" s="33"/>
      <c r="C267" s="374">
        <f>$I$137</f>
        <v>3335</v>
      </c>
      <c r="D267" s="161"/>
      <c r="E267" s="109"/>
      <c r="F267" s="109"/>
      <c r="G267" s="33"/>
      <c r="H267" s="33"/>
      <c r="J267" s="12"/>
    </row>
    <row r="268" spans="1:10" s="1" customFormat="1" ht="15.9" customHeight="1">
      <c r="A268" s="27"/>
      <c r="B268" s="33"/>
      <c r="C268" s="363">
        <f>$J$137+$J$138</f>
        <v>2</v>
      </c>
      <c r="D268" s="161"/>
      <c r="E268" s="10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B271" s="33"/>
      <c r="D271" s="89"/>
      <c r="E271" s="89"/>
      <c r="F271" s="109"/>
      <c r="G271" s="109"/>
      <c r="H271" s="109"/>
      <c r="J271" s="12"/>
    </row>
    <row r="272" spans="1:10" s="1" customFormat="1" ht="15.9" customHeight="1">
      <c r="A272" s="27"/>
      <c r="D272" s="328"/>
      <c r="E272" s="328"/>
      <c r="F272" s="109"/>
      <c r="G272" s="109"/>
      <c r="H272" s="109"/>
      <c r="J272" s="12"/>
    </row>
    <row r="273" spans="1:10" s="1" customFormat="1" ht="15.9" customHeight="1">
      <c r="A273" s="27"/>
      <c r="B273" s="33"/>
      <c r="D273" s="328"/>
      <c r="E273" s="328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33"/>
      <c r="D274" s="161"/>
      <c r="E274" s="109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89" t="s">
        <v>374</v>
      </c>
      <c r="D275" s="162"/>
      <c r="E275" s="24"/>
      <c r="F275" s="109"/>
      <c r="G275" s="109"/>
      <c r="I275" s="24"/>
      <c r="J275" s="24"/>
    </row>
    <row r="276" spans="1:10" s="1" customFormat="1" ht="15.9" customHeight="1">
      <c r="A276" s="27"/>
      <c r="B276" s="33"/>
      <c r="C276" s="328" t="s">
        <v>649</v>
      </c>
      <c r="D276" s="328"/>
      <c r="E276" s="328"/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433" t="s">
        <v>650</v>
      </c>
      <c r="D277" s="327"/>
      <c r="E277" s="327"/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374">
        <f>$I$139</f>
        <v>3239</v>
      </c>
      <c r="F278" s="109"/>
      <c r="G278" s="109"/>
      <c r="I278" s="109"/>
      <c r="J278" s="24"/>
    </row>
    <row r="279" spans="1:10" s="1" customFormat="1" ht="15.9" customHeight="1">
      <c r="A279" s="27"/>
      <c r="B279" s="33"/>
      <c r="C279" s="363">
        <f>$J$139+$J$140</f>
        <v>2</v>
      </c>
      <c r="F279" s="109"/>
      <c r="G279" s="109"/>
      <c r="I279" s="109"/>
      <c r="J279" s="24"/>
    </row>
    <row r="280" spans="1:10" s="1" customFormat="1" ht="15.9" customHeight="1">
      <c r="A280" s="27"/>
      <c r="B280" s="33"/>
      <c r="F280" s="109"/>
      <c r="G280" s="109"/>
      <c r="H280" s="109"/>
      <c r="J280" s="12"/>
    </row>
    <row r="281" spans="1:10" s="1" customFormat="1" ht="15.9" customHeight="1">
      <c r="A281" s="27"/>
      <c r="B281" s="33"/>
      <c r="F281" s="109"/>
      <c r="G281" s="109"/>
      <c r="H281" s="109"/>
      <c r="J281" s="12"/>
    </row>
    <row r="282" spans="1:10" s="1" customFormat="1" ht="15.9" customHeight="1">
      <c r="A282" s="27"/>
      <c r="B282" s="33"/>
      <c r="C282" s="33"/>
      <c r="D282" s="161"/>
      <c r="E282" s="109"/>
      <c r="F282" s="109"/>
      <c r="G282" s="109"/>
      <c r="H282" s="109"/>
      <c r="J282" s="12"/>
    </row>
    <row r="283" spans="1:10" s="1" customFormat="1" ht="15.9" customHeight="1">
      <c r="A283" s="27"/>
      <c r="B283" s="33"/>
      <c r="F283" s="109"/>
      <c r="G283" s="109"/>
      <c r="H283" s="109"/>
      <c r="J283" s="12"/>
    </row>
    <row r="284" spans="1:10" s="1" customFormat="1" ht="15.9" customHeight="1">
      <c r="A284" s="27"/>
      <c r="B284" s="33"/>
      <c r="F284" s="109"/>
      <c r="G284" s="109"/>
      <c r="H284" s="109"/>
      <c r="I284" s="162"/>
      <c r="J284" s="24"/>
    </row>
    <row r="285" spans="1:10" s="1" customFormat="1" ht="15.9" customHeight="1">
      <c r="A285" s="27"/>
      <c r="B285" s="33"/>
      <c r="C285" s="89" t="s">
        <v>386</v>
      </c>
      <c r="F285" s="109"/>
      <c r="G285" s="109"/>
      <c r="H285" s="109"/>
      <c r="I285" s="109"/>
      <c r="J285" s="24"/>
    </row>
    <row r="286" spans="1:10" s="1" customFormat="1" ht="15.9" customHeight="1">
      <c r="A286" s="27"/>
      <c r="B286" s="33"/>
      <c r="C286" s="94" t="s">
        <v>444</v>
      </c>
      <c r="D286" s="161"/>
      <c r="E286" s="109"/>
      <c r="F286" s="109"/>
      <c r="G286" s="109"/>
      <c r="H286" s="109"/>
      <c r="I286" s="24"/>
      <c r="J286" s="24"/>
    </row>
    <row r="287" spans="1:10" s="1" customFormat="1" ht="15.9" customHeight="1">
      <c r="A287" s="27"/>
      <c r="B287" s="33"/>
      <c r="C287" s="327" t="s">
        <v>445</v>
      </c>
      <c r="D287" s="161"/>
      <c r="E287" s="109"/>
      <c r="F287" s="109"/>
      <c r="G287" s="109"/>
      <c r="H287" s="109"/>
      <c r="I287" s="24"/>
      <c r="J287" s="24"/>
    </row>
    <row r="288" spans="1:10" s="1" customFormat="1" ht="15.9" customHeight="1">
      <c r="A288" s="27"/>
      <c r="B288" s="33"/>
      <c r="C288" s="328" t="s">
        <v>281</v>
      </c>
      <c r="D288" s="328"/>
      <c r="E288" s="328"/>
      <c r="F288" s="109"/>
      <c r="G288" s="109"/>
      <c r="I288" s="24"/>
      <c r="J288" s="24"/>
    </row>
    <row r="289" spans="1:10" s="23" customFormat="1" ht="15.9" customHeight="1">
      <c r="A289" s="27"/>
      <c r="B289" s="33"/>
      <c r="C289" s="327" t="s">
        <v>282</v>
      </c>
      <c r="D289" s="327"/>
      <c r="E289" s="327"/>
      <c r="F289" s="109"/>
      <c r="G289" s="109"/>
      <c r="H289" s="1"/>
      <c r="I289" s="109"/>
      <c r="J289" s="109"/>
    </row>
    <row r="290" spans="1:10" s="1" customFormat="1" ht="15.9" customHeight="1">
      <c r="A290" s="27"/>
      <c r="B290" s="33"/>
      <c r="C290" s="374">
        <f>$I$141</f>
        <v>551.07142857142856</v>
      </c>
      <c r="F290" s="109"/>
      <c r="G290" s="109"/>
      <c r="I290" s="44"/>
      <c r="J290" s="119"/>
    </row>
    <row r="291" spans="1:10" s="1" customFormat="1" ht="15.9" customHeight="1">
      <c r="A291" s="27"/>
      <c r="B291" s="33"/>
      <c r="C291" s="363">
        <f>$J$141+$J$142</f>
        <v>14</v>
      </c>
      <c r="D291" s="161"/>
      <c r="E291" s="109"/>
      <c r="F291" s="109"/>
      <c r="G291" s="109"/>
      <c r="H291" s="161"/>
      <c r="I291" s="32"/>
      <c r="J291" s="40"/>
    </row>
    <row r="292" spans="1:10" s="1" customFormat="1" ht="15.9" customHeight="1">
      <c r="A292" s="27"/>
      <c r="B292" s="33"/>
      <c r="C292" s="374">
        <f>$I$143</f>
        <v>3243</v>
      </c>
      <c r="D292" s="161"/>
      <c r="E292" s="109"/>
      <c r="F292" s="109"/>
      <c r="G292" s="109"/>
      <c r="H292" s="109"/>
      <c r="I292" s="24"/>
      <c r="J292" s="24"/>
    </row>
    <row r="293" spans="1:10" s="1" customFormat="1" ht="15.9" customHeight="1">
      <c r="A293" s="27"/>
      <c r="B293" s="33"/>
      <c r="C293" s="363">
        <f>$J$143+$J$144+$J$145+$J$146</f>
        <v>14</v>
      </c>
      <c r="D293" s="161"/>
      <c r="E293" s="109"/>
      <c r="F293" s="109"/>
      <c r="G293" s="109"/>
      <c r="H293" s="109"/>
      <c r="I293" s="24"/>
      <c r="J293" s="24"/>
    </row>
    <row r="294" spans="1:10" s="1" customFormat="1" ht="15.9" customHeight="1">
      <c r="A294" s="27"/>
      <c r="B294" s="33"/>
      <c r="D294" s="161"/>
      <c r="E294" s="109"/>
      <c r="F294" s="109"/>
      <c r="G294" s="109"/>
      <c r="H294" s="109"/>
      <c r="I294" s="24"/>
      <c r="J294" s="24"/>
    </row>
    <row r="295" spans="1:10" s="1" customFormat="1" ht="15.9" customHeight="1">
      <c r="A295" s="27"/>
      <c r="B295" s="33"/>
      <c r="C295" s="33"/>
      <c r="D295" s="161"/>
      <c r="E295" s="109"/>
      <c r="F295" s="109"/>
      <c r="G295" s="109"/>
      <c r="H295" s="109"/>
      <c r="I295" s="109"/>
      <c r="J295" s="24"/>
    </row>
    <row r="296" spans="1:10" s="1" customFormat="1" ht="15.9" customHeight="1">
      <c r="A296" s="27"/>
      <c r="B296" s="33"/>
      <c r="C296" s="23"/>
      <c r="D296" s="161"/>
      <c r="E296" s="109"/>
      <c r="F296" s="109"/>
      <c r="G296" s="109"/>
      <c r="H296" s="109"/>
      <c r="I296" s="109"/>
      <c r="J296" s="24"/>
    </row>
    <row r="297" spans="1:10" s="1" customFormat="1" ht="15.9" customHeight="1">
      <c r="A297" s="27"/>
      <c r="B297" s="33"/>
      <c r="C297" s="89" t="s">
        <v>376</v>
      </c>
      <c r="D297" s="161"/>
      <c r="E297" s="109"/>
      <c r="F297" s="109"/>
      <c r="G297" s="109"/>
      <c r="H297" s="109"/>
      <c r="I297" s="109"/>
      <c r="J297" s="24"/>
    </row>
    <row r="298" spans="1:10" s="1" customFormat="1" ht="15.9" customHeight="1">
      <c r="A298" s="27"/>
      <c r="B298" s="33"/>
      <c r="C298" s="94" t="s">
        <v>447</v>
      </c>
      <c r="D298" s="161"/>
      <c r="E298" s="109"/>
      <c r="F298" s="109"/>
      <c r="G298" s="44"/>
      <c r="H298" s="44"/>
      <c r="I298" s="109"/>
      <c r="J298" s="24"/>
    </row>
    <row r="299" spans="1:10" s="1" customFormat="1" ht="15.9" customHeight="1">
      <c r="A299" s="27"/>
      <c r="B299" s="33"/>
      <c r="C299" s="327" t="s">
        <v>445</v>
      </c>
      <c r="D299" s="328"/>
      <c r="E299" s="328"/>
      <c r="F299" s="109"/>
      <c r="G299" s="40"/>
      <c r="H299" s="32"/>
      <c r="I299" s="109"/>
      <c r="J299" s="24"/>
    </row>
    <row r="300" spans="1:10" s="1" customFormat="1" ht="15.9" customHeight="1">
      <c r="A300" s="41"/>
      <c r="B300" s="33"/>
      <c r="C300" s="328" t="s">
        <v>286</v>
      </c>
      <c r="D300" s="327"/>
      <c r="E300" s="327"/>
      <c r="F300" s="109"/>
      <c r="G300" s="109"/>
      <c r="H300" s="109"/>
      <c r="I300" s="109"/>
      <c r="J300" s="24"/>
    </row>
    <row r="301" spans="1:10" s="1" customFormat="1" ht="15.9" customHeight="1">
      <c r="A301" s="44"/>
      <c r="B301" s="44"/>
      <c r="C301" s="327" t="s">
        <v>285</v>
      </c>
      <c r="D301" s="86"/>
      <c r="E301" s="79"/>
      <c r="F301" s="44"/>
      <c r="G301" s="109"/>
      <c r="H301" s="109"/>
      <c r="I301" s="109"/>
      <c r="J301" s="24"/>
    </row>
    <row r="302" spans="1:10" s="1" customFormat="1" ht="15.9" customHeight="1">
      <c r="A302" s="40"/>
      <c r="B302" s="40"/>
      <c r="C302" s="374">
        <f>$I$147</f>
        <v>551.07142857142856</v>
      </c>
      <c r="D302" s="87"/>
      <c r="E302" s="80"/>
      <c r="F302" s="32"/>
      <c r="G302" s="109"/>
      <c r="H302" s="109"/>
      <c r="I302" s="109"/>
      <c r="J302" s="24"/>
    </row>
    <row r="303" spans="1:10" s="1" customFormat="1" ht="15.9" customHeight="1">
      <c r="A303" s="109"/>
      <c r="B303" s="33"/>
      <c r="C303" s="363">
        <f>$J$147</f>
        <v>14</v>
      </c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C304" s="374">
        <f>$I$148</f>
        <v>3093</v>
      </c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C305" s="363">
        <f>$J$148</f>
        <v>14</v>
      </c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D306" s="15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D307" s="15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89" t="s">
        <v>387</v>
      </c>
      <c r="D308" s="161"/>
      <c r="E308" s="109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28" t="s">
        <v>281</v>
      </c>
      <c r="D309" s="328"/>
      <c r="E309" s="328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542" t="s">
        <v>282</v>
      </c>
      <c r="D310" s="542"/>
      <c r="E310" s="542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C311" s="374">
        <f>$I$149</f>
        <v>3243</v>
      </c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C312" s="363">
        <f>$J$149+$J$150</f>
        <v>2</v>
      </c>
      <c r="D312" s="328"/>
      <c r="E312" s="328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33"/>
      <c r="D314" s="162"/>
      <c r="E314" s="24"/>
      <c r="F314" s="109"/>
      <c r="G314" s="109"/>
      <c r="H314" s="109"/>
      <c r="I314" s="27"/>
      <c r="J314" s="99" t="str">
        <f>LEFT($J$111,13)&amp;"-03"</f>
        <v>FG-240-7P4L3R-03</v>
      </c>
    </row>
    <row r="315" spans="1:14" ht="12.75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30" customHeight="1">
      <c r="A316" s="17"/>
      <c r="B316" s="26"/>
      <c r="C316" s="26"/>
      <c r="D316" s="83"/>
      <c r="E316" s="25"/>
      <c r="F316" s="25"/>
      <c r="G316" s="25"/>
      <c r="H316" s="25"/>
      <c r="I316" s="179"/>
      <c r="J316" s="90" t="str">
        <f>$J$2</f>
        <v>HOMELIFE</v>
      </c>
    </row>
    <row r="317" spans="1:14" ht="24.9" customHeight="1">
      <c r="B317" s="231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231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s="1" customFormat="1" ht="15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  <c r="K320" s="4"/>
      <c r="L320" s="4"/>
      <c r="M320" s="4"/>
      <c r="N320" s="4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228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228"/>
      <c r="I331" s="161"/>
      <c r="J331" s="109"/>
    </row>
    <row r="332" spans="1:10" s="1" customFormat="1" ht="15" customHeight="1">
      <c r="A332" s="64" t="str">
        <f>A18</f>
        <v>240-7 Panel (4L3R)</v>
      </c>
      <c r="B332" s="92"/>
      <c r="C332" s="161"/>
      <c r="D332" s="161"/>
      <c r="E332" s="109"/>
      <c r="F332" s="228"/>
      <c r="G332" s="228"/>
      <c r="H332" s="228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92"/>
      <c r="C333" s="161"/>
      <c r="D333" s="161"/>
      <c r="E333" s="109"/>
      <c r="F333" s="228"/>
      <c r="G333" s="228"/>
      <c r="H333" s="228"/>
      <c r="I333" s="109"/>
      <c r="J333" s="109"/>
    </row>
    <row r="334" spans="1:10" s="1" customFormat="1" ht="15.9" customHeight="1">
      <c r="A334" s="109"/>
      <c r="B334" s="45"/>
      <c r="C334" s="42"/>
      <c r="D334" s="161"/>
      <c r="E334" s="109"/>
      <c r="F334" s="507"/>
      <c r="G334" s="507"/>
      <c r="H334" s="228"/>
      <c r="I334" s="109"/>
      <c r="J334" s="109"/>
    </row>
    <row r="335" spans="1:10" s="1" customFormat="1" ht="15.9" customHeight="1">
      <c r="A335" s="39"/>
      <c r="B335" s="109"/>
      <c r="C335" s="161"/>
      <c r="D335" s="161"/>
      <c r="E335" s="109"/>
      <c r="F335" s="37"/>
      <c r="G335" s="38"/>
      <c r="H335" s="109"/>
      <c r="I335" s="109"/>
      <c r="J335" s="109"/>
    </row>
    <row r="336" spans="1:10" s="1" customFormat="1" ht="15.9" customHeight="1">
      <c r="A336" s="44"/>
      <c r="C336" s="43"/>
      <c r="D336" s="161"/>
      <c r="E336" s="109"/>
      <c r="F336" s="109"/>
      <c r="G336" s="109"/>
      <c r="H336" s="109"/>
      <c r="I336" s="44"/>
      <c r="J336" s="119"/>
    </row>
    <row r="337" spans="1:10" s="1" customFormat="1" ht="15.9" customHeight="1">
      <c r="A337" s="40"/>
      <c r="C337" s="44"/>
      <c r="D337" s="84"/>
      <c r="E337" s="44"/>
      <c r="F337" s="44"/>
      <c r="G337" s="44"/>
      <c r="H337" s="44"/>
      <c r="I337" s="32"/>
      <c r="J337" s="40"/>
    </row>
    <row r="338" spans="1:10" s="1" customFormat="1" ht="15.9" customHeight="1">
      <c r="A338" s="109"/>
      <c r="C338" s="161"/>
      <c r="D338" s="85"/>
      <c r="E338" s="40"/>
      <c r="F338" s="32"/>
      <c r="G338" s="40"/>
      <c r="H338" s="32"/>
      <c r="I338" s="24"/>
      <c r="J338" s="24"/>
    </row>
    <row r="339" spans="1:10" s="1" customFormat="1" ht="15.9" customHeight="1">
      <c r="A339" s="109"/>
      <c r="C339" s="163"/>
      <c r="D339" s="161"/>
      <c r="E339" s="109"/>
      <c r="F339" s="161"/>
      <c r="G339" s="109"/>
      <c r="H339" s="109"/>
      <c r="I339" s="24"/>
      <c r="J339" s="24"/>
    </row>
    <row r="340" spans="1:10" s="1" customFormat="1" ht="15.9" customHeight="1">
      <c r="A340" s="109"/>
      <c r="B340" s="33"/>
      <c r="C340" s="161"/>
      <c r="D340" s="161"/>
      <c r="E340" s="109"/>
      <c r="F340" s="161"/>
      <c r="G340" s="109"/>
      <c r="H340" s="109"/>
      <c r="I340" s="162"/>
      <c r="J340" s="162"/>
    </row>
    <row r="341" spans="1:10" s="1" customFormat="1" ht="15.9" customHeight="1">
      <c r="A341" s="109"/>
      <c r="B341" s="33"/>
      <c r="C341" s="44"/>
      <c r="D341" s="161"/>
      <c r="E341" s="109"/>
      <c r="F341" s="161"/>
      <c r="G341" s="109"/>
      <c r="H341" s="162"/>
      <c r="I341" s="161"/>
      <c r="J341" s="161"/>
    </row>
    <row r="342" spans="1:10" s="1" customFormat="1" ht="15.9" customHeight="1">
      <c r="A342" s="109"/>
      <c r="B342" s="33"/>
      <c r="C342" s="42"/>
      <c r="D342" s="161"/>
      <c r="E342" s="109"/>
      <c r="F342" s="161"/>
      <c r="G342" s="109"/>
      <c r="H342" s="161"/>
      <c r="I342" s="161"/>
      <c r="J342" s="161"/>
    </row>
    <row r="343" spans="1:10" s="1" customFormat="1" ht="15.9" customHeight="1">
      <c r="A343" s="109"/>
      <c r="B343" s="33"/>
      <c r="C343" s="163"/>
      <c r="D343" s="161"/>
      <c r="E343" s="109"/>
      <c r="F343" s="161"/>
      <c r="G343" s="109"/>
      <c r="H343" s="161"/>
      <c r="I343" s="109"/>
      <c r="J343" s="24"/>
    </row>
    <row r="344" spans="1:10" s="1" customFormat="1" ht="15.9" customHeight="1">
      <c r="A344" s="109"/>
      <c r="B344" s="33"/>
      <c r="C344" s="161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44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3"/>
      <c r="D350" s="161"/>
      <c r="E350" s="109"/>
      <c r="F350" s="161"/>
      <c r="G350" s="109"/>
      <c r="H350" s="109"/>
      <c r="I350" s="109"/>
      <c r="J350" s="24"/>
    </row>
    <row r="351" spans="1:10" s="1" customFormat="1" ht="15.9" customHeight="1">
      <c r="A351" s="109"/>
      <c r="B351" s="33"/>
      <c r="C351" s="161"/>
      <c r="D351" s="161"/>
      <c r="E351" s="109"/>
      <c r="F351" s="161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1" customFormat="1" ht="15" customHeight="1">
      <c r="A353" s="109"/>
      <c r="B353" s="33"/>
      <c r="C353" s="33"/>
      <c r="D353" s="161"/>
      <c r="E353" s="109"/>
      <c r="F353" s="109"/>
      <c r="G353" s="109"/>
      <c r="H353" s="107"/>
      <c r="I353" s="24"/>
      <c r="J353" s="24"/>
    </row>
    <row r="354" spans="1:10" s="23" customFormat="1" ht="15.9" customHeight="1">
      <c r="A354" s="109"/>
      <c r="B354" s="33"/>
      <c r="C354" s="33"/>
      <c r="D354" s="161"/>
      <c r="E354" s="109"/>
      <c r="F354" s="109"/>
      <c r="G354" s="109"/>
      <c r="H354" s="109"/>
      <c r="I354" s="109"/>
      <c r="J354" s="109"/>
    </row>
    <row r="355" spans="1:10" s="1" customFormat="1" ht="15.9" customHeight="1">
      <c r="A355" s="44"/>
      <c r="B355" s="33"/>
      <c r="C355" s="33"/>
      <c r="D355" s="161"/>
      <c r="E355" s="109"/>
      <c r="F355" s="109"/>
      <c r="G355" s="109"/>
      <c r="H355" s="109"/>
      <c r="I355" s="44"/>
      <c r="J355" s="119"/>
    </row>
    <row r="356" spans="1:10" s="1" customFormat="1" ht="15.9" customHeight="1">
      <c r="A356" s="40"/>
      <c r="B356" s="44"/>
      <c r="C356" s="44"/>
      <c r="D356" s="84"/>
      <c r="E356" s="44"/>
      <c r="F356" s="44"/>
      <c r="G356" s="44"/>
      <c r="H356" s="44"/>
      <c r="I356" s="32"/>
      <c r="J356" s="40"/>
    </row>
    <row r="357" spans="1:10" s="1" customFormat="1" ht="15.9" customHeight="1">
      <c r="A357" s="27"/>
      <c r="B357" s="40"/>
      <c r="C357" s="44"/>
      <c r="D357" s="85"/>
      <c r="E357" s="40"/>
      <c r="F357" s="32"/>
      <c r="G357" s="40"/>
      <c r="H357" s="32"/>
      <c r="I357" s="24"/>
      <c r="J357" s="24"/>
    </row>
    <row r="358" spans="1:10" s="1" customFormat="1" ht="15.9" customHeight="1">
      <c r="A358" s="27"/>
      <c r="B358" s="33"/>
      <c r="C358" s="42"/>
      <c r="D358" s="161"/>
      <c r="E358" s="109"/>
      <c r="F358" s="109"/>
      <c r="G358" s="109"/>
      <c r="H358" s="42"/>
      <c r="I358" s="163"/>
      <c r="J358" s="163"/>
    </row>
    <row r="359" spans="1:10" s="1" customFormat="1" ht="15.9" customHeight="1">
      <c r="A359" s="27"/>
      <c r="B359" s="33"/>
      <c r="C359" s="163"/>
      <c r="D359" s="161"/>
      <c r="E359" s="109"/>
      <c r="F359" s="109"/>
      <c r="G359" s="109"/>
      <c r="H359" s="163"/>
      <c r="I359" s="161"/>
      <c r="J359" s="161"/>
    </row>
    <row r="360" spans="1:10" s="1" customFormat="1" ht="15.9" customHeight="1">
      <c r="A360" s="27"/>
      <c r="B360" s="33"/>
      <c r="C360" s="161"/>
      <c r="D360" s="161"/>
      <c r="E360" s="109"/>
      <c r="F360" s="109"/>
      <c r="G360" s="109"/>
      <c r="H360" s="161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46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161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D372" s="161"/>
      <c r="E372" s="109"/>
      <c r="F372" s="109"/>
      <c r="G372" s="33"/>
      <c r="H372" s="33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42"/>
      <c r="I376" s="163"/>
      <c r="J376" s="163"/>
    </row>
    <row r="377" spans="1:10" s="1" customFormat="1" ht="15.9" customHeight="1">
      <c r="A377" s="27"/>
      <c r="B377" s="33"/>
      <c r="C377" s="47"/>
      <c r="D377" s="161"/>
      <c r="E377" s="109"/>
      <c r="F377" s="109"/>
      <c r="G377" s="109"/>
      <c r="H377" s="163"/>
      <c r="I377" s="161"/>
      <c r="J377" s="161"/>
    </row>
    <row r="378" spans="1:10" s="1" customFormat="1" ht="15.9" customHeight="1">
      <c r="A378" s="27"/>
      <c r="B378" s="33"/>
      <c r="C378" s="46"/>
      <c r="D378" s="161"/>
      <c r="E378" s="109"/>
      <c r="F378" s="109"/>
      <c r="G378" s="109"/>
      <c r="H378" s="161"/>
      <c r="I378" s="24"/>
      <c r="J378" s="24"/>
    </row>
    <row r="379" spans="1:10" s="1" customFormat="1" ht="15.9" customHeight="1">
      <c r="A379" s="27"/>
      <c r="B379" s="33"/>
      <c r="C379" s="161"/>
      <c r="D379" s="161"/>
      <c r="E379" s="109"/>
      <c r="F379" s="109"/>
      <c r="G379" s="109"/>
      <c r="H379" s="42"/>
      <c r="I379" s="163"/>
      <c r="J379" s="163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3"/>
      <c r="I380" s="161"/>
      <c r="J380" s="161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1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64"/>
      <c r="J388" s="16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4"/>
      <c r="I389" s="165"/>
      <c r="J389" s="165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5"/>
      <c r="I390" s="161"/>
      <c r="J390" s="161"/>
    </row>
    <row r="391" spans="1:10" s="1" customFormat="1" ht="15.9" customHeight="1">
      <c r="A391" s="27"/>
      <c r="B391" s="33"/>
      <c r="C391" s="47"/>
      <c r="D391" s="161"/>
      <c r="E391" s="109"/>
      <c r="F391" s="109"/>
      <c r="G391" s="109"/>
      <c r="H391" s="161"/>
      <c r="I391" s="24"/>
      <c r="J391" s="24"/>
    </row>
    <row r="392" spans="1:10" s="1" customFormat="1" ht="15.9" customHeight="1">
      <c r="A392" s="27"/>
      <c r="B392" s="33"/>
      <c r="C392" s="46"/>
      <c r="D392" s="161"/>
      <c r="E392" s="109"/>
      <c r="F392" s="109"/>
      <c r="G392" s="109"/>
      <c r="H392" s="109"/>
      <c r="I392" s="109"/>
      <c r="J392" s="24"/>
    </row>
    <row r="393" spans="1:10" s="1" customFormat="1" ht="15.9" customHeight="1">
      <c r="A393" s="27"/>
      <c r="B393" s="33"/>
      <c r="C393" s="161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23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1" customFormat="1" ht="15.9" customHeight="1">
      <c r="A405" s="44"/>
      <c r="B405" s="33"/>
      <c r="C405" s="33"/>
      <c r="D405" s="161"/>
      <c r="E405" s="109"/>
      <c r="F405" s="109"/>
      <c r="G405" s="109"/>
      <c r="H405" s="109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44"/>
      <c r="B419" s="44"/>
      <c r="C419" s="44"/>
      <c r="D419" s="84"/>
      <c r="E419" s="44"/>
      <c r="F419" s="44"/>
      <c r="G419" s="44"/>
      <c r="H419" s="44"/>
      <c r="I419" s="44"/>
      <c r="J419" s="119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LEFT($J$111,13)&amp;"-04"</f>
        <v>FG-240-7P4L3R-04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A423" s="109"/>
      <c r="B423" s="33"/>
      <c r="C423" s="33"/>
      <c r="D423" s="161"/>
      <c r="E423" s="109"/>
      <c r="F423" s="109"/>
      <c r="G423" s="109"/>
      <c r="H423" s="109"/>
      <c r="I423" s="109"/>
      <c r="J423" s="90" t="str">
        <f>$J$2</f>
        <v>HOMELIFE</v>
      </c>
      <c r="K423" s="7"/>
      <c r="L423" s="7"/>
      <c r="M423" s="2"/>
      <c r="N423" s="2"/>
    </row>
    <row r="424" spans="1:14" ht="24.9" customHeight="1">
      <c r="A424" s="109"/>
      <c r="B424" s="33"/>
      <c r="C424" s="33"/>
      <c r="D424" s="161"/>
      <c r="E424" s="109"/>
      <c r="F424" s="109"/>
      <c r="G424" s="109"/>
      <c r="H424" s="109"/>
      <c r="I424" s="109"/>
      <c r="J424" s="91" t="str">
        <f>$J$3</f>
        <v>Fabricators Guide</v>
      </c>
      <c r="K424" s="7"/>
      <c r="L424" s="7"/>
      <c r="M424" s="2"/>
      <c r="N424" s="2"/>
    </row>
    <row r="425" spans="1:14" ht="24.9" customHeight="1">
      <c r="B425" s="231"/>
      <c r="C425" s="28"/>
      <c r="D425" s="28"/>
      <c r="E425" s="28"/>
      <c r="F425" s="28"/>
      <c r="G425" s="28"/>
      <c r="H425" s="28"/>
      <c r="I425" s="28"/>
      <c r="J425" s="91" t="str">
        <f>$J$4</f>
        <v xml:space="preserve">240 Series Bi Fold Door </v>
      </c>
      <c r="K425" s="48"/>
      <c r="L425" s="48"/>
      <c r="M425" s="4"/>
      <c r="N425" s="4"/>
    </row>
    <row r="426" spans="1:14" s="1" customFormat="1" ht="15" customHeight="1" thickBot="1">
      <c r="A426" s="78"/>
      <c r="B426" s="8"/>
      <c r="C426" s="28"/>
      <c r="D426" s="28"/>
      <c r="E426" s="28"/>
      <c r="F426" s="28"/>
      <c r="G426" s="28"/>
      <c r="H426" s="2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  <c r="K427" s="4"/>
      <c r="L427" s="4"/>
      <c r="M427" s="4"/>
      <c r="N427" s="4"/>
    </row>
    <row r="428" spans="1:14" s="1" customFormat="1" ht="15" customHeight="1">
      <c r="A428" s="193"/>
      <c r="B428" s="194"/>
      <c r="C428" s="194"/>
      <c r="D428" s="194"/>
      <c r="E428" s="194"/>
      <c r="F428" s="194"/>
      <c r="G428" s="194"/>
      <c r="H428" s="194"/>
      <c r="I428" s="193"/>
      <c r="K428" s="56"/>
      <c r="L428" s="56"/>
      <c r="M428" s="56"/>
      <c r="N428" s="56"/>
    </row>
    <row r="429" spans="1:14" s="1" customFormat="1" ht="15" customHeight="1">
      <c r="A429" s="45"/>
      <c r="B429" s="193"/>
      <c r="C429" s="193"/>
      <c r="D429" s="193"/>
      <c r="E429" s="193"/>
      <c r="F429" s="193"/>
      <c r="G429" s="193"/>
      <c r="H429" s="193"/>
      <c r="I429" s="44"/>
      <c r="J429" s="119"/>
    </row>
    <row r="430" spans="1:14" s="1" customFormat="1" ht="15" customHeight="1">
      <c r="A430" s="109"/>
      <c r="B430" s="39"/>
      <c r="C430" s="33"/>
      <c r="D430" s="161"/>
      <c r="E430" s="35"/>
      <c r="F430" s="39"/>
      <c r="G430" s="193"/>
      <c r="H430" s="44"/>
      <c r="I430" s="44"/>
      <c r="J430" s="119"/>
    </row>
    <row r="431" spans="1:14" s="1" customFormat="1" ht="15" customHeight="1">
      <c r="A431" s="109"/>
      <c r="B431" s="33"/>
      <c r="C431" s="33"/>
      <c r="D431" s="161"/>
      <c r="E431" s="35"/>
      <c r="F431" s="161"/>
      <c r="G431" s="193"/>
      <c r="H431" s="44"/>
      <c r="I431" s="44"/>
      <c r="J431" s="119"/>
    </row>
    <row r="432" spans="1:14" s="1" customFormat="1" ht="15" customHeight="1">
      <c r="A432" s="109"/>
      <c r="B432" s="56"/>
      <c r="C432" s="56"/>
      <c r="D432" s="30"/>
      <c r="E432" s="29"/>
      <c r="F432" s="30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109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3"/>
      <c r="H434" s="44"/>
      <c r="I434" s="44"/>
      <c r="J434" s="119"/>
    </row>
    <row r="435" spans="1:10" s="1" customFormat="1" ht="15" customHeight="1">
      <c r="A435" s="109"/>
      <c r="B435" s="33"/>
      <c r="C435" s="161"/>
      <c r="D435" s="161"/>
      <c r="E435" s="35"/>
      <c r="F435" s="161"/>
      <c r="H435" s="44"/>
      <c r="I435" s="44"/>
      <c r="J435" s="119"/>
    </row>
    <row r="436" spans="1:10" s="1" customFormat="1" ht="15" customHeight="1">
      <c r="A436" s="39"/>
      <c r="B436" s="33"/>
      <c r="C436" s="42"/>
      <c r="D436" s="161"/>
      <c r="E436" s="109"/>
      <c r="F436" s="69"/>
      <c r="H436" s="44"/>
      <c r="I436" s="44"/>
      <c r="J436" s="119"/>
    </row>
    <row r="437" spans="1:10" s="1" customFormat="1" ht="15" customHeight="1">
      <c r="A437" s="92"/>
      <c r="B437" s="39"/>
      <c r="C437" s="163"/>
      <c r="D437" s="161"/>
      <c r="E437" s="109"/>
      <c r="F437" s="68"/>
      <c r="H437" s="44"/>
      <c r="I437" s="44"/>
      <c r="J437" s="119"/>
    </row>
    <row r="438" spans="1:10" s="1" customFormat="1" ht="15" customHeight="1">
      <c r="B438" s="92"/>
      <c r="C438" s="161"/>
      <c r="D438" s="161"/>
      <c r="E438" s="109"/>
      <c r="F438" s="228"/>
      <c r="H438" s="44"/>
      <c r="I438" s="44"/>
      <c r="J438" s="119"/>
    </row>
    <row r="439" spans="1:10" s="1" customFormat="1" ht="15" customHeight="1">
      <c r="A439" s="64" t="str">
        <f>A18</f>
        <v>240-7 Panel (4L3R)</v>
      </c>
      <c r="B439" s="92"/>
      <c r="C439" s="161"/>
      <c r="D439" s="161"/>
      <c r="E439" s="109"/>
      <c r="F439" s="228"/>
      <c r="H439" s="44"/>
      <c r="I439" s="44"/>
      <c r="J439" s="119"/>
    </row>
    <row r="440" spans="1:10" s="1" customFormat="1" ht="15.9" customHeight="1">
      <c r="A440" s="76" t="str">
        <f>A19</f>
        <v xml:space="preserve">Outside Bi Fold Door </v>
      </c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44"/>
      <c r="B442" s="38"/>
      <c r="C442" s="43"/>
      <c r="D442" s="161"/>
      <c r="E442" s="109"/>
      <c r="F442" s="109"/>
      <c r="H442" s="44"/>
      <c r="I442" s="44"/>
      <c r="J442" s="119"/>
    </row>
    <row r="443" spans="1:10" s="1" customFormat="1" ht="15.9" customHeight="1">
      <c r="A443" s="40"/>
      <c r="C443" s="44"/>
      <c r="D443" s="84"/>
      <c r="E443" s="44"/>
      <c r="F443" s="44"/>
      <c r="H443" s="44"/>
      <c r="I443" s="44"/>
      <c r="J443" s="119"/>
    </row>
    <row r="444" spans="1:10" s="1" customFormat="1" ht="35.1" customHeight="1">
      <c r="A444" s="109"/>
      <c r="C444" s="161"/>
      <c r="D444" s="85"/>
      <c r="E444" s="40"/>
      <c r="F444" s="32"/>
      <c r="H444" s="44"/>
      <c r="I444" s="24"/>
      <c r="J444" s="24"/>
    </row>
    <row r="445" spans="1:10" ht="15.6">
      <c r="B445" s="64"/>
      <c r="C445" s="163"/>
      <c r="D445" s="161"/>
      <c r="E445" s="109"/>
      <c r="F445" s="161"/>
      <c r="G445" s="109"/>
      <c r="H445" s="109"/>
    </row>
    <row r="450" spans="1:10" s="1" customFormat="1" ht="15.9" customHeight="1">
      <c r="A450" s="109"/>
      <c r="B450"/>
      <c r="C450"/>
      <c r="D450" s="81"/>
      <c r="E450"/>
      <c r="F450"/>
      <c r="G450"/>
      <c r="H450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44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1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163"/>
      <c r="D456" s="161"/>
      <c r="E456" s="109"/>
      <c r="F456" s="161"/>
      <c r="G456" s="109"/>
      <c r="H456" s="109"/>
      <c r="I456" s="109"/>
      <c r="J456" s="24"/>
    </row>
    <row r="457" spans="1:10" s="1" customFormat="1" ht="15.9" customHeight="1">
      <c r="A457" s="109"/>
      <c r="B457" s="33"/>
      <c r="C457" s="161"/>
      <c r="D457" s="161"/>
      <c r="E457" s="109"/>
      <c r="F457" s="161"/>
      <c r="G457" s="109"/>
      <c r="H457" s="109"/>
      <c r="I457" s="24"/>
      <c r="J457" s="24"/>
    </row>
    <row r="458" spans="1:10" s="1" customFormat="1" ht="15.9" customHeight="1">
      <c r="A458" s="109"/>
      <c r="B458" s="33"/>
      <c r="C458" s="33"/>
      <c r="D458" s="161"/>
      <c r="E458" s="109"/>
      <c r="F458" s="109"/>
      <c r="G458" s="109"/>
      <c r="H458" s="109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7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" customHeight="1">
      <c r="A476" s="109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23" customFormat="1" ht="15.9" customHeight="1">
      <c r="A477" s="109"/>
      <c r="B477" s="33"/>
      <c r="C477" s="33"/>
      <c r="D477" s="161"/>
      <c r="E477" s="109"/>
      <c r="F477" s="109"/>
      <c r="G477" s="109"/>
      <c r="H477" s="109"/>
      <c r="I477" s="109"/>
      <c r="J477" s="109"/>
    </row>
    <row r="478" spans="1:10" s="1" customFormat="1" ht="15.9" customHeight="1">
      <c r="A478" s="44"/>
      <c r="B478" s="33"/>
      <c r="C478" s="33"/>
      <c r="D478" s="161"/>
      <c r="E478" s="109"/>
      <c r="F478" s="109"/>
      <c r="G478" s="109"/>
      <c r="H478" s="109"/>
      <c r="I478" s="44"/>
      <c r="J478" s="119"/>
    </row>
    <row r="479" spans="1:10" s="1" customFormat="1" ht="15.9" customHeight="1">
      <c r="A479" s="40"/>
      <c r="B479" s="44"/>
      <c r="C479" s="44"/>
      <c r="D479" s="84"/>
      <c r="E479" s="44"/>
      <c r="F479" s="44"/>
      <c r="G479" s="44"/>
      <c r="H479" s="44"/>
      <c r="I479" s="32"/>
      <c r="J479" s="40"/>
    </row>
    <row r="480" spans="1:10" s="1" customFormat="1" ht="15.9" customHeight="1">
      <c r="A480" s="27"/>
      <c r="B480" s="40"/>
      <c r="C480" s="44"/>
      <c r="D480" s="85"/>
      <c r="E480" s="40"/>
      <c r="F480" s="32"/>
      <c r="G480" s="40"/>
      <c r="H480" s="32"/>
      <c r="I480" s="24"/>
      <c r="J480" s="24"/>
    </row>
    <row r="481" spans="1:10" s="1" customFormat="1" ht="15.9" customHeight="1">
      <c r="A481" s="27"/>
      <c r="B481" s="33"/>
      <c r="C481" s="42"/>
      <c r="D481" s="161"/>
      <c r="E481" s="109"/>
      <c r="F481" s="109"/>
      <c r="G481" s="109"/>
      <c r="H481" s="42"/>
      <c r="I481" s="67"/>
      <c r="J481" s="165"/>
    </row>
    <row r="482" spans="1:10" s="1" customFormat="1" ht="15.9" customHeight="1">
      <c r="A482" s="27"/>
      <c r="B482" s="33"/>
      <c r="C482" s="163"/>
      <c r="D482" s="161"/>
      <c r="E482" s="109"/>
      <c r="F482" s="109"/>
      <c r="G482" s="109"/>
      <c r="H482" s="67"/>
      <c r="I482" s="38"/>
      <c r="J482" s="109"/>
    </row>
    <row r="483" spans="1:10" s="1" customFormat="1" ht="15.9" customHeight="1">
      <c r="A483" s="27"/>
      <c r="B483" s="33"/>
      <c r="C483" s="161"/>
      <c r="D483" s="161"/>
      <c r="E483" s="109"/>
      <c r="F483" s="109"/>
      <c r="G483" s="109"/>
      <c r="H483" s="38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46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161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D495" s="161"/>
      <c r="E495" s="109"/>
      <c r="F495" s="109"/>
      <c r="G495" s="33"/>
      <c r="H495" s="33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42"/>
      <c r="I499" s="67"/>
      <c r="J499" s="165"/>
    </row>
    <row r="500" spans="1:10" s="1" customFormat="1" ht="15.9" customHeight="1">
      <c r="A500" s="27"/>
      <c r="B500" s="33"/>
      <c r="C500" s="47"/>
      <c r="D500" s="161"/>
      <c r="E500" s="109"/>
      <c r="F500" s="109"/>
      <c r="G500" s="109"/>
      <c r="H500" s="67"/>
      <c r="I500" s="38"/>
      <c r="J500" s="109"/>
    </row>
    <row r="501" spans="1:10" s="1" customFormat="1" ht="15.9" customHeight="1">
      <c r="A501" s="27"/>
      <c r="B501" s="33"/>
      <c r="C501" s="46"/>
      <c r="D501" s="161"/>
      <c r="E501" s="109"/>
      <c r="F501" s="109"/>
      <c r="G501" s="109"/>
      <c r="H501" s="38"/>
      <c r="I501" s="24"/>
      <c r="J501" s="24"/>
    </row>
    <row r="502" spans="1:10" s="1" customFormat="1" ht="15.9" customHeight="1">
      <c r="A502" s="27"/>
      <c r="B502" s="33"/>
      <c r="C502" s="161"/>
      <c r="D502" s="161"/>
      <c r="E502" s="109"/>
      <c r="F502" s="109"/>
      <c r="G502" s="109"/>
      <c r="H502" s="42"/>
      <c r="I502" s="67"/>
      <c r="J502" s="165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67"/>
      <c r="I503" s="38"/>
      <c r="J503" s="109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38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109"/>
      <c r="J512" s="24"/>
    </row>
    <row r="513" spans="1:15" s="1" customFormat="1" ht="15.9" customHeight="1">
      <c r="A513" s="27"/>
      <c r="B513" s="33"/>
      <c r="C513" s="33"/>
      <c r="D513" s="161"/>
      <c r="E513" s="109"/>
      <c r="F513" s="109"/>
      <c r="G513" s="109"/>
      <c r="H513" s="109"/>
      <c r="I513" s="109"/>
      <c r="J513" s="24"/>
    </row>
    <row r="514" spans="1:15" s="1" customFormat="1" ht="15.9" customHeight="1">
      <c r="A514" s="44"/>
      <c r="B514" s="33"/>
      <c r="C514" s="33"/>
      <c r="D514" s="161"/>
      <c r="E514" s="109"/>
      <c r="F514" s="109"/>
      <c r="G514" s="109"/>
      <c r="H514" s="67"/>
      <c r="I514" s="44"/>
      <c r="J514" s="119"/>
    </row>
    <row r="515" spans="1:15" s="1" customFormat="1" ht="15.9" customHeight="1">
      <c r="A515" s="44"/>
      <c r="B515" s="44"/>
      <c r="C515" s="44"/>
      <c r="D515" s="84"/>
      <c r="E515" s="44"/>
      <c r="F515" s="44"/>
      <c r="G515" s="44"/>
      <c r="H515" s="44"/>
      <c r="I515" s="44"/>
      <c r="J515" s="119"/>
    </row>
    <row r="516" spans="1:15" s="1" customFormat="1" ht="15.9" customHeight="1">
      <c r="B516" s="44"/>
      <c r="C516" s="44"/>
      <c r="D516" s="84"/>
      <c r="E516" s="44"/>
      <c r="F516" s="44"/>
      <c r="G516" s="44"/>
      <c r="H516" s="44"/>
    </row>
    <row r="517" spans="1:15" s="1" customFormat="1" ht="15.9" customHeight="1" thickBot="1"/>
    <row r="518" spans="1:15" s="1" customFormat="1" ht="24.9" customHeight="1" thickBot="1">
      <c r="A518" s="502" t="s">
        <v>401</v>
      </c>
      <c r="B518" s="503"/>
      <c r="C518" s="503"/>
      <c r="D518" s="503"/>
      <c r="E518" s="503"/>
      <c r="F518" s="503"/>
      <c r="G518" s="503"/>
      <c r="H518" s="503"/>
      <c r="I518" s="503"/>
      <c r="J518" s="504"/>
    </row>
    <row r="519" spans="1:15" s="1" customFormat="1" ht="35.1" customHeight="1" thickBot="1">
      <c r="A519" s="102" t="s">
        <v>2</v>
      </c>
      <c r="B519" s="103" t="s">
        <v>3</v>
      </c>
      <c r="C519" s="103" t="s">
        <v>3</v>
      </c>
      <c r="D519" s="104" t="s">
        <v>35</v>
      </c>
      <c r="E519" s="103" t="s">
        <v>5</v>
      </c>
      <c r="F519" s="339" t="s">
        <v>27</v>
      </c>
      <c r="G519" s="305"/>
      <c r="H519" s="104" t="s">
        <v>27</v>
      </c>
      <c r="I519" s="104" t="s">
        <v>26</v>
      </c>
      <c r="J519" s="115" t="s">
        <v>6</v>
      </c>
      <c r="N519" s="249" t="s">
        <v>3</v>
      </c>
      <c r="O519" s="249" t="s">
        <v>3</v>
      </c>
    </row>
    <row r="520" spans="1:15" s="1" customFormat="1" ht="15.9" customHeight="1">
      <c r="A520" s="123">
        <f>IF(C520="","",1)</f>
        <v>1</v>
      </c>
      <c r="B520" s="121" t="str">
        <f>IF($D$127=5,N520,IF($D$127=6,N521,IF($D$127=8,N522,IF($D$127=10,N523,IF($D$127=12,N524,IF($D$127=14,N525,IF($D$127=18,N526,IF($D$127=20,N527,IF($D$127=22,N528,)))))))))</f>
        <v>กระจก 6 mm (สูง) (กว้าง)</v>
      </c>
      <c r="C520" s="121" t="str">
        <f>IF($D$127=5,O520,IF($D$127=6,O521,IF($D$127=8,O522,IF($D$127=10,O523,IF($D$127=12,O524,IF($D$127=14,O525,IF($D$127=18,O526,IF($D$127=20,O527,IF($D$127=22,O528,)))))))))</f>
        <v>GLASS thk.6 mm (H) (W)</v>
      </c>
      <c r="D520" s="124">
        <f>$J$123-215</f>
        <v>3120</v>
      </c>
      <c r="E520" s="123" t="s">
        <v>11</v>
      </c>
      <c r="F520" s="527" t="s">
        <v>271</v>
      </c>
      <c r="G520" s="528"/>
      <c r="H520" s="123" t="s">
        <v>409</v>
      </c>
      <c r="I520" s="124">
        <f>(($J$126-185-(113.25*6))/7)-13</f>
        <v>538.07142857142856</v>
      </c>
      <c r="J520" s="151">
        <f>$J$120*7</f>
        <v>7</v>
      </c>
      <c r="M520" s="1">
        <f>ROW()</f>
        <v>520</v>
      </c>
      <c r="N520" s="19" t="s">
        <v>194</v>
      </c>
      <c r="O520" s="19" t="s">
        <v>195</v>
      </c>
    </row>
    <row r="521" spans="1:15" s="1" customFormat="1" ht="15.9" customHeight="1">
      <c r="A521" s="346"/>
      <c r="B521" s="295"/>
      <c r="C521" s="295"/>
      <c r="D521" s="296"/>
      <c r="E521" s="238"/>
      <c r="F521" s="251"/>
      <c r="G521" s="297"/>
      <c r="H521" s="238"/>
      <c r="I521" s="298"/>
      <c r="J521" s="299"/>
      <c r="M521" s="1">
        <f>ROW()</f>
        <v>521</v>
      </c>
      <c r="N521" s="19" t="s">
        <v>53</v>
      </c>
      <c r="O521" s="19" t="s">
        <v>54</v>
      </c>
    </row>
    <row r="522" spans="1:15" s="1" customFormat="1" ht="15.9" customHeight="1">
      <c r="A522" s="346"/>
      <c r="B522" s="295"/>
      <c r="C522" s="295"/>
      <c r="D522" s="296"/>
      <c r="E522" s="238"/>
      <c r="F522" s="251"/>
      <c r="G522" s="297"/>
      <c r="H522" s="238"/>
      <c r="I522" s="298"/>
      <c r="J522" s="299"/>
      <c r="M522" s="1">
        <f>ROW()</f>
        <v>522</v>
      </c>
      <c r="N522" s="19" t="s">
        <v>257</v>
      </c>
      <c r="O522" s="19" t="s">
        <v>258</v>
      </c>
    </row>
    <row r="523" spans="1:15" s="1" customFormat="1" ht="15.9" customHeight="1">
      <c r="A523" s="129" t="str">
        <f>IF(B523="","",+#REF!+1)</f>
        <v/>
      </c>
      <c r="B523" s="127"/>
      <c r="C523" s="127"/>
      <c r="D523" s="128"/>
      <c r="E523" s="129"/>
      <c r="F523" s="155"/>
      <c r="G523" s="157"/>
      <c r="H523" s="129"/>
      <c r="I523" s="144"/>
      <c r="J523" s="130"/>
      <c r="M523" s="1">
        <f>ROW()</f>
        <v>523</v>
      </c>
      <c r="N523" s="19" t="s">
        <v>259</v>
      </c>
      <c r="O523" s="19" t="s">
        <v>265</v>
      </c>
    </row>
    <row r="524" spans="1:15" s="1" customFormat="1" ht="15.9" customHeight="1">
      <c r="A524" s="135" t="str">
        <f>IF(B524="","",+A523+1)</f>
        <v/>
      </c>
      <c r="B524" s="133"/>
      <c r="C524" s="133"/>
      <c r="D524" s="134"/>
      <c r="E524" s="135"/>
      <c r="F524" s="158"/>
      <c r="G524" s="159"/>
      <c r="H524" s="135"/>
      <c r="I524" s="145"/>
      <c r="J524" s="136"/>
      <c r="M524" s="1">
        <f>ROW()</f>
        <v>524</v>
      </c>
      <c r="N524" s="19" t="s">
        <v>260</v>
      </c>
      <c r="O524" s="19" t="s">
        <v>266</v>
      </c>
    </row>
    <row r="525" spans="1:15" s="1" customFormat="1" ht="15.9" customHeight="1">
      <c r="A525" s="17"/>
      <c r="B525" s="56"/>
      <c r="C525" s="56"/>
      <c r="D525" s="30"/>
      <c r="E525" s="17"/>
      <c r="F525" s="17"/>
      <c r="G525" s="17"/>
      <c r="H525" s="109"/>
      <c r="I525" s="109"/>
      <c r="J525" s="24"/>
      <c r="M525" s="1">
        <f>ROW()</f>
        <v>525</v>
      </c>
      <c r="N525" s="19" t="s">
        <v>261</v>
      </c>
      <c r="O525" s="19" t="s">
        <v>267</v>
      </c>
    </row>
    <row r="526" spans="1:15">
      <c r="H526" s="294"/>
      <c r="I526" s="294"/>
      <c r="J526" s="99" t="str">
        <f>LEFT($J$111,13)&amp;"-05"</f>
        <v>FG-240-7P4L3R-05</v>
      </c>
      <c r="M526" s="1">
        <f>ROW()</f>
        <v>526</v>
      </c>
      <c r="N526" s="19" t="s">
        <v>262</v>
      </c>
      <c r="O526" s="19" t="s">
        <v>268</v>
      </c>
    </row>
    <row r="527" spans="1:15">
      <c r="M527" s="1">
        <f>ROW()</f>
        <v>527</v>
      </c>
      <c r="N527" s="19" t="s">
        <v>263</v>
      </c>
      <c r="O527" s="19" t="s">
        <v>269</v>
      </c>
    </row>
    <row r="528" spans="1:15">
      <c r="M528" s="1">
        <f>ROW()</f>
        <v>528</v>
      </c>
      <c r="N528" s="19" t="s">
        <v>264</v>
      </c>
      <c r="O528" s="19" t="s">
        <v>270</v>
      </c>
    </row>
  </sheetData>
  <sheetProtection selectLockedCells="1" selectUnlockedCells="1"/>
  <dataConsolidate function="product">
    <dataRefs count="1">
      <dataRef ref="O154:O162" sheet="240_2Panel(L)" r:id="rId1"/>
    </dataRefs>
  </dataConsolidate>
  <mergeCells count="46">
    <mergeCell ref="A6:J6"/>
    <mergeCell ref="H120:I121"/>
    <mergeCell ref="J120:J121"/>
    <mergeCell ref="A117:J117"/>
    <mergeCell ref="D119:G119"/>
    <mergeCell ref="D121:G121"/>
    <mergeCell ref="D129:G129"/>
    <mergeCell ref="H123:I124"/>
    <mergeCell ref="J123:J124"/>
    <mergeCell ref="I161:J161"/>
    <mergeCell ref="D161:D162"/>
    <mergeCell ref="A131:J131"/>
    <mergeCell ref="I154:J154"/>
    <mergeCell ref="I155:J155"/>
    <mergeCell ref="I156:J156"/>
    <mergeCell ref="A125:B125"/>
    <mergeCell ref="H126:I127"/>
    <mergeCell ref="J126:J127"/>
    <mergeCell ref="D127:G127"/>
    <mergeCell ref="D123:G123"/>
    <mergeCell ref="D125:G125"/>
    <mergeCell ref="I157:J157"/>
    <mergeCell ref="I158:J158"/>
    <mergeCell ref="D159:D160"/>
    <mergeCell ref="H159:H160"/>
    <mergeCell ref="I159:J160"/>
    <mergeCell ref="F520:G520"/>
    <mergeCell ref="A518:J518"/>
    <mergeCell ref="A427:J427"/>
    <mergeCell ref="A320:J320"/>
    <mergeCell ref="A213:J213"/>
    <mergeCell ref="C310:E310"/>
    <mergeCell ref="A173:J173"/>
    <mergeCell ref="F334:G334"/>
    <mergeCell ref="F330:G330"/>
    <mergeCell ref="F331:G331"/>
    <mergeCell ref="I162:J165"/>
    <mergeCell ref="I166:J167"/>
    <mergeCell ref="H161:H162"/>
    <mergeCell ref="I168:J168"/>
    <mergeCell ref="D171:D172"/>
    <mergeCell ref="H169:H170"/>
    <mergeCell ref="H171:H172"/>
    <mergeCell ref="D169:D170"/>
    <mergeCell ref="D163:D168"/>
    <mergeCell ref="H163:H168"/>
  </mergeCells>
  <dataValidations count="4">
    <dataValidation type="list" allowBlank="1" showInputMessage="1" showErrorMessage="1" sqref="C206">
      <formula1>$O$175:$O$193</formula1>
    </dataValidation>
    <dataValidation type="list" allowBlank="1" showInputMessage="1" showErrorMessage="1" sqref="D123:G123">
      <formula1>$P$118:$P$127</formula1>
    </dataValidation>
    <dataValidation type="list" allowBlank="1" showInputMessage="1" showErrorMessage="1" sqref="D127:G127">
      <formula1>$N$119:$N$127</formula1>
    </dataValidation>
    <dataValidation type="list" allowBlank="1" showInputMessage="1" showErrorMessage="1" sqref="D129:G129">
      <formula1>$O$119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16383" man="1"/>
    <brk id="421" max="9" man="1"/>
  </rowBreaks>
  <drawing r:id="rId3"/>
  <legacyDrawing r:id="rId4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6">
    <tabColor theme="5" tint="-0.249977111117893"/>
  </sheetPr>
  <dimension ref="A1:Y529"/>
  <sheetViews>
    <sheetView showGridLines="0" view="pageBreakPreview" topLeftCell="A127" zoomScale="75" zoomScaleNormal="75" zoomScaleSheetLayoutView="75" workbookViewId="0">
      <selection activeCell="I135" sqref="I135"/>
    </sheetView>
  </sheetViews>
  <sheetFormatPr defaultRowHeight="14.4" outlineLevelRow="1" outlineLevelCol="1"/>
  <cols>
    <col min="1" max="1" width="7" customWidth="1"/>
    <col min="2" max="2" width="40.6640625" customWidth="1"/>
    <col min="3" max="3" width="61.10937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6.6640625" customWidth="1"/>
    <col min="9" max="9" width="11.109375" bestFit="1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0.4414062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31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31"/>
      <c r="E3" s="231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186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/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>
      <c r="G55" s="10"/>
    </row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348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31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31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8">
      <c r="A118" s="12"/>
      <c r="C118" s="8"/>
      <c r="D118" s="15"/>
      <c r="E118" s="13"/>
      <c r="J118" s="230"/>
      <c r="K118" s="11"/>
      <c r="L118" s="56"/>
      <c r="M118" s="56"/>
      <c r="N118" s="243" t="s">
        <v>191</v>
      </c>
      <c r="O118" s="12" t="s">
        <v>227</v>
      </c>
      <c r="P118" s="247" t="s">
        <v>16</v>
      </c>
    </row>
    <row r="119" spans="1:16" s="1" customFormat="1" ht="15" customHeight="1">
      <c r="A119" s="12"/>
      <c r="C119" s="110" t="s">
        <v>635</v>
      </c>
      <c r="D119" s="524"/>
      <c r="E119" s="525"/>
      <c r="F119" s="525"/>
      <c r="G119" s="526"/>
      <c r="I119" s="16"/>
      <c r="J119" s="12"/>
      <c r="N119" s="244">
        <v>5</v>
      </c>
      <c r="O119" s="12" t="s">
        <v>243</v>
      </c>
      <c r="P119" s="335" t="s">
        <v>389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5">
        <v>6</v>
      </c>
      <c r="O120" s="12" t="s">
        <v>244</v>
      </c>
      <c r="P120" s="336" t="s">
        <v>390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8</v>
      </c>
      <c r="P121" s="336" t="s">
        <v>391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10</v>
      </c>
      <c r="P122" s="336" t="s">
        <v>392</v>
      </c>
    </row>
    <row r="123" spans="1:16" s="1" customFormat="1" ht="15" customHeight="1">
      <c r="A123" s="12"/>
      <c r="C123" s="110" t="s">
        <v>629</v>
      </c>
      <c r="D123" s="524" t="s">
        <v>243</v>
      </c>
      <c r="E123" s="525"/>
      <c r="F123" s="525"/>
      <c r="G123" s="526"/>
      <c r="H123" s="519" t="s">
        <v>638</v>
      </c>
      <c r="I123" s="520"/>
      <c r="J123" s="517">
        <v>2500</v>
      </c>
      <c r="N123" s="245">
        <v>12</v>
      </c>
      <c r="P123" s="335" t="s">
        <v>393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14</v>
      </c>
      <c r="P124" s="335" t="s">
        <v>394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228"/>
      <c r="L125" s="77"/>
      <c r="N125" s="245">
        <v>18</v>
      </c>
      <c r="P125" s="335" t="s">
        <v>395</v>
      </c>
    </row>
    <row r="126" spans="1:16" s="1" customFormat="1" ht="15" customHeight="1">
      <c r="A126" s="230"/>
      <c r="B126" s="230"/>
      <c r="C126" s="423" t="s">
        <v>631</v>
      </c>
      <c r="D126" s="15"/>
      <c r="H126" s="519" t="s">
        <v>639</v>
      </c>
      <c r="I126" s="520"/>
      <c r="J126" s="517">
        <v>4450</v>
      </c>
      <c r="K126" s="228"/>
      <c r="L126" s="77"/>
      <c r="N126" s="245">
        <v>20</v>
      </c>
      <c r="P126" s="335" t="s">
        <v>396</v>
      </c>
    </row>
    <row r="127" spans="1:16" s="1" customFormat="1" ht="15" customHeight="1">
      <c r="A127" s="230"/>
      <c r="B127" s="230"/>
      <c r="C127" s="110" t="s">
        <v>633</v>
      </c>
      <c r="D127" s="534">
        <v>5</v>
      </c>
      <c r="E127" s="535"/>
      <c r="F127" s="535"/>
      <c r="G127" s="536"/>
      <c r="H127" s="520"/>
      <c r="I127" s="520"/>
      <c r="J127" s="518"/>
      <c r="N127" s="245">
        <v>22</v>
      </c>
      <c r="P127" s="335" t="s">
        <v>397</v>
      </c>
    </row>
    <row r="128" spans="1:16" s="1" customFormat="1" ht="18.75" customHeight="1">
      <c r="C128" s="423" t="s">
        <v>632</v>
      </c>
      <c r="I128" s="12"/>
      <c r="J128" s="12"/>
    </row>
    <row r="129" spans="1:23" s="1" customFormat="1" ht="15" customHeight="1">
      <c r="A129" s="88" t="str">
        <f>A18</f>
        <v>240-7 Panel (5L2R)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4390</v>
      </c>
      <c r="J133" s="125">
        <f t="shared" ref="J133:J153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14</v>
      </c>
      <c r="U133" s="283" t="s">
        <v>300</v>
      </c>
      <c r="V133" s="285">
        <f>($J$126-185-(113.25*6))/7</f>
        <v>512.21428571428567</v>
      </c>
      <c r="W133" s="286">
        <f>$J$120*T133</f>
        <v>14</v>
      </c>
    </row>
    <row r="134" spans="1:23" s="1" customFormat="1" ht="18" customHeight="1">
      <c r="A134" s="143">
        <f t="shared" ref="A134:A152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4364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14</v>
      </c>
      <c r="U134" s="129" t="s">
        <v>300</v>
      </c>
      <c r="V134" s="144">
        <f>($J$126-185-(113.25*6))/7</f>
        <v>512.21428571428567</v>
      </c>
      <c r="W134" s="131">
        <f t="shared" ref="W134:W135" si="2">$J$120*T134</f>
        <v>14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4390</v>
      </c>
      <c r="J135" s="131">
        <f t="shared" ref="J135:J139" si="3">$J$120*G135</f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14</v>
      </c>
      <c r="U135" s="135" t="s">
        <v>300</v>
      </c>
      <c r="V135" s="145">
        <f>($J$126-185-(113.25*6))/7</f>
        <v>512.21428571428567</v>
      </c>
      <c r="W135" s="293">
        <f t="shared" si="2"/>
        <v>14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4390</v>
      </c>
      <c r="J136" s="131">
        <f t="shared" si="3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14</v>
      </c>
      <c r="U136" s="283" t="s">
        <v>64</v>
      </c>
      <c r="V136" s="288">
        <f>$J$123-242</f>
        <v>2258</v>
      </c>
      <c r="W136" s="286">
        <f>$J$120*T136</f>
        <v>14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2500</v>
      </c>
      <c r="J137" s="131">
        <f t="shared" si="3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14</v>
      </c>
      <c r="U137" s="129" t="s">
        <v>64</v>
      </c>
      <c r="V137" s="130">
        <f>$J$123-242</f>
        <v>2258</v>
      </c>
      <c r="W137" s="131">
        <f t="shared" ref="W137:W138" si="4">$J$120*T137</f>
        <v>14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2500</v>
      </c>
      <c r="J138" s="131">
        <f t="shared" si="3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14</v>
      </c>
      <c r="U138" s="135" t="s">
        <v>64</v>
      </c>
      <c r="V138" s="136">
        <f>$J$123-242</f>
        <v>2258</v>
      </c>
      <c r="W138" s="293">
        <f t="shared" si="4"/>
        <v>14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2404</v>
      </c>
      <c r="J139" s="131">
        <f t="shared" si="3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2404</v>
      </c>
      <c r="J140" s="131">
        <f t="shared" ref="J140" si="5">$J$120*G140</f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7</v>
      </c>
      <c r="H141" s="143" t="s">
        <v>300</v>
      </c>
      <c r="I141" s="178">
        <f>($J$126-185-(113.25*6))/7</f>
        <v>512.21428571428567</v>
      </c>
      <c r="J141" s="131">
        <f t="shared" ref="J141:J150" si="6">$J$120*G141</f>
        <v>7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7</v>
      </c>
      <c r="H142" s="143" t="s">
        <v>300</v>
      </c>
      <c r="I142" s="178">
        <f>($J$126-185-(113.25*6))/7</f>
        <v>512.21428571428567</v>
      </c>
      <c r="J142" s="131">
        <f t="shared" si="6"/>
        <v>7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10</v>
      </c>
      <c r="H143" s="143" t="s">
        <v>63</v>
      </c>
      <c r="I143" s="130">
        <f>$J$123-92</f>
        <v>2408</v>
      </c>
      <c r="J143" s="131">
        <f t="shared" si="6"/>
        <v>10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2</v>
      </c>
      <c r="H144" s="143" t="s">
        <v>63</v>
      </c>
      <c r="I144" s="130">
        <f t="shared" ref="I144:I146" si="7">$J$123-92</f>
        <v>2408</v>
      </c>
      <c r="J144" s="131">
        <f t="shared" si="6"/>
        <v>2</v>
      </c>
      <c r="N144" s="98"/>
    </row>
    <row r="145" spans="1:14" s="1" customFormat="1" ht="18" customHeight="1">
      <c r="A145" s="143">
        <f t="shared" si="1"/>
        <v>13</v>
      </c>
      <c r="B145" s="140" t="s">
        <v>8</v>
      </c>
      <c r="C145" s="140" t="s">
        <v>58</v>
      </c>
      <c r="D145" s="139" t="s">
        <v>50</v>
      </c>
      <c r="E145" s="143">
        <v>1.1060000000000001</v>
      </c>
      <c r="F145" s="139" t="s">
        <v>496</v>
      </c>
      <c r="G145" s="143">
        <v>1</v>
      </c>
      <c r="H145" s="143" t="s">
        <v>63</v>
      </c>
      <c r="I145" s="130">
        <f t="shared" si="7"/>
        <v>2408</v>
      </c>
      <c r="J145" s="131">
        <f t="shared" si="6"/>
        <v>1</v>
      </c>
      <c r="N145" s="98"/>
    </row>
    <row r="146" spans="1:14" s="1" customFormat="1" ht="18" customHeight="1">
      <c r="A146" s="143">
        <f t="shared" si="1"/>
        <v>14</v>
      </c>
      <c r="B146" s="140" t="s">
        <v>116</v>
      </c>
      <c r="C146" s="140" t="s">
        <v>99</v>
      </c>
      <c r="D146" s="139" t="s">
        <v>50</v>
      </c>
      <c r="E146" s="143">
        <v>1.1060000000000001</v>
      </c>
      <c r="F146" s="139" t="s">
        <v>506</v>
      </c>
      <c r="G146" s="143">
        <v>1</v>
      </c>
      <c r="H146" s="143" t="s">
        <v>63</v>
      </c>
      <c r="I146" s="130">
        <f t="shared" si="7"/>
        <v>2408</v>
      </c>
      <c r="J146" s="131">
        <f t="shared" si="6"/>
        <v>1</v>
      </c>
      <c r="N146" s="98"/>
    </row>
    <row r="147" spans="1:14" s="1" customFormat="1" ht="18" customHeight="1">
      <c r="A147" s="143">
        <f t="shared" si="1"/>
        <v>15</v>
      </c>
      <c r="B147" s="140" t="str">
        <f t="shared" ref="B147:I147" si="8">IF($D$127=5,O133,IF($D$127=6,O133,IF($D$127=8,O134,IF($D$127=10,O134,IF($D$127=12,O134,IF($D$127=14,O135,IF($D$127=18,O135,IF($D$127=20,O135,IF($D$127=22,O135,)))))))))</f>
        <v>5-6mm คิ้วตบกระจกแนวนอน</v>
      </c>
      <c r="C147" s="140" t="str">
        <f t="shared" si="8"/>
        <v>5-6mm GLAZING BEAD HORIZONTAL</v>
      </c>
      <c r="D147" s="140" t="str">
        <f t="shared" si="8"/>
        <v>B24008</v>
      </c>
      <c r="E147" s="140">
        <f t="shared" si="8"/>
        <v>0.23100000000000001</v>
      </c>
      <c r="F147" s="140" t="str">
        <f t="shared" si="8"/>
        <v>B24008-001</v>
      </c>
      <c r="G147" s="143">
        <f t="shared" si="8"/>
        <v>14</v>
      </c>
      <c r="H147" s="129" t="str">
        <f t="shared" si="8"/>
        <v>(W-185-(113.25 × 6))/7</v>
      </c>
      <c r="I147" s="178">
        <f t="shared" si="8"/>
        <v>512.21428571428567</v>
      </c>
      <c r="J147" s="131">
        <f t="shared" si="6"/>
        <v>14</v>
      </c>
      <c r="N147" s="98"/>
    </row>
    <row r="148" spans="1:14" s="1" customFormat="1" ht="18" customHeight="1">
      <c r="A148" s="143">
        <f t="shared" si="1"/>
        <v>16</v>
      </c>
      <c r="B148" s="140" t="str">
        <f t="shared" ref="B148:I148" si="9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40" t="str">
        <f t="shared" si="9"/>
        <v>5-6mm GLAZING BEAD VERTICAL</v>
      </c>
      <c r="D148" s="140" t="str">
        <f t="shared" si="9"/>
        <v>B24008</v>
      </c>
      <c r="E148" s="140">
        <f t="shared" si="9"/>
        <v>0.23100000000000001</v>
      </c>
      <c r="F148" s="140" t="str">
        <f t="shared" si="9"/>
        <v>B24008-002</v>
      </c>
      <c r="G148" s="143">
        <f t="shared" si="9"/>
        <v>14</v>
      </c>
      <c r="H148" s="129" t="str">
        <f t="shared" si="9"/>
        <v>H-242</v>
      </c>
      <c r="I148" s="144">
        <f t="shared" si="9"/>
        <v>2258</v>
      </c>
      <c r="J148" s="131">
        <f t="shared" si="6"/>
        <v>14</v>
      </c>
      <c r="N148" s="98"/>
    </row>
    <row r="149" spans="1:14" s="1" customFormat="1" ht="18" customHeight="1">
      <c r="A149" s="143">
        <f t="shared" si="1"/>
        <v>17</v>
      </c>
      <c r="B149" s="140" t="s">
        <v>125</v>
      </c>
      <c r="C149" s="140" t="s">
        <v>124</v>
      </c>
      <c r="D149" s="139" t="s">
        <v>123</v>
      </c>
      <c r="E149" s="143"/>
      <c r="F149" s="139" t="s">
        <v>362</v>
      </c>
      <c r="G149" s="143">
        <v>1</v>
      </c>
      <c r="H149" s="143" t="s">
        <v>63</v>
      </c>
      <c r="I149" s="130">
        <f>$J$123-92</f>
        <v>2408</v>
      </c>
      <c r="J149" s="131">
        <f t="shared" si="6"/>
        <v>1</v>
      </c>
      <c r="N149" s="98"/>
    </row>
    <row r="150" spans="1:14" s="1" customFormat="1" ht="18" customHeight="1">
      <c r="A150" s="143">
        <f t="shared" si="1"/>
        <v>18</v>
      </c>
      <c r="B150" s="140" t="s">
        <v>125</v>
      </c>
      <c r="C150" s="140" t="s">
        <v>124</v>
      </c>
      <c r="D150" s="139" t="s">
        <v>123</v>
      </c>
      <c r="E150" s="143"/>
      <c r="F150" s="139" t="s">
        <v>363</v>
      </c>
      <c r="G150" s="143">
        <v>1</v>
      </c>
      <c r="H150" s="143" t="s">
        <v>63</v>
      </c>
      <c r="I150" s="130">
        <f>$J$123-92</f>
        <v>2408</v>
      </c>
      <c r="J150" s="131">
        <f t="shared" si="6"/>
        <v>1</v>
      </c>
      <c r="N150" s="98"/>
    </row>
    <row r="151" spans="1:14" s="1" customFormat="1" ht="18" customHeight="1">
      <c r="A151" s="143" t="str">
        <f t="shared" si="1"/>
        <v/>
      </c>
      <c r="B151" s="140"/>
      <c r="C151" s="140"/>
      <c r="D151" s="139"/>
      <c r="E151" s="143"/>
      <c r="F151" s="139"/>
      <c r="G151" s="143"/>
      <c r="H151" s="143"/>
      <c r="I151" s="144"/>
      <c r="J151" s="131">
        <f t="shared" si="0"/>
        <v>0</v>
      </c>
      <c r="N151" s="98"/>
    </row>
    <row r="152" spans="1:14" s="1" customFormat="1" ht="18" customHeight="1">
      <c r="A152" s="143" t="str">
        <f t="shared" si="1"/>
        <v/>
      </c>
      <c r="B152" s="140"/>
      <c r="C152" s="140"/>
      <c r="D152" s="139"/>
      <c r="E152" s="143"/>
      <c r="F152" s="139"/>
      <c r="G152" s="143"/>
      <c r="H152" s="143"/>
      <c r="I152" s="144"/>
      <c r="J152" s="131">
        <f t="shared" ref="J152" si="10">$J$120*G152</f>
        <v>0</v>
      </c>
      <c r="N152" s="98"/>
    </row>
    <row r="153" spans="1:14" s="1" customFormat="1" ht="18" customHeight="1" thickBot="1">
      <c r="A153" s="143" t="str">
        <f>IF(B153="","",+A151+1)</f>
        <v/>
      </c>
      <c r="B153" s="167"/>
      <c r="C153" s="167"/>
      <c r="D153" s="168"/>
      <c r="E153" s="166"/>
      <c r="F153" s="168"/>
      <c r="G153" s="166"/>
      <c r="H153" s="166"/>
      <c r="I153" s="171"/>
      <c r="J153" s="172">
        <f t="shared" si="0"/>
        <v>0</v>
      </c>
    </row>
    <row r="154" spans="1:14" s="1" customFormat="1" ht="27" outlineLevel="1" thickBot="1">
      <c r="A154" s="169" t="s">
        <v>2</v>
      </c>
      <c r="B154" s="169" t="s">
        <v>29</v>
      </c>
      <c r="C154" s="169" t="s">
        <v>3</v>
      </c>
      <c r="D154" s="169" t="s">
        <v>4</v>
      </c>
      <c r="E154" s="169" t="s">
        <v>5</v>
      </c>
      <c r="F154" s="177" t="s">
        <v>85</v>
      </c>
      <c r="G154" s="169" t="s">
        <v>22</v>
      </c>
      <c r="H154" s="170" t="s">
        <v>23</v>
      </c>
      <c r="I154" s="540"/>
      <c r="J154" s="541"/>
    </row>
    <row r="155" spans="1:14" s="1" customFormat="1" ht="15" customHeight="1" outlineLevel="1">
      <c r="A155" s="21">
        <f>IF(B155="","",1)</f>
        <v>1</v>
      </c>
      <c r="B155" s="173" t="str">
        <f t="shared" ref="B155:C161" si="11">B133</f>
        <v>เฟรมบน</v>
      </c>
      <c r="C155" s="173" t="str">
        <f t="shared" si="11"/>
        <v>HEAD</v>
      </c>
      <c r="D155" s="174" t="str">
        <f>VLOOKUP(C155,$C$133:$H$153,2,0)</f>
        <v>B24001</v>
      </c>
      <c r="E155" s="175">
        <f t="shared" ref="E155:E161" si="12">VLOOKUP(C155,$C$133:$H$153,3,0)</f>
        <v>1.603</v>
      </c>
      <c r="F155" s="353">
        <f>VLOOKUP(C155,$C$133:$J$153,7,0)</f>
        <v>4390</v>
      </c>
      <c r="G155" s="175">
        <f t="shared" ref="G155:G161" si="13">VLOOKUP(C155,$C$133:$J$153,8,0)</f>
        <v>1</v>
      </c>
      <c r="H155" s="191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ref="A156" si="14">IF(B156="","",+A155+1)</f>
        <v>2</v>
      </c>
      <c r="B156" s="173" t="str">
        <f t="shared" si="11"/>
        <v>บังใบบน</v>
      </c>
      <c r="C156" s="173" t="str">
        <f t="shared" si="11"/>
        <v>DOOR STOP HEAD</v>
      </c>
      <c r="D156" s="174" t="str">
        <f>VLOOKUP(C156,$C$133:$H$153,2,0)</f>
        <v>B24002</v>
      </c>
      <c r="E156" s="175">
        <f t="shared" si="12"/>
        <v>0.27800000000000002</v>
      </c>
      <c r="F156" s="353">
        <f t="shared" ref="F156:F161" si="15">VLOOKUP(C156,$C$133:$I$153,7,0)</f>
        <v>4364</v>
      </c>
      <c r="G156" s="175">
        <f t="shared" si="13"/>
        <v>1</v>
      </c>
      <c r="H156" s="389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ref="A157:A161" si="16">IF(B157="","",+A156+1)</f>
        <v>3</v>
      </c>
      <c r="B157" s="173" t="str">
        <f t="shared" si="11"/>
        <v xml:space="preserve">เฟรมล่าง </v>
      </c>
      <c r="C157" s="173" t="str">
        <f t="shared" si="11"/>
        <v>SILL</v>
      </c>
      <c r="D157" s="174" t="str">
        <f>VLOOKUP(C157,$C$133:$H$153,2,0)</f>
        <v>B24003</v>
      </c>
      <c r="E157" s="175">
        <f t="shared" si="12"/>
        <v>1.603</v>
      </c>
      <c r="F157" s="353">
        <f t="shared" si="15"/>
        <v>4390</v>
      </c>
      <c r="G157" s="175">
        <f t="shared" si="13"/>
        <v>1</v>
      </c>
      <c r="H157" s="192">
        <f t="shared" ref="H157:H158" si="17">ROUNDUP((F157*G157)/6400,0)</f>
        <v>1</v>
      </c>
      <c r="I157" s="501"/>
      <c r="J157" s="501"/>
    </row>
    <row r="158" spans="1:14" s="1" customFormat="1" ht="15" customHeight="1" outlineLevel="1">
      <c r="A158" s="18">
        <f t="shared" si="16"/>
        <v>4</v>
      </c>
      <c r="B158" s="173" t="str">
        <f t="shared" si="11"/>
        <v>ตัวตับธรณี</v>
      </c>
      <c r="C158" s="173" t="str">
        <f t="shared" si="11"/>
        <v>DOOR STOP SILL</v>
      </c>
      <c r="D158" s="174" t="str">
        <f>VLOOKUP(C158,$C$133:$H$153,2,0)</f>
        <v>B24004</v>
      </c>
      <c r="E158" s="175">
        <f t="shared" si="12"/>
        <v>0.51600000000000001</v>
      </c>
      <c r="F158" s="353">
        <f t="shared" si="15"/>
        <v>4390</v>
      </c>
      <c r="G158" s="175">
        <f t="shared" si="13"/>
        <v>1</v>
      </c>
      <c r="H158" s="192">
        <f t="shared" si="17"/>
        <v>1</v>
      </c>
      <c r="I158" s="501"/>
      <c r="J158" s="501"/>
    </row>
    <row r="159" spans="1:14" s="1" customFormat="1" ht="15" customHeight="1" outlineLevel="1">
      <c r="A159" s="18">
        <f t="shared" si="16"/>
        <v>5</v>
      </c>
      <c r="B159" s="173" t="str">
        <f t="shared" si="11"/>
        <v>เฟรมข้าง (ซ้าย)</v>
      </c>
      <c r="C159" s="173" t="str">
        <f t="shared" si="11"/>
        <v>JAMB (L)</v>
      </c>
      <c r="D159" s="508" t="str">
        <f>VLOOKUP(C159,$C$133:$H$153,2,0)</f>
        <v>B24005</v>
      </c>
      <c r="E159" s="175">
        <f t="shared" si="12"/>
        <v>0.89300000000000002</v>
      </c>
      <c r="F159" s="353">
        <f t="shared" si="15"/>
        <v>2500</v>
      </c>
      <c r="G159" s="175">
        <f t="shared" si="13"/>
        <v>1</v>
      </c>
      <c r="H159" s="516">
        <f>ROUNDUP(((F159*G159)+(F160*G160))/6400,0)</f>
        <v>1</v>
      </c>
      <c r="I159" s="506"/>
      <c r="J159" s="506"/>
    </row>
    <row r="160" spans="1:14" s="1" customFormat="1" ht="15" customHeight="1" outlineLevel="1">
      <c r="A160" s="18">
        <f t="shared" si="16"/>
        <v>6</v>
      </c>
      <c r="B160" s="173" t="str">
        <f t="shared" si="11"/>
        <v>เฟรมข้าง (ขวา)</v>
      </c>
      <c r="C160" s="173" t="str">
        <f t="shared" si="11"/>
        <v>JAMB (R)</v>
      </c>
      <c r="D160" s="509"/>
      <c r="E160" s="175">
        <f t="shared" si="12"/>
        <v>0.89300000000000002</v>
      </c>
      <c r="F160" s="353">
        <f t="shared" si="15"/>
        <v>2500</v>
      </c>
      <c r="G160" s="175">
        <f t="shared" si="13"/>
        <v>1</v>
      </c>
      <c r="H160" s="516"/>
      <c r="I160" s="506"/>
      <c r="J160" s="506"/>
    </row>
    <row r="161" spans="1:23" s="1" customFormat="1" ht="15" customHeight="1" outlineLevel="1">
      <c r="A161" s="18">
        <f t="shared" si="16"/>
        <v>7</v>
      </c>
      <c r="B161" s="173" t="str">
        <f t="shared" si="11"/>
        <v>บังใบข้าง (ซ้าย)</v>
      </c>
      <c r="C161" s="173" t="str">
        <f t="shared" si="11"/>
        <v>DOOR STOP JAMB (L)</v>
      </c>
      <c r="D161" s="570" t="str">
        <f>VLOOKUP(C161,$C$133:$H$153,2,0)</f>
        <v>B24006</v>
      </c>
      <c r="E161" s="175">
        <f t="shared" si="12"/>
        <v>0.23499999999999999</v>
      </c>
      <c r="F161" s="353">
        <f t="shared" si="15"/>
        <v>2404</v>
      </c>
      <c r="G161" s="175">
        <f t="shared" si="13"/>
        <v>1</v>
      </c>
      <c r="H161" s="516">
        <f>ROUNDUP(((F161*G161)+(F162*G162))/6400,0)</f>
        <v>1</v>
      </c>
      <c r="I161" s="501"/>
      <c r="J161" s="501"/>
    </row>
    <row r="162" spans="1:23" s="1" customFormat="1" ht="15" customHeight="1" outlineLevel="1">
      <c r="A162" s="18">
        <f t="shared" ref="A162:A172" si="18">IF(B162="","",+A161+1)</f>
        <v>8</v>
      </c>
      <c r="B162" s="173" t="str">
        <f t="shared" ref="B162:C162" si="19">B140</f>
        <v>บังใบข้าง (ขวา)</v>
      </c>
      <c r="C162" s="173" t="str">
        <f t="shared" si="19"/>
        <v>DOOR STOP JAMB (R)</v>
      </c>
      <c r="D162" s="577"/>
      <c r="E162" s="175">
        <f t="shared" ref="E162:E172" si="20">VLOOKUP(C162,$C$133:$H$153,3,0)</f>
        <v>0.23499999999999999</v>
      </c>
      <c r="F162" s="353">
        <f t="shared" ref="F162:F172" si="21">VLOOKUP(C162,$C$133:$I$153,7,0)</f>
        <v>2404</v>
      </c>
      <c r="G162" s="175">
        <f t="shared" ref="G162:G172" si="22">VLOOKUP(C162,$C$133:$J$153,8,0)</f>
        <v>1</v>
      </c>
      <c r="H162" s="516"/>
      <c r="I162" s="506"/>
      <c r="J162" s="506"/>
    </row>
    <row r="163" spans="1:23" s="1" customFormat="1" ht="13.8" outlineLevel="1">
      <c r="A163" s="18">
        <f t="shared" si="18"/>
        <v>9</v>
      </c>
      <c r="B163" s="173" t="str">
        <f t="shared" ref="B163:C163" si="23">B141</f>
        <v>ขวางบน</v>
      </c>
      <c r="C163" s="173" t="str">
        <f t="shared" si="23"/>
        <v>SASH (Hor) (T)</v>
      </c>
      <c r="D163" s="570" t="str">
        <f t="shared" ref="D163:D171" si="24">VLOOKUP(C163,$C$133:$H$153,2,0)</f>
        <v>B24007</v>
      </c>
      <c r="E163" s="175">
        <f t="shared" si="20"/>
        <v>1.1060000000000001</v>
      </c>
      <c r="F163" s="353">
        <f t="shared" si="21"/>
        <v>512.21428571428567</v>
      </c>
      <c r="G163" s="175">
        <f t="shared" si="22"/>
        <v>7</v>
      </c>
      <c r="H163" s="512">
        <f>ROUNDUP(((F163*G163)+(F164*G164)+(F165*G165)+(F166*G166)+(F167*G167)+(F168*G168))/6400,0)</f>
        <v>7</v>
      </c>
      <c r="I163" s="506"/>
      <c r="J163" s="506"/>
    </row>
    <row r="164" spans="1:23" s="1" customFormat="1" ht="13.8" outlineLevel="1">
      <c r="A164" s="18">
        <f t="shared" si="18"/>
        <v>10</v>
      </c>
      <c r="B164" s="173" t="str">
        <f t="shared" ref="B164:C164" si="25">B142</f>
        <v>ขวางล่าง</v>
      </c>
      <c r="C164" s="173" t="str">
        <f t="shared" si="25"/>
        <v>SASH (Hor) (B)</v>
      </c>
      <c r="D164" s="578"/>
      <c r="E164" s="175">
        <f t="shared" si="20"/>
        <v>1.1060000000000001</v>
      </c>
      <c r="F164" s="353">
        <f t="shared" si="21"/>
        <v>512.21428571428567</v>
      </c>
      <c r="G164" s="175">
        <f t="shared" si="22"/>
        <v>7</v>
      </c>
      <c r="H164" s="514"/>
      <c r="I164" s="506"/>
      <c r="J164" s="506"/>
    </row>
    <row r="165" spans="1:23" s="1" customFormat="1" ht="13.8" outlineLevel="1">
      <c r="A165" s="18">
        <f t="shared" si="18"/>
        <v>11</v>
      </c>
      <c r="B165" s="173" t="str">
        <f t="shared" ref="B165:C165" si="26">B143</f>
        <v>เสา</v>
      </c>
      <c r="C165" s="173" t="str">
        <f t="shared" si="26"/>
        <v xml:space="preserve">SASH (Ver) </v>
      </c>
      <c r="D165" s="578"/>
      <c r="E165" s="175">
        <f t="shared" si="20"/>
        <v>1.1060000000000001</v>
      </c>
      <c r="F165" s="353">
        <f t="shared" si="21"/>
        <v>2408</v>
      </c>
      <c r="G165" s="175">
        <f t="shared" si="22"/>
        <v>10</v>
      </c>
      <c r="H165" s="514"/>
      <c r="I165" s="506"/>
      <c r="J165" s="506"/>
    </row>
    <row r="166" spans="1:23" s="1" customFormat="1" ht="13.8" outlineLevel="1">
      <c r="A166" s="18">
        <f t="shared" si="18"/>
        <v>12</v>
      </c>
      <c r="B166" s="173" t="str">
        <f t="shared" ref="B166:C166" si="27">B144</f>
        <v>เสากุญแจ</v>
      </c>
      <c r="C166" s="173" t="str">
        <f t="shared" si="27"/>
        <v xml:space="preserve">SASH (Ver) LOCK </v>
      </c>
      <c r="D166" s="578"/>
      <c r="E166" s="175">
        <f t="shared" si="20"/>
        <v>1.1060000000000001</v>
      </c>
      <c r="F166" s="353">
        <f t="shared" si="21"/>
        <v>2408</v>
      </c>
      <c r="G166" s="175">
        <f t="shared" si="22"/>
        <v>2</v>
      </c>
      <c r="H166" s="514"/>
      <c r="I166" s="506"/>
      <c r="J166" s="506"/>
    </row>
    <row r="167" spans="1:23" s="1" customFormat="1" ht="13.8" outlineLevel="1">
      <c r="A167" s="18">
        <f t="shared" si="18"/>
        <v>13</v>
      </c>
      <c r="B167" s="173" t="str">
        <f t="shared" ref="B167:C167" si="28">B145</f>
        <v>เสากุญแจ</v>
      </c>
      <c r="C167" s="173" t="str">
        <f t="shared" si="28"/>
        <v xml:space="preserve">SASH (Ver) LOCK </v>
      </c>
      <c r="D167" s="578"/>
      <c r="E167" s="175">
        <f t="shared" si="20"/>
        <v>1.1060000000000001</v>
      </c>
      <c r="F167" s="353">
        <f t="shared" si="21"/>
        <v>2408</v>
      </c>
      <c r="G167" s="175">
        <f t="shared" si="22"/>
        <v>2</v>
      </c>
      <c r="H167" s="514"/>
      <c r="I167" s="506"/>
      <c r="J167" s="506"/>
    </row>
    <row r="168" spans="1:23" s="1" customFormat="1" ht="15" customHeight="1" outlineLevel="1">
      <c r="A168" s="18">
        <f t="shared" si="18"/>
        <v>14</v>
      </c>
      <c r="B168" s="173" t="str">
        <f t="shared" ref="B168:C168" si="29">B146</f>
        <v>เสากุญแจมือจับ</v>
      </c>
      <c r="C168" s="173" t="str">
        <f t="shared" si="29"/>
        <v>SASH (Ver) LOCK HANDLE</v>
      </c>
      <c r="D168" s="577"/>
      <c r="E168" s="175">
        <f t="shared" si="20"/>
        <v>1.1060000000000001</v>
      </c>
      <c r="F168" s="353">
        <f t="shared" si="21"/>
        <v>2408</v>
      </c>
      <c r="G168" s="175">
        <f t="shared" si="22"/>
        <v>1</v>
      </c>
      <c r="H168" s="515"/>
      <c r="I168" s="501"/>
      <c r="J168" s="501"/>
    </row>
    <row r="169" spans="1:23" s="1" customFormat="1" ht="13.8" outlineLevel="1">
      <c r="A169" s="18">
        <f t="shared" si="18"/>
        <v>15</v>
      </c>
      <c r="B169" s="173" t="str">
        <f t="shared" ref="B169:C169" si="30">B147</f>
        <v>5-6mm คิ้วตบกระจกแนวนอน</v>
      </c>
      <c r="C169" s="173" t="str">
        <f t="shared" si="30"/>
        <v>5-6mm GLAZING BEAD HORIZONTAL</v>
      </c>
      <c r="D169" s="570" t="str">
        <f t="shared" si="24"/>
        <v>B24008</v>
      </c>
      <c r="E169" s="175">
        <f t="shared" si="20"/>
        <v>0.23100000000000001</v>
      </c>
      <c r="F169" s="353">
        <f t="shared" si="21"/>
        <v>512.21428571428567</v>
      </c>
      <c r="G169" s="175">
        <f t="shared" si="22"/>
        <v>14</v>
      </c>
      <c r="H169" s="516">
        <f>ROUNDUP(((F169*G169)+(F170*G170))/6400,0)</f>
        <v>7</v>
      </c>
      <c r="I169" s="232"/>
      <c r="J169" s="232"/>
    </row>
    <row r="170" spans="1:23" s="1" customFormat="1" ht="15" customHeight="1" outlineLevel="1">
      <c r="A170" s="18">
        <f t="shared" si="18"/>
        <v>16</v>
      </c>
      <c r="B170" s="173" t="str">
        <f t="shared" ref="B170:C170" si="31">B148</f>
        <v>5-6mm คิ้วตบกระจกแนวตั้ง</v>
      </c>
      <c r="C170" s="173" t="str">
        <f t="shared" si="31"/>
        <v>5-6mm GLAZING BEAD VERTICAL</v>
      </c>
      <c r="D170" s="577"/>
      <c r="E170" s="175">
        <f t="shared" si="20"/>
        <v>0.23100000000000001</v>
      </c>
      <c r="F170" s="353">
        <f t="shared" si="21"/>
        <v>2258</v>
      </c>
      <c r="G170" s="175">
        <f t="shared" si="22"/>
        <v>14</v>
      </c>
      <c r="H170" s="516"/>
      <c r="I170" s="232"/>
      <c r="J170" s="232"/>
    </row>
    <row r="171" spans="1:23" s="1" customFormat="1" ht="13.8" outlineLevel="1">
      <c r="A171" s="18">
        <f t="shared" si="18"/>
        <v>17</v>
      </c>
      <c r="B171" s="173" t="str">
        <f t="shared" ref="B171:C171" si="32">B149</f>
        <v>บังใบ</v>
      </c>
      <c r="C171" s="173" t="str">
        <f t="shared" si="32"/>
        <v>SASH STOP</v>
      </c>
      <c r="D171" s="570" t="str">
        <f t="shared" si="24"/>
        <v>B24009</v>
      </c>
      <c r="E171" s="175">
        <f t="shared" si="20"/>
        <v>0</v>
      </c>
      <c r="F171" s="353">
        <f t="shared" si="21"/>
        <v>2408</v>
      </c>
      <c r="G171" s="175">
        <f t="shared" si="22"/>
        <v>1</v>
      </c>
      <c r="H171" s="516">
        <f>ROUNDUP(((F171*G171)+(F172*G172))/6400,0)</f>
        <v>1</v>
      </c>
      <c r="I171" s="232"/>
      <c r="J171" s="232"/>
    </row>
    <row r="172" spans="1:23" s="1" customFormat="1" outlineLevel="1" thickBot="1">
      <c r="A172" s="18">
        <f t="shared" si="18"/>
        <v>18</v>
      </c>
      <c r="B172" s="173" t="str">
        <f t="shared" ref="B172:C172" si="33">B150</f>
        <v>บังใบ</v>
      </c>
      <c r="C172" s="173" t="str">
        <f t="shared" si="33"/>
        <v>SASH STOP</v>
      </c>
      <c r="D172" s="571"/>
      <c r="E172" s="175">
        <f t="shared" si="20"/>
        <v>0</v>
      </c>
      <c r="F172" s="353">
        <f t="shared" si="21"/>
        <v>2408</v>
      </c>
      <c r="G172" s="175">
        <f t="shared" si="22"/>
        <v>1</v>
      </c>
      <c r="H172" s="516"/>
      <c r="I172" s="232"/>
      <c r="J172" s="232"/>
    </row>
    <row r="173" spans="1:23" s="1" customFormat="1" ht="24.9" customHeight="1" thickBot="1">
      <c r="A173" s="529" t="s">
        <v>9</v>
      </c>
      <c r="B173" s="530"/>
      <c r="C173" s="530"/>
      <c r="D173" s="530"/>
      <c r="E173" s="530"/>
      <c r="F173" s="530"/>
      <c r="G173" s="530"/>
      <c r="H173" s="530"/>
      <c r="I173" s="530"/>
      <c r="J173" s="531"/>
    </row>
    <row r="174" spans="1:23" s="1" customFormat="1" ht="35.1" customHeight="1" thickBot="1">
      <c r="A174" s="102" t="s">
        <v>2</v>
      </c>
      <c r="B174" s="103" t="s">
        <v>29</v>
      </c>
      <c r="C174" s="103" t="s">
        <v>3</v>
      </c>
      <c r="D174" s="103" t="s">
        <v>199</v>
      </c>
      <c r="E174" s="103" t="s">
        <v>5</v>
      </c>
      <c r="F174" s="104" t="s">
        <v>28</v>
      </c>
      <c r="G174" s="103" t="s">
        <v>19</v>
      </c>
      <c r="H174" s="104" t="s">
        <v>200</v>
      </c>
      <c r="I174" s="104" t="s">
        <v>20</v>
      </c>
      <c r="J174" s="115" t="s">
        <v>201</v>
      </c>
      <c r="N174" s="101" t="s">
        <v>191</v>
      </c>
      <c r="O174" s="246" t="s">
        <v>29</v>
      </c>
      <c r="P174" s="246" t="s">
        <v>3</v>
      </c>
      <c r="Q174" s="246" t="s">
        <v>199</v>
      </c>
      <c r="R174" s="246" t="s">
        <v>5</v>
      </c>
      <c r="S174" s="246" t="s">
        <v>28</v>
      </c>
      <c r="T174" s="246" t="s">
        <v>19</v>
      </c>
      <c r="U174" s="246" t="s">
        <v>200</v>
      </c>
      <c r="V174" s="246" t="s">
        <v>20</v>
      </c>
      <c r="W174" s="246" t="s">
        <v>201</v>
      </c>
    </row>
    <row r="175" spans="1:23" s="1" customFormat="1" ht="18" customHeight="1">
      <c r="A175" s="200">
        <f>IF(B175="","",1)</f>
        <v>1</v>
      </c>
      <c r="B175" s="140" t="s">
        <v>111</v>
      </c>
      <c r="C175" s="140" t="s">
        <v>67</v>
      </c>
      <c r="D175" s="139" t="s">
        <v>74</v>
      </c>
      <c r="E175" s="143"/>
      <c r="F175" s="143" t="s">
        <v>74</v>
      </c>
      <c r="G175" s="143" t="s">
        <v>202</v>
      </c>
      <c r="H175" s="143">
        <v>14</v>
      </c>
      <c r="I175" s="130"/>
      <c r="J175" s="131">
        <f>$J$120*H175</f>
        <v>14</v>
      </c>
      <c r="N175" s="101" t="s">
        <v>226</v>
      </c>
      <c r="O175" s="280" t="s">
        <v>252</v>
      </c>
      <c r="P175" s="290" t="s">
        <v>248</v>
      </c>
      <c r="Q175" s="280" t="s">
        <v>69</v>
      </c>
      <c r="R175" s="213"/>
      <c r="S175" s="213" t="s">
        <v>69</v>
      </c>
      <c r="T175" s="213" t="s">
        <v>198</v>
      </c>
      <c r="U175" s="291">
        <f>((($I$141*$G$141)+($I$142*$G$142)+($I$143*$G$143)+($I$144*$G$144)+($I$145*$G$145)+($I$146*$G$146))/1000)*$J$120</f>
        <v>40.883000000000003</v>
      </c>
      <c r="V175" s="291">
        <v>100</v>
      </c>
      <c r="W175" s="292">
        <f>ROUNDUP((U175)/100,0)</f>
        <v>1</v>
      </c>
    </row>
    <row r="176" spans="1:23" s="1" customFormat="1" ht="18" customHeight="1">
      <c r="A176" s="201">
        <f>IF(B176="","",+A175+1)</f>
        <v>2</v>
      </c>
      <c r="B176" s="140" t="s">
        <v>106</v>
      </c>
      <c r="C176" s="140" t="s">
        <v>503</v>
      </c>
      <c r="D176" s="139" t="s">
        <v>75</v>
      </c>
      <c r="E176" s="143"/>
      <c r="F176" s="143" t="s">
        <v>75</v>
      </c>
      <c r="G176" s="143" t="s">
        <v>202</v>
      </c>
      <c r="H176" s="143">
        <v>2</v>
      </c>
      <c r="I176" s="130"/>
      <c r="J176" s="131">
        <f t="shared" ref="J176:J185" si="34">$J$120*H176</f>
        <v>2</v>
      </c>
      <c r="N176" s="101" t="s">
        <v>230</v>
      </c>
      <c r="O176" s="280" t="s">
        <v>253</v>
      </c>
      <c r="P176" s="290" t="s">
        <v>249</v>
      </c>
      <c r="Q176" s="280" t="s">
        <v>188</v>
      </c>
      <c r="R176" s="213"/>
      <c r="S176" s="213" t="s">
        <v>188</v>
      </c>
      <c r="T176" s="213" t="s">
        <v>198</v>
      </c>
      <c r="U176" s="291">
        <f>((($I$141*$G$141)+($I$142*$G$142)+($I$143*$G$143)+($I$144*$G$144)+($I$145*$G$145)+($I$146*$G$146))/1000)*$J$120</f>
        <v>40.883000000000003</v>
      </c>
      <c r="V176" s="291">
        <v>100</v>
      </c>
      <c r="W176" s="292">
        <f t="shared" ref="W176:W179" si="35">ROUNDUP((U176)/100,0)</f>
        <v>1</v>
      </c>
    </row>
    <row r="177" spans="1:23" s="1" customFormat="1" ht="18" customHeight="1">
      <c r="A177" s="201">
        <f t="shared" ref="A177:A204" si="36">IF(B177="","",+A176+1)</f>
        <v>3</v>
      </c>
      <c r="B177" s="140" t="s">
        <v>107</v>
      </c>
      <c r="C177" s="140" t="s">
        <v>504</v>
      </c>
      <c r="D177" s="139" t="s">
        <v>76</v>
      </c>
      <c r="E177" s="143"/>
      <c r="F177" s="143" t="s">
        <v>76</v>
      </c>
      <c r="G177" s="143" t="s">
        <v>202</v>
      </c>
      <c r="H177" s="143">
        <v>2</v>
      </c>
      <c r="I177" s="130"/>
      <c r="J177" s="131">
        <f t="shared" si="34"/>
        <v>2</v>
      </c>
      <c r="N177" s="101" t="s">
        <v>229</v>
      </c>
      <c r="O177" s="290" t="s">
        <v>254</v>
      </c>
      <c r="P177" s="290" t="s">
        <v>250</v>
      </c>
      <c r="Q177" s="280" t="s">
        <v>70</v>
      </c>
      <c r="R177" s="213"/>
      <c r="S177" s="213" t="s">
        <v>70</v>
      </c>
      <c r="T177" s="213" t="s">
        <v>198</v>
      </c>
      <c r="U177" s="291">
        <f>((($I$141*$G$141)+($I$142*$G$142)+($I$143*$G$143)+($I$144*$G$144)+($I$145*$G$145)+($I$146*$G$146))/1000)*$J$120</f>
        <v>40.883000000000003</v>
      </c>
      <c r="V177" s="291">
        <v>100</v>
      </c>
      <c r="W177" s="292">
        <f t="shared" si="35"/>
        <v>1</v>
      </c>
    </row>
    <row r="178" spans="1:23" s="1" customFormat="1" ht="18" customHeight="1">
      <c r="A178" s="201">
        <f t="shared" si="36"/>
        <v>4</v>
      </c>
      <c r="B178" s="140" t="s">
        <v>108</v>
      </c>
      <c r="C178" s="140" t="s">
        <v>10</v>
      </c>
      <c r="D178" s="139">
        <v>9</v>
      </c>
      <c r="E178" s="143"/>
      <c r="F178" s="143">
        <v>9</v>
      </c>
      <c r="G178" s="143" t="s">
        <v>202</v>
      </c>
      <c r="H178" s="143">
        <v>8</v>
      </c>
      <c r="I178" s="130"/>
      <c r="J178" s="131">
        <f t="shared" si="34"/>
        <v>8</v>
      </c>
      <c r="N178" s="101" t="s">
        <v>231</v>
      </c>
      <c r="O178" s="290" t="s">
        <v>255</v>
      </c>
      <c r="P178" s="290" t="s">
        <v>251</v>
      </c>
      <c r="Q178" s="280" t="s">
        <v>189</v>
      </c>
      <c r="R178" s="213"/>
      <c r="S178" s="213" t="s">
        <v>189</v>
      </c>
      <c r="T178" s="213" t="s">
        <v>198</v>
      </c>
      <c r="U178" s="291">
        <f>((($I$141*$G$141)+($I$142*$G$142)+($I$143*$G$143)+($I$144*$G$144)+($I$145*$G$145)+($I$146*$G$146))/1000)*$J$120</f>
        <v>40.883000000000003</v>
      </c>
      <c r="V178" s="291">
        <v>100</v>
      </c>
      <c r="W178" s="292">
        <f t="shared" si="35"/>
        <v>1</v>
      </c>
    </row>
    <row r="179" spans="1:23" s="1" customFormat="1" ht="18" customHeight="1">
      <c r="A179" s="201">
        <f t="shared" si="36"/>
        <v>5</v>
      </c>
      <c r="B179" s="140" t="s">
        <v>109</v>
      </c>
      <c r="C179" s="140" t="s">
        <v>68</v>
      </c>
      <c r="D179" s="139">
        <v>9</v>
      </c>
      <c r="E179" s="143"/>
      <c r="F179" s="143">
        <v>9</v>
      </c>
      <c r="G179" s="143" t="s">
        <v>202</v>
      </c>
      <c r="H179" s="143">
        <v>110</v>
      </c>
      <c r="I179" s="130"/>
      <c r="J179" s="131">
        <f t="shared" si="34"/>
        <v>110</v>
      </c>
      <c r="N179" s="101" t="s">
        <v>232</v>
      </c>
      <c r="O179" s="290" t="s">
        <v>256</v>
      </c>
      <c r="P179" s="290" t="s">
        <v>247</v>
      </c>
      <c r="Q179" s="280" t="s">
        <v>233</v>
      </c>
      <c r="R179" s="213"/>
      <c r="S179" s="213" t="s">
        <v>233</v>
      </c>
      <c r="T179" s="213" t="s">
        <v>198</v>
      </c>
      <c r="U179" s="291">
        <f>((($I$141*$G$141)+($I$142*$G$142)+($I$143*$G$143)+($I$144*$G$144)+($I$145*$G$145)+($I$146*$G$146))/1000)*$J$120</f>
        <v>40.883000000000003</v>
      </c>
      <c r="V179" s="291">
        <v>100</v>
      </c>
      <c r="W179" s="292">
        <f t="shared" si="35"/>
        <v>1</v>
      </c>
    </row>
    <row r="180" spans="1:23" s="1" customFormat="1" ht="18" customHeight="1">
      <c r="A180" s="201">
        <f t="shared" si="36"/>
        <v>6</v>
      </c>
      <c r="B180" s="140" t="s">
        <v>132</v>
      </c>
      <c r="C180" s="140" t="s">
        <v>79</v>
      </c>
      <c r="D180" s="139" t="s">
        <v>82</v>
      </c>
      <c r="E180" s="143"/>
      <c r="F180" s="143" t="s">
        <v>82</v>
      </c>
      <c r="G180" s="143" t="s">
        <v>185</v>
      </c>
      <c r="H180" s="143">
        <v>2</v>
      </c>
      <c r="I180" s="130"/>
      <c r="J180" s="131">
        <f t="shared" si="34"/>
        <v>2</v>
      </c>
    </row>
    <row r="181" spans="1:23" s="1" customFormat="1" ht="18" customHeight="1">
      <c r="A181" s="201">
        <f t="shared" si="36"/>
        <v>7</v>
      </c>
      <c r="B181" s="140" t="s">
        <v>143</v>
      </c>
      <c r="C181" s="140" t="s">
        <v>121</v>
      </c>
      <c r="D181" s="139" t="s">
        <v>103</v>
      </c>
      <c r="E181" s="143"/>
      <c r="F181" s="143" t="s">
        <v>103</v>
      </c>
      <c r="G181" s="143" t="s">
        <v>185</v>
      </c>
      <c r="H181" s="143">
        <v>1</v>
      </c>
      <c r="I181" s="130"/>
      <c r="J181" s="131">
        <f t="shared" si="34"/>
        <v>1</v>
      </c>
    </row>
    <row r="182" spans="1:23" s="1" customFormat="1" ht="18" customHeight="1">
      <c r="A182" s="201">
        <f t="shared" si="36"/>
        <v>8</v>
      </c>
      <c r="B182" s="140" t="s">
        <v>118</v>
      </c>
      <c r="C182" s="140" t="s">
        <v>77</v>
      </c>
      <c r="D182" s="139" t="s">
        <v>80</v>
      </c>
      <c r="E182" s="143"/>
      <c r="F182" s="143" t="s">
        <v>80</v>
      </c>
      <c r="G182" s="143" t="s">
        <v>185</v>
      </c>
      <c r="H182" s="143">
        <v>1</v>
      </c>
      <c r="I182" s="130"/>
      <c r="J182" s="131">
        <f t="shared" si="34"/>
        <v>1</v>
      </c>
    </row>
    <row r="183" spans="1:23" s="1" customFormat="1" ht="18" customHeight="1">
      <c r="A183" s="201">
        <f t="shared" si="36"/>
        <v>9</v>
      </c>
      <c r="B183" s="140" t="s">
        <v>120</v>
      </c>
      <c r="C183" s="140" t="s">
        <v>94</v>
      </c>
      <c r="D183" s="139" t="s">
        <v>96</v>
      </c>
      <c r="E183" s="143"/>
      <c r="F183" s="143" t="s">
        <v>96</v>
      </c>
      <c r="G183" s="143" t="s">
        <v>185</v>
      </c>
      <c r="H183" s="143">
        <v>1</v>
      </c>
      <c r="I183" s="130"/>
      <c r="J183" s="131">
        <f t="shared" si="34"/>
        <v>1</v>
      </c>
    </row>
    <row r="184" spans="1:23" s="1" customFormat="1" ht="18" customHeight="1">
      <c r="A184" s="201">
        <f t="shared" si="36"/>
        <v>10</v>
      </c>
      <c r="B184" s="140" t="s">
        <v>131</v>
      </c>
      <c r="C184" s="140" t="s">
        <v>100</v>
      </c>
      <c r="D184" s="139" t="s">
        <v>102</v>
      </c>
      <c r="E184" s="143"/>
      <c r="F184" s="143" t="s">
        <v>102</v>
      </c>
      <c r="G184" s="143" t="s">
        <v>185</v>
      </c>
      <c r="H184" s="143">
        <v>2</v>
      </c>
      <c r="I184" s="130"/>
      <c r="J184" s="131">
        <f t="shared" si="34"/>
        <v>2</v>
      </c>
      <c r="N184" s="56"/>
      <c r="O184" s="56"/>
      <c r="P184" s="56"/>
      <c r="Q184" s="289"/>
      <c r="R184" s="289"/>
      <c r="S184" s="289"/>
      <c r="T184" s="17"/>
      <c r="U184" s="17"/>
      <c r="V184" s="17"/>
      <c r="W184" s="56"/>
    </row>
    <row r="185" spans="1:23" s="1" customFormat="1" ht="18" customHeight="1">
      <c r="A185" s="201">
        <f t="shared" si="36"/>
        <v>11</v>
      </c>
      <c r="B185" s="140" t="s">
        <v>119</v>
      </c>
      <c r="C185" s="140" t="s">
        <v>95</v>
      </c>
      <c r="D185" s="139" t="s">
        <v>97</v>
      </c>
      <c r="E185" s="143"/>
      <c r="F185" s="143" t="s">
        <v>97</v>
      </c>
      <c r="G185" s="143" t="s">
        <v>185</v>
      </c>
      <c r="H185" s="143">
        <v>1</v>
      </c>
      <c r="I185" s="144"/>
      <c r="J185" s="131">
        <f t="shared" si="34"/>
        <v>1</v>
      </c>
      <c r="N185" s="101" t="s">
        <v>227</v>
      </c>
      <c r="O185" s="246" t="s">
        <v>29</v>
      </c>
      <c r="P185" s="246" t="s">
        <v>3</v>
      </c>
      <c r="Q185" s="246" t="s">
        <v>199</v>
      </c>
      <c r="R185" s="246" t="s">
        <v>5</v>
      </c>
      <c r="S185" s="246" t="s">
        <v>28</v>
      </c>
      <c r="T185" s="246" t="s">
        <v>19</v>
      </c>
      <c r="U185" s="246" t="s">
        <v>200</v>
      </c>
      <c r="V185" s="246" t="s">
        <v>20</v>
      </c>
      <c r="W185" s="246" t="s">
        <v>201</v>
      </c>
    </row>
    <row r="186" spans="1:23" s="1" customFormat="1" ht="18" customHeight="1">
      <c r="A186" s="201">
        <f t="shared" si="36"/>
        <v>12</v>
      </c>
      <c r="B186" s="140" t="s">
        <v>113</v>
      </c>
      <c r="C186" s="140" t="s">
        <v>502</v>
      </c>
      <c r="D186" s="139" t="s">
        <v>83</v>
      </c>
      <c r="E186" s="143"/>
      <c r="F186" s="143" t="s">
        <v>83</v>
      </c>
      <c r="G186" s="143" t="s">
        <v>185</v>
      </c>
      <c r="H186" s="143">
        <v>3</v>
      </c>
      <c r="I186" s="144"/>
      <c r="J186" s="131">
        <f>$J$120*H186</f>
        <v>3</v>
      </c>
      <c r="N186" s="101" t="s">
        <v>240</v>
      </c>
      <c r="O186" s="290" t="s">
        <v>234</v>
      </c>
      <c r="P186" s="290" t="s">
        <v>236</v>
      </c>
      <c r="Q186" s="280" t="s">
        <v>190</v>
      </c>
      <c r="R186" s="213"/>
      <c r="S186" s="213" t="s">
        <v>190</v>
      </c>
      <c r="T186" s="213" t="s">
        <v>198</v>
      </c>
      <c r="U186" s="291">
        <f>((($I$134*$G$134)+($I$136*$G$136)+($I$139*$G$139))/1000)*$J$120</f>
        <v>11.157999999999999</v>
      </c>
      <c r="V186" s="291">
        <v>300</v>
      </c>
      <c r="W186" s="292">
        <f>ROUNDUP((U186)/V186,0)</f>
        <v>1</v>
      </c>
    </row>
    <row r="187" spans="1:23" s="1" customFormat="1" ht="18" customHeight="1">
      <c r="A187" s="201">
        <f t="shared" si="36"/>
        <v>13</v>
      </c>
      <c r="B187" s="140" t="s">
        <v>110</v>
      </c>
      <c r="C187" s="140" t="s">
        <v>66</v>
      </c>
      <c r="D187" s="139" t="s">
        <v>73</v>
      </c>
      <c r="E187" s="143"/>
      <c r="F187" s="143" t="s">
        <v>73</v>
      </c>
      <c r="G187" s="143" t="s">
        <v>202</v>
      </c>
      <c r="H187" s="143">
        <v>3</v>
      </c>
      <c r="I187" s="130"/>
      <c r="J187" s="131">
        <f>$J$120*H187</f>
        <v>3</v>
      </c>
      <c r="N187" s="101" t="s">
        <v>241</v>
      </c>
      <c r="O187" s="290" t="s">
        <v>235</v>
      </c>
      <c r="P187" s="290" t="s">
        <v>238</v>
      </c>
      <c r="Q187" s="280" t="s">
        <v>71</v>
      </c>
      <c r="R187" s="213"/>
      <c r="S187" s="213" t="s">
        <v>71</v>
      </c>
      <c r="T187" s="213" t="s">
        <v>198</v>
      </c>
      <c r="U187" s="291">
        <f>((($I$134*$G$134)+($I$136*$G$136)+($I$139*$G$139))/1000)*$J$120</f>
        <v>11.157999999999999</v>
      </c>
      <c r="V187" s="291">
        <v>100</v>
      </c>
      <c r="W187" s="292">
        <f t="shared" ref="W187:W189" si="37">ROUNDUP((U187)/V187,0)</f>
        <v>1</v>
      </c>
    </row>
    <row r="188" spans="1:23" s="1" customFormat="1" ht="18" customHeight="1">
      <c r="A188" s="201">
        <f t="shared" si="36"/>
        <v>14</v>
      </c>
      <c r="B188" s="140" t="s">
        <v>122</v>
      </c>
      <c r="C188" s="140" t="s">
        <v>101</v>
      </c>
      <c r="D188" s="139" t="s">
        <v>104</v>
      </c>
      <c r="E188" s="143"/>
      <c r="F188" s="143" t="s">
        <v>104</v>
      </c>
      <c r="G188" s="143" t="s">
        <v>185</v>
      </c>
      <c r="H188" s="143">
        <v>1</v>
      </c>
      <c r="I188" s="130"/>
      <c r="J188" s="131">
        <f>$J$120*H188</f>
        <v>1</v>
      </c>
      <c r="N188" s="101" t="s">
        <v>240</v>
      </c>
      <c r="O188" s="290" t="s">
        <v>245</v>
      </c>
      <c r="P188" s="290" t="s">
        <v>237</v>
      </c>
      <c r="Q188" s="280" t="s">
        <v>72</v>
      </c>
      <c r="R188" s="213"/>
      <c r="S188" s="213" t="s">
        <v>72</v>
      </c>
      <c r="T188" s="213" t="s">
        <v>198</v>
      </c>
      <c r="U188" s="291">
        <f>((($I$141*$G$141*2)+($I$143*$G$143*2)+($I$144*$G$144*2))/1000)*$J$120</f>
        <v>64.962999999999994</v>
      </c>
      <c r="V188" s="291">
        <v>350</v>
      </c>
      <c r="W188" s="292">
        <f t="shared" si="37"/>
        <v>1</v>
      </c>
    </row>
    <row r="189" spans="1:23" s="1" customFormat="1" ht="18" customHeight="1">
      <c r="A189" s="201">
        <f t="shared" si="36"/>
        <v>15</v>
      </c>
      <c r="B189" s="140" t="s">
        <v>112</v>
      </c>
      <c r="C189" s="140" t="s">
        <v>114</v>
      </c>
      <c r="D189" s="128" t="s">
        <v>520</v>
      </c>
      <c r="E189" s="129"/>
      <c r="F189" s="129" t="s">
        <v>520</v>
      </c>
      <c r="G189" s="143" t="s">
        <v>202</v>
      </c>
      <c r="H189" s="143">
        <v>6</v>
      </c>
      <c r="I189" s="130"/>
      <c r="J189" s="131">
        <f>$J$120*H189</f>
        <v>6</v>
      </c>
      <c r="N189" s="101" t="s">
        <v>241</v>
      </c>
      <c r="O189" s="290" t="s">
        <v>246</v>
      </c>
      <c r="P189" s="290" t="s">
        <v>239</v>
      </c>
      <c r="Q189" s="280" t="s">
        <v>193</v>
      </c>
      <c r="R189" s="213"/>
      <c r="S189" s="213" t="s">
        <v>193</v>
      </c>
      <c r="T189" s="213" t="s">
        <v>198</v>
      </c>
      <c r="U189" s="291">
        <f>((($I$141*$G$141*2)+($I$143*$G$143*2)+($I$144*$G$144*2))/1000)*$J$120</f>
        <v>64.962999999999994</v>
      </c>
      <c r="V189" s="291">
        <v>100</v>
      </c>
      <c r="W189" s="292">
        <f t="shared" si="37"/>
        <v>1</v>
      </c>
    </row>
    <row r="190" spans="1:23" s="1" customFormat="1" ht="18" customHeight="1">
      <c r="A190" s="201">
        <f t="shared" si="36"/>
        <v>16</v>
      </c>
      <c r="B190" s="140" t="s">
        <v>115</v>
      </c>
      <c r="C190" s="140" t="s">
        <v>45</v>
      </c>
      <c r="D190" s="139" t="s">
        <v>84</v>
      </c>
      <c r="E190" s="143"/>
      <c r="F190" s="143" t="s">
        <v>84</v>
      </c>
      <c r="G190" s="143" t="s">
        <v>202</v>
      </c>
      <c r="H190" s="143">
        <v>1</v>
      </c>
      <c r="I190" s="130"/>
      <c r="J190" s="131">
        <f>$J$120*H190</f>
        <v>1</v>
      </c>
    </row>
    <row r="191" spans="1:23" s="1" customFormat="1" ht="18" customHeight="1">
      <c r="A191" s="201">
        <f t="shared" si="36"/>
        <v>17</v>
      </c>
      <c r="B191" s="140" t="s">
        <v>512</v>
      </c>
      <c r="C191" s="140" t="s">
        <v>135</v>
      </c>
      <c r="D191" s="139" t="s">
        <v>137</v>
      </c>
      <c r="E191" s="143"/>
      <c r="F191" s="143" t="s">
        <v>137</v>
      </c>
      <c r="G191" s="143" t="s">
        <v>198</v>
      </c>
      <c r="H191" s="261">
        <f>((($I$149*$G$149)+($I$150*$G$150))/1000)*$J$120</f>
        <v>4.8159999999999998</v>
      </c>
      <c r="I191" s="258">
        <v>100</v>
      </c>
      <c r="J191" s="267">
        <f>ROUNDUP((H191)/100,0)</f>
        <v>1</v>
      </c>
    </row>
    <row r="192" spans="1:23" s="1" customFormat="1" ht="18" customHeight="1">
      <c r="A192" s="201">
        <f t="shared" si="36"/>
        <v>18</v>
      </c>
      <c r="B192" s="140" t="s">
        <v>513</v>
      </c>
      <c r="C192" s="140" t="s">
        <v>136</v>
      </c>
      <c r="D192" s="139" t="s">
        <v>138</v>
      </c>
      <c r="E192" s="143"/>
      <c r="F192" s="143" t="s">
        <v>138</v>
      </c>
      <c r="G192" s="143" t="s">
        <v>198</v>
      </c>
      <c r="H192" s="261">
        <f>(((I145*G145)+($I$146*$G$146))/1000)*$J$120</f>
        <v>4.8159999999999998</v>
      </c>
      <c r="I192" s="258">
        <v>100</v>
      </c>
      <c r="J192" s="267">
        <f>ROUNDUP((H192)/100,0)</f>
        <v>1</v>
      </c>
    </row>
    <row r="193" spans="1:25" s="1" customFormat="1" ht="18" customHeight="1">
      <c r="A193" s="201">
        <f t="shared" si="36"/>
        <v>19</v>
      </c>
      <c r="B193" s="139" t="str">
        <f>IF($D$129="Standard",$O$186,IF($D$129="Soumdproof",$O$187,))</f>
        <v>ยางเฟรมกันน้ำ (ธรรมดา)</v>
      </c>
      <c r="C193" s="139" t="str">
        <f>IF($D$129="Standard",$P$186,IF($D$129="Soumdproof",$P$187,))</f>
        <v>FRAME SEAL (Standard)</v>
      </c>
      <c r="D193" s="139" t="str">
        <f>IF($D$129="Standard",$Q$186,IF($D$129="Soumdproof",$Q$187,))</f>
        <v>02-026</v>
      </c>
      <c r="E193" s="143">
        <f>IF($D$129="Standard",R191,IF($D$129="Soumdproof",R192,))</f>
        <v>0</v>
      </c>
      <c r="F193" s="143" t="str">
        <f>IF($D$129="Standard",$S$186,IF($D$129="Soumdproof",$S$187,))</f>
        <v>02-026</v>
      </c>
      <c r="G193" s="143" t="str">
        <f>IF($D$129="Standard",$T$186,IF($D$129="Soumdproof",$T$187,))</f>
        <v>M</v>
      </c>
      <c r="H193" s="261">
        <f>IF($D$129="Standard",$U$186,IF($D$129="Soumdproof",$U$187,))</f>
        <v>11.157999999999999</v>
      </c>
      <c r="I193" s="258">
        <f>IF($D$129="Standard",$V$186,IF($D$129="Soumdproof",$V$187,))</f>
        <v>300</v>
      </c>
      <c r="J193" s="267">
        <f>ROUNDUP((H193)/100,0)</f>
        <v>1</v>
      </c>
    </row>
    <row r="194" spans="1:25" s="1" customFormat="1" ht="18" customHeight="1">
      <c r="A194" s="201">
        <f t="shared" si="36"/>
        <v>20</v>
      </c>
      <c r="B194" s="139" t="str">
        <f>IF($D$129="Standard",$O$188,IF($D$129="Soumdproof",$O$189,))</f>
        <v>ยางแซชกันน้ำ (ธรรมดา)</v>
      </c>
      <c r="C194" s="139" t="str">
        <f>IF($D$129="Standard",$P$188,IF($D$129="Soumdproof",$P$189,))</f>
        <v>SASH SEAL FOAM (Standard)</v>
      </c>
      <c r="D194" s="139" t="str">
        <f>IF($D$129="Standard",$Q$188,IF($D$129="Soumdproof",$Q$189,))</f>
        <v>02-031</v>
      </c>
      <c r="E194" s="143">
        <f>IF($D$129="Standard",R193,IF($D$129="Soumdproof",R194,))</f>
        <v>0</v>
      </c>
      <c r="F194" s="143" t="str">
        <f>IF($D$129="Standard",$S$188,IF($D$129="Soumdproof",$S$189,))</f>
        <v>02-031</v>
      </c>
      <c r="G194" s="143" t="str">
        <f>IF($D$129="Standard",$T$188,IF($D$129="Soumdproof",$T$189,))</f>
        <v>M</v>
      </c>
      <c r="H194" s="261">
        <f>IF($D$129="Standard",$U$188,IF($D$129="Soumdproof",$U$189,))</f>
        <v>64.962999999999994</v>
      </c>
      <c r="I194" s="258">
        <f>IF($D$129="Standard",$V$188,IF($D$129="Soumdproof",$V$189,))</f>
        <v>350</v>
      </c>
      <c r="J194" s="267">
        <f t="shared" ref="J194" si="38">ROUNDUP((H194)/100,0)</f>
        <v>1</v>
      </c>
    </row>
    <row r="195" spans="1:25" ht="18" customHeight="1">
      <c r="A195" s="201">
        <f t="shared" si="36"/>
        <v>21</v>
      </c>
      <c r="B195" s="241" t="str">
        <f>IF($D$127=5,$O$177,IF($D$127=6,$O$178,IF($D$127=8,$O$179,IF($D$127=10,$O$177,IF($D$127=12,$O$177,IF($D$127=14,$O$179,IF($D$127=18,$O$177,IF($D$127=20,$O$178,IF($D$127=22,"")))))))))</f>
        <v>5,8,10,12,18 mmยางอัดกระจก</v>
      </c>
      <c r="C195" s="241" t="str">
        <f>IF($D$127=5,$P$177,IF($D$127=6,$P$178,IF($D$127=8,$P$179,IF($D$127=10,$P$177,IF($D$127=12,$P$177,IF($D$127=14,$P$179,IF($D$127=18,$P$177,IF($D$127=20,$P$178,IF($D$127=22,"")))))))))</f>
        <v>5,8,10,12,18 mm ROLL IN WEDGE</v>
      </c>
      <c r="D195" s="241" t="str">
        <f>IF($D$127=5,$Q$177,IF($D$127=6,$Q$178,IF($D$127=8,$Q$179,IF($D$127=10,$Q$177,IF($D$127=12,$Q$177,IF($D$127=14,$Q$179,IF($D$127=18,$Q$177,IF($D$127=20,$Q$178,IF($D$127=22,"")))))))))</f>
        <v>02-033</v>
      </c>
      <c r="E195" s="241">
        <f>IF($D$127=5,R182,IF($D$127=6,R183,IF($D$127=8,R184,IF($D$127=10,R182,IF($D$127=12,R182,IF($D$127=14,R184,IF($D$127=18,R182,IF($D$127=20,R183,IF($D$127=22,"",)))))))))</f>
        <v>0</v>
      </c>
      <c r="F195" s="242" t="str">
        <f>IF($D$127=5,$S$177,IF($D$127=6,$S$178,IF($D$127=8,$S$179,IF($D$127=10,$S$177,IF($D$127=12,$S$177,IF($D$127=14,$S$179,IF($D$127=18,$S$177,IF($D$127=20,$S$178,IF($D$127=22,"")))))))))</f>
        <v>02-033</v>
      </c>
      <c r="G195" s="242" t="str">
        <f>IF($D$127=5,$T$177,IF($D$127=6,$T$178,IF($D$127=8,$T$179,IF($D$127=10,$T$177,IF($D$127=12,$T$177,IF($D$127=14,$T$179,IF($D$127=18,$T$177,IF($D$127=20,$T$178,IF($D$127=22,"")))))))))</f>
        <v>M</v>
      </c>
      <c r="H195" s="261">
        <f>IF($D$127=5,$U$177,IF($D$127=6,$U$178,IF($D$127=8,$U$179,IF($D$127=10,$U$177*2,IF($D$127=12,$U$177,IF($D$127=14,$U$179*2,IF($D$127=18,$U$177,IF($D$127=20,$U$178,IF($D$127=22,"")))))))))</f>
        <v>40.883000000000003</v>
      </c>
      <c r="I195" s="258">
        <f>IF($D$127=5,$V$177,IF($D$127=6,$V$178,IF($D$127=8,$V$179,IF($D$127=10,$V$177,IF($D$127=12,$V$177,IF($D$127=14,$V$179,IF($D$127=18,$V$177,IF($D$127=20,$V$178,IF($D$127=22,"")))))))))</f>
        <v>100</v>
      </c>
      <c r="J195" s="267">
        <f>ROUNDUP((H195)/100,0)</f>
        <v>1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s="1" customFormat="1" ht="18" customHeight="1">
      <c r="A196" s="201">
        <f t="shared" si="36"/>
        <v>22</v>
      </c>
      <c r="B196" s="241" t="str">
        <f>IF($D$127=5,$O$175,IF($D$127=6,$O$175,IF($D$127=8,$O$177,IF($D$127=10,"",IF($D$127=12,$O$176,IF($D$127=14,"",IF($D$127=18,$O$175,IF($D$127=20,$O$176,IF($D$127=22,"",)))))))))</f>
        <v>5,6,18 mm ยางรองกระจก</v>
      </c>
      <c r="C196" s="241" t="str">
        <f>IF($D$127=5,$P$175,IF($D$127=6,$P$175,IF($D$127=8,$P$177,IF($D$127=10,"",IF($D$127=12,$P$176,IF($D$127=14,"",IF($D$127=18,$P$175,IF($D$127=20,$P$176,IF($D$127=22,"",)))))))))</f>
        <v>5,6,18 mm CAPTIVE WEDGE</v>
      </c>
      <c r="D196" s="241" t="str">
        <f>IF($D$127=5,$Q$175,IF($D$127=6,$Q$175,IF($D$127=8,$Q$177,IF($D$127=10,"",IF($D$127=12,$Q$176,IF($D$127=14,"",IF($D$127=18,$Q$175,IF($D$127=20,$Q$176,IF($D$127=22,"",)))))))))</f>
        <v>02-022</v>
      </c>
      <c r="E196" s="241">
        <f>IF($D$127=5,R180,IF($D$127=6,R180,IF($D$127=8,R182,IF($D$127=10,"",IF($D$127=12,R181,IF($D$127=14,"",IF($D$127=18,R180,IF($D$127=20,R181,IF($D$127=22,"",)))))))))</f>
        <v>0</v>
      </c>
      <c r="F196" s="242" t="str">
        <f>IF($D$127=5,$S$175,IF($D$127=6,$S$175,IF($D$127=8,$S$177,IF($D$127=10,"",IF($D$127=12,$S$176,IF($D$127=14,"",IF($D$127=18,$S$175,IF($D$127=20,$S$176,IF($D$127=22,"",)))))))))</f>
        <v>02-022</v>
      </c>
      <c r="G196" s="242" t="str">
        <f>IF($D$127=5,$T$175,IF($D$127=6,$T$175,IF($D$127=8,$T$177,IF($D$127=10,"",IF($D$127=12,$T$176,IF($D$127=14,"",IF($D$127=18,$T$175,IF($D$127=20,$T$176,IF($D$127=22,"",)))))))))</f>
        <v>M</v>
      </c>
      <c r="H196" s="261">
        <f>IF($D$127=5,$U$175,IF($D$127=6,$U$175,IF($D$127=8,$U$177,IF($D$127=10,"",IF($D$127=12,$U$176,IF($D$127=14,"",IF($D$127=18,$U$175,IF($D$127=20,$U$176,IF($D$127=22,"")))))))))</f>
        <v>40.883000000000003</v>
      </c>
      <c r="I196" s="258">
        <f>IF($D$127=5,$V$175,IF($D$127=6,$V$175,IF($D$127=8,$V$177,IF($D$127=10,"",IF($D$127=12,$V$176,IF($D$127=14,"",IF($D$127=18,$V$175,IF($D$127=20,$V$176,IF($D$127=22,"",)))))))))</f>
        <v>100</v>
      </c>
      <c r="J196" s="267">
        <f t="shared" ref="J196" si="39">ROUNDUP((H196)/100,0)</f>
        <v>1</v>
      </c>
    </row>
    <row r="197" spans="1:25" s="1" customFormat="1" ht="18" customHeight="1">
      <c r="A197" s="201" t="str">
        <f t="shared" si="36"/>
        <v/>
      </c>
      <c r="B197" s="140"/>
      <c r="C197" s="140"/>
      <c r="D197" s="139"/>
      <c r="E197" s="143"/>
      <c r="F197" s="143"/>
      <c r="G197" s="143"/>
      <c r="H197" s="143"/>
      <c r="I197" s="130"/>
      <c r="J197" s="131"/>
    </row>
    <row r="198" spans="1:25" s="1" customFormat="1" ht="18" customHeight="1">
      <c r="A198" s="201" t="str">
        <f t="shared" si="36"/>
        <v/>
      </c>
      <c r="B198" s="140"/>
      <c r="C198" s="140"/>
      <c r="D198" s="139"/>
      <c r="E198" s="143"/>
      <c r="F198" s="143"/>
      <c r="G198" s="143"/>
      <c r="H198" s="143"/>
      <c r="I198" s="144"/>
      <c r="J198" s="131"/>
    </row>
    <row r="199" spans="1:25" s="1" customFormat="1" ht="18" customHeight="1">
      <c r="A199" s="201" t="str">
        <f t="shared" si="36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 t="shared" ref="J199:J201" si="40">$J$120*G199</f>
        <v>0</v>
      </c>
    </row>
    <row r="200" spans="1:25" s="1" customFormat="1" ht="18" customHeight="1">
      <c r="A200" s="201" t="str">
        <f t="shared" si="36"/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si="40"/>
        <v>0</v>
      </c>
    </row>
    <row r="201" spans="1:25" s="1" customFormat="1" ht="18" customHeight="1">
      <c r="A201" s="201" t="str">
        <f t="shared" si="36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si="40"/>
        <v>0</v>
      </c>
    </row>
    <row r="202" spans="1:25" s="1" customFormat="1" ht="18" customHeight="1">
      <c r="A202" s="201" t="str">
        <f t="shared" si="36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ref="J202:J205" si="41">$J$120*G202</f>
        <v>0</v>
      </c>
    </row>
    <row r="203" spans="1:25" s="1" customFormat="1" ht="18" customHeight="1">
      <c r="A203" s="201" t="str">
        <f t="shared" si="36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ref="J203:J204" si="42">$J$120*G203</f>
        <v>0</v>
      </c>
    </row>
    <row r="204" spans="1:25" s="1" customFormat="1" ht="18" customHeight="1">
      <c r="A204" s="201" t="str">
        <f t="shared" si="36"/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 t="shared" si="42"/>
        <v>0</v>
      </c>
    </row>
    <row r="205" spans="1:25" s="1" customFormat="1" ht="18" customHeight="1">
      <c r="A205" s="317" t="str">
        <f>IF(B205="","",+#REF!+1)</f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 t="shared" si="41"/>
        <v>0</v>
      </c>
    </row>
    <row r="206" spans="1:25" s="1" customFormat="1" ht="18" customHeight="1">
      <c r="A206" s="25"/>
      <c r="B206" s="161"/>
      <c r="C206" s="33"/>
      <c r="D206" s="30"/>
      <c r="E206" s="17"/>
      <c r="F206" s="30"/>
      <c r="G206" s="30"/>
      <c r="H206" s="161"/>
      <c r="I206" s="24"/>
      <c r="J206" s="24"/>
    </row>
    <row r="207" spans="1:25" ht="18" customHeight="1">
      <c r="A207" s="17"/>
      <c r="J207" s="99" t="str">
        <f>LEFT($J$111,13)&amp;"-02"</f>
        <v>FG-240-7P5L2R-02</v>
      </c>
    </row>
    <row r="208" spans="1:25" ht="12.75" customHeight="1">
      <c r="B208" s="56"/>
      <c r="C208" s="56"/>
      <c r="D208" s="30"/>
      <c r="E208" s="17"/>
      <c r="F208" s="17"/>
      <c r="G208" s="17"/>
      <c r="H208" s="17"/>
      <c r="K208" s="7"/>
      <c r="L208" s="7"/>
      <c r="M208" s="2"/>
      <c r="N208" s="2"/>
    </row>
    <row r="209" spans="1:14" ht="30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231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231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/>
      <c r="C215"/>
      <c r="D215" s="81"/>
      <c r="E215"/>
      <c r="F215"/>
      <c r="G215"/>
      <c r="H215"/>
      <c r="I215" s="160"/>
      <c r="J215" s="116"/>
    </row>
    <row r="216" spans="1:14" s="1" customFormat="1" ht="15" customHeight="1">
      <c r="A216" s="17"/>
      <c r="B216" s="93"/>
      <c r="C216" s="56"/>
      <c r="D216" s="30"/>
      <c r="E216" s="29"/>
      <c r="F216" s="160"/>
      <c r="G216" s="160"/>
      <c r="H216" s="16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s="1" customFormat="1" ht="15.6">
      <c r="A218" s="109"/>
      <c r="B218" s="33"/>
      <c r="C218" s="327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368</v>
      </c>
      <c r="D220" s="30"/>
      <c r="E220" s="29"/>
      <c r="F220" s="30"/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89"/>
      <c r="J221" s="12"/>
    </row>
    <row r="222" spans="1:14" s="1" customFormat="1" ht="15" customHeight="1">
      <c r="A222" s="109"/>
      <c r="B222" s="33"/>
      <c r="C222" s="327" t="s">
        <v>273</v>
      </c>
      <c r="D222" s="161"/>
      <c r="E222" s="109"/>
      <c r="F222" s="161"/>
      <c r="J222" s="12"/>
    </row>
    <row r="223" spans="1:14" s="1" customFormat="1" ht="15" customHeight="1">
      <c r="A223" s="109"/>
      <c r="B223" s="33"/>
      <c r="C223" s="374">
        <f>$I$133</f>
        <v>4390</v>
      </c>
      <c r="D223" s="161"/>
      <c r="E223" s="35"/>
      <c r="F223" s="161"/>
      <c r="G223" s="68"/>
      <c r="J223" s="12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326"/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326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327"/>
      <c r="D229" s="161"/>
      <c r="E229" s="109"/>
      <c r="F229" s="161"/>
      <c r="H229" s="109"/>
      <c r="I229" s="229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229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229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229"/>
      <c r="J232" s="117"/>
    </row>
    <row r="233" spans="1:10" s="1" customFormat="1" ht="15.9" customHeight="1">
      <c r="A233" s="44"/>
      <c r="B233" s="44"/>
      <c r="C233" s="89" t="s">
        <v>381</v>
      </c>
      <c r="D233" s="84"/>
      <c r="E233" s="44"/>
      <c r="F233" s="44"/>
      <c r="G233" s="109"/>
      <c r="H233" s="109"/>
      <c r="I233" s="229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4364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229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29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109"/>
      <c r="J242" s="24"/>
    </row>
    <row r="243" spans="1:10" s="1" customFormat="1" ht="15.9" customHeight="1">
      <c r="A243" s="109"/>
      <c r="B243" s="33"/>
      <c r="C243" s="89" t="s">
        <v>370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.9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" customHeight="1">
      <c r="A245" s="109"/>
      <c r="B245" s="33"/>
      <c r="C245" s="327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4390</v>
      </c>
      <c r="D246" s="161"/>
      <c r="E246" s="109"/>
      <c r="F246" s="161"/>
      <c r="G246" s="109"/>
      <c r="H246" s="109"/>
      <c r="I246" s="44"/>
      <c r="J246" s="119"/>
    </row>
    <row r="247" spans="1:10" s="1" customFormat="1" ht="15.9" customHeight="1">
      <c r="A247" s="109"/>
      <c r="B247" s="33"/>
      <c r="C247" s="363">
        <f>$J$135</f>
        <v>1</v>
      </c>
      <c r="D247" s="161"/>
      <c r="E247" s="109"/>
      <c r="F247" s="161"/>
      <c r="G247" s="109"/>
      <c r="H247" s="109"/>
      <c r="I247" s="32"/>
      <c r="J247" s="40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0"/>
      <c r="H251" s="109"/>
      <c r="I251" s="24"/>
      <c r="J251" s="24"/>
    </row>
    <row r="252" spans="1:10" s="1" customFormat="1" ht="15.9" customHeight="1">
      <c r="A252" s="109"/>
      <c r="B252" s="33"/>
      <c r="D252" s="161"/>
      <c r="E252" s="109"/>
      <c r="F252" s="109"/>
      <c r="G252" s="109"/>
      <c r="H252" s="109"/>
      <c r="I252" s="24"/>
      <c r="J252" s="24"/>
    </row>
    <row r="253" spans="1:10" s="1" customFormat="1" ht="15.9" customHeight="1">
      <c r="A253" s="44"/>
      <c r="B253" s="44"/>
      <c r="D253" s="84"/>
      <c r="E253" s="44"/>
      <c r="F253" s="44"/>
      <c r="G253" s="109"/>
      <c r="H253" s="109"/>
      <c r="I253" s="24"/>
      <c r="J253" s="24"/>
    </row>
    <row r="254" spans="1:10" s="1" customFormat="1" ht="15.9" customHeight="1">
      <c r="A254" s="40"/>
      <c r="B254" s="40"/>
      <c r="C254" s="89" t="s">
        <v>371</v>
      </c>
      <c r="D254" s="85"/>
      <c r="E254" s="40"/>
      <c r="F254" s="32"/>
      <c r="G254" s="109"/>
      <c r="I254" s="24"/>
      <c r="J254" s="24"/>
    </row>
    <row r="255" spans="1:10" s="1" customFormat="1" ht="15.9" customHeight="1">
      <c r="A255" s="27"/>
      <c r="B255" s="33"/>
      <c r="C255" s="328" t="s">
        <v>275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27" t="s">
        <v>273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74">
        <f>$I$136</f>
        <v>4390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63">
        <f>$J$136</f>
        <v>1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46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161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89" t="s">
        <v>373</v>
      </c>
      <c r="D264" s="161"/>
      <c r="E264" s="109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8" t="s">
        <v>379</v>
      </c>
      <c r="D265" s="328"/>
      <c r="E265" s="328"/>
      <c r="F265" s="109"/>
      <c r="G265" s="109"/>
      <c r="H265" s="109"/>
      <c r="I265" s="24"/>
      <c r="J265" s="24"/>
    </row>
    <row r="266" spans="1:10" s="1" customFormat="1" ht="15.9" customHeight="1">
      <c r="A266" s="27"/>
      <c r="B266" s="33"/>
      <c r="C266" s="327" t="s">
        <v>279</v>
      </c>
      <c r="D266" s="327"/>
      <c r="E266" s="327"/>
      <c r="F266" s="109"/>
      <c r="G266" s="109"/>
      <c r="H266" s="109"/>
      <c r="J266" s="12"/>
    </row>
    <row r="267" spans="1:10" s="1" customFormat="1" ht="15.9" customHeight="1">
      <c r="A267" s="27"/>
      <c r="B267" s="33"/>
      <c r="C267" s="374">
        <f>$I$137</f>
        <v>2500</v>
      </c>
      <c r="D267" s="161"/>
      <c r="E267" s="109"/>
      <c r="F267" s="109"/>
      <c r="G267" s="33"/>
      <c r="H267" s="33"/>
      <c r="J267" s="12"/>
    </row>
    <row r="268" spans="1:10" s="1" customFormat="1" ht="15.9" customHeight="1">
      <c r="A268" s="27"/>
      <c r="B268" s="33"/>
      <c r="C268" s="363">
        <f>$J$137+$J$138</f>
        <v>2</v>
      </c>
      <c r="D268" s="161"/>
      <c r="E268" s="10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D271" s="328"/>
      <c r="E271" s="328"/>
      <c r="F271" s="109"/>
      <c r="G271" s="109"/>
      <c r="H271" s="109"/>
      <c r="J271" s="12"/>
    </row>
    <row r="272" spans="1:10" s="1" customFormat="1" ht="15.9" customHeight="1">
      <c r="A272" s="27"/>
      <c r="B272" s="33"/>
      <c r="D272" s="328"/>
      <c r="E272" s="328"/>
      <c r="F272" s="109"/>
      <c r="G272" s="109"/>
      <c r="I272" s="24"/>
      <c r="J272" s="24"/>
    </row>
    <row r="273" spans="1:10" s="1" customFormat="1" ht="15.9" customHeight="1">
      <c r="A273" s="27"/>
      <c r="B273" s="33"/>
      <c r="C273" s="33"/>
      <c r="D273" s="161"/>
      <c r="E273" s="109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89" t="s">
        <v>383</v>
      </c>
      <c r="D274" s="162"/>
      <c r="E274" s="24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328" t="s">
        <v>649</v>
      </c>
      <c r="D275" s="328"/>
      <c r="E275" s="328"/>
      <c r="F275" s="109"/>
      <c r="G275" s="109"/>
      <c r="I275" s="109"/>
      <c r="J275" s="24"/>
    </row>
    <row r="276" spans="1:10" s="1" customFormat="1" ht="15.9" customHeight="1">
      <c r="A276" s="27"/>
      <c r="B276" s="33"/>
      <c r="C276" s="433" t="s">
        <v>650</v>
      </c>
      <c r="D276" s="327"/>
      <c r="E276" s="327"/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374">
        <f>$I$139</f>
        <v>2404</v>
      </c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363">
        <f>$J$139+$J$140</f>
        <v>2</v>
      </c>
      <c r="F278" s="109"/>
      <c r="G278" s="109"/>
      <c r="I278" s="109"/>
      <c r="J278" s="24"/>
    </row>
    <row r="279" spans="1:10" s="1" customFormat="1" ht="15.9" customHeight="1">
      <c r="A279" s="27"/>
      <c r="B279" s="33"/>
      <c r="F279" s="109"/>
      <c r="G279" s="109"/>
      <c r="H279" s="109"/>
      <c r="J279" s="12"/>
    </row>
    <row r="280" spans="1:10" s="1" customFormat="1" ht="15.9" customHeight="1">
      <c r="A280" s="27"/>
      <c r="B280" s="33"/>
      <c r="F280" s="109"/>
      <c r="G280" s="109"/>
      <c r="H280" s="109"/>
      <c r="J280" s="12"/>
    </row>
    <row r="281" spans="1:10" s="1" customFormat="1" ht="15.9" customHeight="1">
      <c r="A281" s="27"/>
      <c r="B281" s="33"/>
      <c r="C281" s="33"/>
      <c r="D281" s="161"/>
      <c r="E281" s="109"/>
      <c r="F281" s="109"/>
      <c r="G281" s="109"/>
      <c r="H281" s="109"/>
      <c r="J281" s="12"/>
    </row>
    <row r="282" spans="1:10" s="1" customFormat="1" ht="15.9" customHeight="1">
      <c r="A282" s="27"/>
      <c r="B282" s="33"/>
      <c r="F282" s="109"/>
      <c r="G282" s="109"/>
      <c r="H282" s="109"/>
      <c r="J282" s="12"/>
    </row>
    <row r="283" spans="1:10" s="1" customFormat="1" ht="15.9" customHeight="1">
      <c r="A283" s="27"/>
      <c r="B283" s="33"/>
      <c r="F283" s="109"/>
      <c r="G283" s="109"/>
      <c r="H283" s="109"/>
      <c r="I283" s="162"/>
      <c r="J283" s="24"/>
    </row>
    <row r="284" spans="1:10" s="1" customFormat="1" ht="15.9" customHeight="1">
      <c r="A284" s="27"/>
      <c r="B284" s="33"/>
      <c r="C284" s="89" t="s">
        <v>375</v>
      </c>
      <c r="F284" s="109"/>
      <c r="G284" s="109"/>
      <c r="H284" s="109"/>
      <c r="I284" s="109"/>
      <c r="J284" s="24"/>
    </row>
    <row r="285" spans="1:10" s="1" customFormat="1" ht="15.9" customHeight="1">
      <c r="A285" s="27"/>
      <c r="B285" s="33"/>
      <c r="C285" s="94" t="s">
        <v>444</v>
      </c>
      <c r="D285" s="161"/>
      <c r="E285" s="109"/>
      <c r="F285" s="109"/>
      <c r="G285" s="109"/>
      <c r="H285" s="109"/>
      <c r="I285" s="24"/>
      <c r="J285" s="24"/>
    </row>
    <row r="286" spans="1:10" s="1" customFormat="1" ht="15.9" customHeight="1">
      <c r="A286" s="27"/>
      <c r="B286" s="33"/>
      <c r="C286" s="327" t="s">
        <v>445</v>
      </c>
      <c r="D286" s="161"/>
      <c r="E286" s="109"/>
      <c r="F286" s="109"/>
      <c r="G286" s="109"/>
      <c r="H286" s="109"/>
      <c r="I286" s="24"/>
      <c r="J286" s="24"/>
    </row>
    <row r="287" spans="1:10" s="1" customFormat="1" ht="15.9" customHeight="1">
      <c r="A287" s="27"/>
      <c r="B287" s="33"/>
      <c r="C287" s="328" t="s">
        <v>281</v>
      </c>
      <c r="D287" s="328"/>
      <c r="E287" s="328"/>
      <c r="F287" s="109"/>
      <c r="G287" s="109"/>
      <c r="I287" s="24"/>
      <c r="J287" s="24"/>
    </row>
    <row r="288" spans="1:10" s="23" customFormat="1" ht="15.9" customHeight="1">
      <c r="A288" s="27"/>
      <c r="B288" s="33"/>
      <c r="C288" s="327" t="s">
        <v>282</v>
      </c>
      <c r="D288" s="327"/>
      <c r="E288" s="327"/>
      <c r="F288" s="109"/>
      <c r="G288" s="109"/>
      <c r="H288" s="1"/>
      <c r="I288" s="109"/>
      <c r="J288" s="109"/>
    </row>
    <row r="289" spans="1:10" s="1" customFormat="1" ht="15.9" customHeight="1">
      <c r="A289" s="27"/>
      <c r="B289" s="33"/>
      <c r="C289" s="374">
        <f>$I$141</f>
        <v>512.21428571428567</v>
      </c>
      <c r="F289" s="109"/>
      <c r="G289" s="109"/>
      <c r="I289" s="44"/>
      <c r="J289" s="119"/>
    </row>
    <row r="290" spans="1:10" s="1" customFormat="1" ht="15.9" customHeight="1">
      <c r="A290" s="27"/>
      <c r="B290" s="33"/>
      <c r="C290" s="363">
        <f>$J$141+$J$142</f>
        <v>14</v>
      </c>
      <c r="D290" s="161"/>
      <c r="E290" s="109"/>
      <c r="F290" s="109"/>
      <c r="G290" s="109"/>
      <c r="H290" s="161"/>
      <c r="I290" s="32"/>
      <c r="J290" s="40"/>
    </row>
    <row r="291" spans="1:10" s="1" customFormat="1" ht="15.9" customHeight="1">
      <c r="A291" s="27"/>
      <c r="B291" s="33"/>
      <c r="C291" s="374">
        <f>$I$143</f>
        <v>2408</v>
      </c>
      <c r="D291" s="161"/>
      <c r="E291" s="109"/>
      <c r="F291" s="109"/>
      <c r="G291" s="109"/>
      <c r="H291" s="109"/>
      <c r="I291" s="24"/>
      <c r="J291" s="24"/>
    </row>
    <row r="292" spans="1:10" s="1" customFormat="1" ht="15.9" customHeight="1">
      <c r="A292" s="27"/>
      <c r="B292" s="33"/>
      <c r="C292" s="363">
        <f>$J$143+$J$144+$J$145+$J$146</f>
        <v>14</v>
      </c>
      <c r="D292" s="161"/>
      <c r="E292" s="109"/>
      <c r="F292" s="109"/>
      <c r="G292" s="109"/>
      <c r="H292" s="109"/>
      <c r="I292" s="24"/>
      <c r="J292" s="24"/>
    </row>
    <row r="293" spans="1:10" s="1" customFormat="1" ht="15.9" customHeight="1">
      <c r="A293" s="27"/>
      <c r="B293" s="33"/>
      <c r="D293" s="161"/>
      <c r="E293" s="109"/>
      <c r="F293" s="109"/>
      <c r="G293" s="109"/>
      <c r="H293" s="109"/>
      <c r="I293" s="24"/>
      <c r="J293" s="24"/>
    </row>
    <row r="294" spans="1:10" s="1" customFormat="1" ht="15.9" customHeight="1">
      <c r="A294" s="27"/>
      <c r="B294" s="33"/>
      <c r="C294" s="33"/>
      <c r="D294" s="161"/>
      <c r="E294" s="109"/>
      <c r="F294" s="109"/>
      <c r="G294" s="109"/>
      <c r="H294" s="109"/>
      <c r="I294" s="109"/>
      <c r="J294" s="24"/>
    </row>
    <row r="295" spans="1:10" s="1" customFormat="1" ht="15.9" customHeight="1">
      <c r="A295" s="27"/>
      <c r="B295" s="33"/>
      <c r="C295" s="23"/>
      <c r="D295" s="161"/>
      <c r="E295" s="109"/>
      <c r="F295" s="109"/>
      <c r="G295" s="109"/>
      <c r="H295" s="109"/>
      <c r="I295" s="109"/>
      <c r="J295" s="24"/>
    </row>
    <row r="296" spans="1:10" s="1" customFormat="1" ht="15.9" customHeight="1">
      <c r="A296" s="27"/>
      <c r="B296" s="33"/>
      <c r="C296" s="89" t="s">
        <v>376</v>
      </c>
      <c r="D296" s="161"/>
      <c r="E296" s="109"/>
      <c r="F296" s="109"/>
      <c r="G296" s="109"/>
      <c r="H296" s="109"/>
      <c r="I296" s="109"/>
      <c r="J296" s="24"/>
    </row>
    <row r="297" spans="1:10" s="1" customFormat="1" ht="15.9" customHeight="1">
      <c r="A297" s="27"/>
      <c r="B297" s="33"/>
      <c r="C297" s="94" t="s">
        <v>444</v>
      </c>
      <c r="D297" s="161"/>
      <c r="E297" s="109"/>
      <c r="F297" s="109"/>
      <c r="G297" s="44"/>
      <c r="H297" s="44"/>
      <c r="I297" s="109"/>
      <c r="J297" s="24"/>
    </row>
    <row r="298" spans="1:10" s="1" customFormat="1" ht="15.9" customHeight="1">
      <c r="A298" s="27"/>
      <c r="B298" s="33"/>
      <c r="C298" s="327" t="s">
        <v>445</v>
      </c>
      <c r="D298" s="328"/>
      <c r="E298" s="328"/>
      <c r="F298" s="109"/>
      <c r="G298" s="40"/>
      <c r="H298" s="32"/>
      <c r="I298" s="109"/>
      <c r="J298" s="24"/>
    </row>
    <row r="299" spans="1:10" s="1" customFormat="1" ht="15.9" customHeight="1">
      <c r="A299" s="41"/>
      <c r="B299" s="33"/>
      <c r="C299" s="328" t="s">
        <v>286</v>
      </c>
      <c r="D299" s="327"/>
      <c r="E299" s="327"/>
      <c r="F299" s="109"/>
      <c r="G299" s="109"/>
      <c r="H299" s="109"/>
      <c r="I299" s="109"/>
      <c r="J299" s="24"/>
    </row>
    <row r="300" spans="1:10" s="1" customFormat="1" ht="15.9" customHeight="1">
      <c r="A300" s="44"/>
      <c r="B300" s="44"/>
      <c r="C300" s="327" t="s">
        <v>285</v>
      </c>
      <c r="D300" s="86"/>
      <c r="E300" s="79"/>
      <c r="F300" s="44"/>
      <c r="G300" s="109"/>
      <c r="H300" s="109"/>
      <c r="I300" s="109"/>
      <c r="J300" s="24"/>
    </row>
    <row r="301" spans="1:10" s="1" customFormat="1" ht="15.9" customHeight="1">
      <c r="A301" s="40"/>
      <c r="B301" s="40"/>
      <c r="C301" s="374">
        <f>$I$147</f>
        <v>512.21428571428567</v>
      </c>
      <c r="D301" s="87"/>
      <c r="E301" s="80"/>
      <c r="F301" s="32"/>
      <c r="G301" s="109"/>
      <c r="H301" s="109"/>
      <c r="I301" s="109"/>
      <c r="J301" s="24"/>
    </row>
    <row r="302" spans="1:10" s="1" customFormat="1" ht="15.9" customHeight="1">
      <c r="A302" s="109"/>
      <c r="B302" s="33"/>
      <c r="C302" s="363">
        <f>$J$147</f>
        <v>14</v>
      </c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C303" s="374">
        <f>$I$148</f>
        <v>2258</v>
      </c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C304" s="363">
        <f>$J$148</f>
        <v>14</v>
      </c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D306" s="15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89" t="s">
        <v>377</v>
      </c>
      <c r="D307" s="161"/>
      <c r="E307" s="109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328" t="s">
        <v>281</v>
      </c>
      <c r="D308" s="328"/>
      <c r="E308" s="328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542" t="s">
        <v>282</v>
      </c>
      <c r="D309" s="542"/>
      <c r="E309" s="542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74">
        <f>$I$149</f>
        <v>2408</v>
      </c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C311" s="363">
        <f>$J$149+$J$150</f>
        <v>2</v>
      </c>
      <c r="D311" s="328"/>
      <c r="E311" s="328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33"/>
      <c r="D314" s="162"/>
      <c r="E314" s="24"/>
      <c r="F314" s="109"/>
      <c r="G314" s="109"/>
      <c r="H314" s="109"/>
      <c r="I314" s="27"/>
      <c r="J314" s="99" t="str">
        <f>LEFT($J$111,13)&amp;"-03"</f>
        <v>FG-240-7P5L2R-03</v>
      </c>
    </row>
    <row r="315" spans="1:14" ht="12.75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30" customHeight="1">
      <c r="A316" s="17"/>
      <c r="B316" s="26"/>
      <c r="C316" s="26"/>
      <c r="D316" s="83"/>
      <c r="E316" s="25"/>
      <c r="F316" s="25"/>
      <c r="G316" s="25"/>
      <c r="H316" s="25"/>
      <c r="I316" s="179"/>
      <c r="J316" s="90" t="str">
        <f>$J$2</f>
        <v>HOMELIFE</v>
      </c>
    </row>
    <row r="317" spans="1:14" ht="24.9" customHeight="1">
      <c r="B317" s="231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231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s="1" customFormat="1" ht="15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  <c r="K320" s="4"/>
      <c r="L320" s="4"/>
      <c r="M320" s="4"/>
      <c r="N320" s="4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228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228"/>
      <c r="I331" s="161"/>
      <c r="J331" s="109"/>
    </row>
    <row r="332" spans="1:10" s="1" customFormat="1" ht="15" customHeight="1">
      <c r="A332" s="64" t="str">
        <f>A18</f>
        <v>240-7 Panel (5L2R)</v>
      </c>
      <c r="B332" s="92"/>
      <c r="C332" s="161"/>
      <c r="D332" s="161"/>
      <c r="E332" s="109"/>
      <c r="F332" s="228"/>
      <c r="G332" s="228"/>
      <c r="H332" s="228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92"/>
      <c r="C333" s="161"/>
      <c r="D333" s="161"/>
      <c r="E333" s="109"/>
      <c r="F333" s="228"/>
      <c r="G333" s="228"/>
      <c r="H333" s="228"/>
      <c r="I333" s="109"/>
      <c r="J333" s="109"/>
    </row>
    <row r="334" spans="1:10" s="1" customFormat="1" ht="15.9" customHeight="1">
      <c r="A334" s="109"/>
      <c r="B334" s="45"/>
      <c r="C334" s="42"/>
      <c r="D334" s="161"/>
      <c r="E334" s="109"/>
      <c r="F334" s="507"/>
      <c r="G334" s="507"/>
      <c r="H334" s="228"/>
      <c r="I334" s="109"/>
      <c r="J334" s="109"/>
    </row>
    <row r="335" spans="1:10" s="1" customFormat="1" ht="15.9" customHeight="1">
      <c r="A335" s="39"/>
      <c r="B335" s="109"/>
      <c r="C335" s="161"/>
      <c r="D335" s="161"/>
      <c r="E335" s="109"/>
      <c r="F335" s="37"/>
      <c r="G335" s="38"/>
      <c r="H335" s="109"/>
      <c r="I335" s="109"/>
      <c r="J335" s="109"/>
    </row>
    <row r="336" spans="1:10" s="1" customFormat="1" ht="15.9" customHeight="1">
      <c r="A336" s="44"/>
      <c r="C336" s="43"/>
      <c r="D336" s="161"/>
      <c r="E336" s="109"/>
      <c r="F336" s="109"/>
      <c r="G336" s="109"/>
      <c r="H336" s="109"/>
      <c r="I336" s="44"/>
      <c r="J336" s="119"/>
    </row>
    <row r="337" spans="1:10" s="1" customFormat="1" ht="15.9" customHeight="1">
      <c r="A337" s="40"/>
      <c r="C337" s="44"/>
      <c r="D337" s="84"/>
      <c r="E337" s="44"/>
      <c r="F337" s="44"/>
      <c r="G337" s="44"/>
      <c r="H337" s="44"/>
      <c r="I337" s="32"/>
      <c r="J337" s="40"/>
    </row>
    <row r="338" spans="1:10" s="1" customFormat="1" ht="15.9" customHeight="1">
      <c r="A338" s="109"/>
      <c r="C338" s="161"/>
      <c r="D338" s="85"/>
      <c r="E338" s="40"/>
      <c r="F338" s="32"/>
      <c r="G338" s="40"/>
      <c r="H338" s="32"/>
      <c r="I338" s="24"/>
      <c r="J338" s="24"/>
    </row>
    <row r="339" spans="1:10" s="1" customFormat="1" ht="15.9" customHeight="1">
      <c r="A339" s="109"/>
      <c r="C339" s="163"/>
      <c r="D339" s="161"/>
      <c r="E339" s="109"/>
      <c r="F339" s="161"/>
      <c r="G339" s="109"/>
      <c r="H339" s="109"/>
      <c r="I339" s="24"/>
      <c r="J339" s="24"/>
    </row>
    <row r="340" spans="1:10" s="1" customFormat="1" ht="15.9" customHeight="1">
      <c r="A340" s="109"/>
      <c r="B340" s="33"/>
      <c r="C340" s="161"/>
      <c r="D340" s="161"/>
      <c r="E340" s="109"/>
      <c r="F340" s="161"/>
      <c r="G340" s="109"/>
      <c r="H340" s="109"/>
      <c r="I340" s="162"/>
      <c r="J340" s="162"/>
    </row>
    <row r="341" spans="1:10" s="1" customFormat="1" ht="15.9" customHeight="1">
      <c r="A341" s="109"/>
      <c r="B341" s="33"/>
      <c r="C341" s="44"/>
      <c r="D341" s="161"/>
      <c r="E341" s="109"/>
      <c r="F341" s="161"/>
      <c r="G341" s="109"/>
      <c r="H341" s="162"/>
      <c r="I341" s="161"/>
      <c r="J341" s="161"/>
    </row>
    <row r="342" spans="1:10" s="1" customFormat="1" ht="15.9" customHeight="1">
      <c r="A342" s="109"/>
      <c r="B342" s="33"/>
      <c r="C342" s="42"/>
      <c r="D342" s="161"/>
      <c r="E342" s="109"/>
      <c r="F342" s="161"/>
      <c r="G342" s="109"/>
      <c r="H342" s="161"/>
      <c r="I342" s="161"/>
      <c r="J342" s="161"/>
    </row>
    <row r="343" spans="1:10" s="1" customFormat="1" ht="15.9" customHeight="1">
      <c r="A343" s="109"/>
      <c r="B343" s="33"/>
      <c r="C343" s="163"/>
      <c r="D343" s="161"/>
      <c r="E343" s="109"/>
      <c r="F343" s="161"/>
      <c r="G343" s="109"/>
      <c r="H343" s="161"/>
      <c r="I343" s="109"/>
      <c r="J343" s="24"/>
    </row>
    <row r="344" spans="1:10" s="1" customFormat="1" ht="15.9" customHeight="1">
      <c r="A344" s="109"/>
      <c r="B344" s="33"/>
      <c r="C344" s="161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44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3"/>
      <c r="D350" s="161"/>
      <c r="E350" s="109"/>
      <c r="F350" s="161"/>
      <c r="G350" s="109"/>
      <c r="H350" s="109"/>
      <c r="I350" s="109"/>
      <c r="J350" s="24"/>
    </row>
    <row r="351" spans="1:10" s="1" customFormat="1" ht="15.9" customHeight="1">
      <c r="A351" s="109"/>
      <c r="B351" s="33"/>
      <c r="C351" s="161"/>
      <c r="D351" s="161"/>
      <c r="E351" s="109"/>
      <c r="F351" s="161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1" customFormat="1" ht="15" customHeight="1">
      <c r="A353" s="109"/>
      <c r="B353" s="33"/>
      <c r="C353" s="33"/>
      <c r="D353" s="161"/>
      <c r="E353" s="109"/>
      <c r="F353" s="109"/>
      <c r="G353" s="109"/>
      <c r="H353" s="107"/>
      <c r="I353" s="24"/>
      <c r="J353" s="24"/>
    </row>
    <row r="354" spans="1:10" s="23" customFormat="1" ht="15.9" customHeight="1">
      <c r="A354" s="109"/>
      <c r="B354" s="33"/>
      <c r="C354" s="33"/>
      <c r="D354" s="161"/>
      <c r="E354" s="109"/>
      <c r="F354" s="109"/>
      <c r="G354" s="109"/>
      <c r="H354" s="109"/>
      <c r="I354" s="109"/>
      <c r="J354" s="109"/>
    </row>
    <row r="355" spans="1:10" s="1" customFormat="1" ht="15.9" customHeight="1">
      <c r="A355" s="44"/>
      <c r="B355" s="33"/>
      <c r="C355" s="33"/>
      <c r="D355" s="161"/>
      <c r="E355" s="109"/>
      <c r="F355" s="109"/>
      <c r="G355" s="109"/>
      <c r="H355" s="109"/>
      <c r="I355" s="44"/>
      <c r="J355" s="119"/>
    </row>
    <row r="356" spans="1:10" s="1" customFormat="1" ht="15.9" customHeight="1">
      <c r="A356" s="40"/>
      <c r="B356" s="44"/>
      <c r="C356" s="44"/>
      <c r="D356" s="84"/>
      <c r="E356" s="44"/>
      <c r="F356" s="44"/>
      <c r="G356" s="44"/>
      <c r="H356" s="44"/>
      <c r="I356" s="32"/>
      <c r="J356" s="40"/>
    </row>
    <row r="357" spans="1:10" s="1" customFormat="1" ht="15.9" customHeight="1">
      <c r="A357" s="27"/>
      <c r="B357" s="40"/>
      <c r="C357" s="44"/>
      <c r="D357" s="85"/>
      <c r="E357" s="40"/>
      <c r="F357" s="32"/>
      <c r="G357" s="40"/>
      <c r="H357" s="32"/>
      <c r="I357" s="24"/>
      <c r="J357" s="24"/>
    </row>
    <row r="358" spans="1:10" s="1" customFormat="1" ht="15.9" customHeight="1">
      <c r="A358" s="27"/>
      <c r="B358" s="33"/>
      <c r="C358" s="42"/>
      <c r="D358" s="161"/>
      <c r="E358" s="109"/>
      <c r="F358" s="109"/>
      <c r="G358" s="109"/>
      <c r="H358" s="42"/>
      <c r="I358" s="163"/>
      <c r="J358" s="163"/>
    </row>
    <row r="359" spans="1:10" s="1" customFormat="1" ht="15.9" customHeight="1">
      <c r="A359" s="27"/>
      <c r="B359" s="33"/>
      <c r="C359" s="163"/>
      <c r="D359" s="161"/>
      <c r="E359" s="109"/>
      <c r="F359" s="109"/>
      <c r="G359" s="109"/>
      <c r="H359" s="163"/>
      <c r="I359" s="161"/>
      <c r="J359" s="161"/>
    </row>
    <row r="360" spans="1:10" s="1" customFormat="1" ht="15.9" customHeight="1">
      <c r="A360" s="27"/>
      <c r="B360" s="33"/>
      <c r="C360" s="161"/>
      <c r="D360" s="161"/>
      <c r="E360" s="109"/>
      <c r="F360" s="109"/>
      <c r="G360" s="109"/>
      <c r="H360" s="161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46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161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D372" s="161"/>
      <c r="E372" s="109"/>
      <c r="F372" s="109"/>
      <c r="G372" s="33"/>
      <c r="H372" s="33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42"/>
      <c r="I376" s="163"/>
      <c r="J376" s="163"/>
    </row>
    <row r="377" spans="1:10" s="1" customFormat="1" ht="15.9" customHeight="1">
      <c r="A377" s="27"/>
      <c r="B377" s="33"/>
      <c r="C377" s="47"/>
      <c r="D377" s="161"/>
      <c r="E377" s="109"/>
      <c r="F377" s="109"/>
      <c r="G377" s="109"/>
      <c r="H377" s="163"/>
      <c r="I377" s="161"/>
      <c r="J377" s="161"/>
    </row>
    <row r="378" spans="1:10" s="1" customFormat="1" ht="15.9" customHeight="1">
      <c r="A378" s="27"/>
      <c r="B378" s="33"/>
      <c r="C378" s="46"/>
      <c r="D378" s="161"/>
      <c r="E378" s="109"/>
      <c r="F378" s="109"/>
      <c r="G378" s="109"/>
      <c r="H378" s="161"/>
      <c r="I378" s="24"/>
      <c r="J378" s="24"/>
    </row>
    <row r="379" spans="1:10" s="1" customFormat="1" ht="15.9" customHeight="1">
      <c r="A379" s="27"/>
      <c r="B379" s="33"/>
      <c r="C379" s="161"/>
      <c r="D379" s="161"/>
      <c r="E379" s="109"/>
      <c r="F379" s="109"/>
      <c r="G379" s="109"/>
      <c r="H379" s="42"/>
      <c r="I379" s="163"/>
      <c r="J379" s="163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3"/>
      <c r="I380" s="161"/>
      <c r="J380" s="161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1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64"/>
      <c r="J388" s="16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4"/>
      <c r="I389" s="165"/>
      <c r="J389" s="165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5"/>
      <c r="I390" s="161"/>
      <c r="J390" s="161"/>
    </row>
    <row r="391" spans="1:10" s="1" customFormat="1" ht="15.9" customHeight="1">
      <c r="A391" s="27"/>
      <c r="B391" s="33"/>
      <c r="C391" s="47"/>
      <c r="D391" s="161"/>
      <c r="E391" s="109"/>
      <c r="F391" s="109"/>
      <c r="G391" s="109"/>
      <c r="H391" s="161"/>
      <c r="I391" s="24"/>
      <c r="J391" s="24"/>
    </row>
    <row r="392" spans="1:10" s="1" customFormat="1" ht="15.9" customHeight="1">
      <c r="A392" s="27"/>
      <c r="B392" s="33"/>
      <c r="C392" s="46"/>
      <c r="D392" s="161"/>
      <c r="E392" s="109"/>
      <c r="F392" s="109"/>
      <c r="G392" s="109"/>
      <c r="H392" s="109"/>
      <c r="I392" s="109"/>
      <c r="J392" s="24"/>
    </row>
    <row r="393" spans="1:10" s="1" customFormat="1" ht="15.9" customHeight="1">
      <c r="A393" s="27"/>
      <c r="B393" s="33"/>
      <c r="C393" s="161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23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1" customFormat="1" ht="15.9" customHeight="1">
      <c r="A405" s="44"/>
      <c r="B405" s="33"/>
      <c r="C405" s="33"/>
      <c r="D405" s="161"/>
      <c r="E405" s="109"/>
      <c r="F405" s="109"/>
      <c r="G405" s="109"/>
      <c r="H405" s="109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109"/>
      <c r="B419" s="44"/>
      <c r="C419" s="44"/>
      <c r="D419" s="84"/>
      <c r="E419" s="44"/>
      <c r="F419" s="44"/>
      <c r="G419" s="44"/>
      <c r="H419" s="44"/>
      <c r="I419" s="24"/>
      <c r="J419" s="24"/>
      <c r="K419" s="71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LEFT($J$111,13)&amp;"-04"</f>
        <v>FG-240-7P5L2R-04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A423" s="109"/>
      <c r="B423" s="33"/>
      <c r="C423" s="33"/>
      <c r="D423" s="161"/>
      <c r="E423" s="109"/>
      <c r="F423" s="109"/>
      <c r="G423" s="109"/>
      <c r="H423" s="109"/>
      <c r="I423" s="109"/>
      <c r="J423" s="90" t="str">
        <f>$J$2</f>
        <v>HOMELIFE</v>
      </c>
      <c r="K423" s="7"/>
      <c r="L423" s="7"/>
      <c r="M423" s="2"/>
      <c r="N423" s="2"/>
    </row>
    <row r="424" spans="1:14" ht="24.9" customHeight="1">
      <c r="A424" s="109"/>
      <c r="B424" s="33"/>
      <c r="C424" s="33"/>
      <c r="D424" s="161"/>
      <c r="E424" s="109"/>
      <c r="F424" s="109"/>
      <c r="G424" s="109"/>
      <c r="H424" s="109"/>
      <c r="I424" s="109"/>
      <c r="J424" s="91" t="str">
        <f>$J$3</f>
        <v>Fabricators Guide</v>
      </c>
      <c r="K424" s="7"/>
      <c r="L424" s="7"/>
      <c r="M424" s="2"/>
      <c r="N424" s="2"/>
    </row>
    <row r="425" spans="1:14" ht="24.9" customHeight="1">
      <c r="B425" s="231"/>
      <c r="C425" s="28"/>
      <c r="D425" s="28"/>
      <c r="E425" s="28"/>
      <c r="F425" s="28"/>
      <c r="G425" s="28"/>
      <c r="H425" s="28"/>
      <c r="I425" s="28"/>
      <c r="J425" s="91" t="str">
        <f>$J$4</f>
        <v xml:space="preserve">240 Series Bi Fold Door </v>
      </c>
      <c r="K425" s="48"/>
      <c r="L425" s="48"/>
      <c r="M425" s="4"/>
      <c r="N425" s="4"/>
    </row>
    <row r="426" spans="1:14" s="1" customFormat="1" ht="15" customHeight="1" thickBot="1">
      <c r="A426" s="78"/>
      <c r="B426" s="8"/>
      <c r="C426" s="28"/>
      <c r="D426" s="28"/>
      <c r="E426" s="28"/>
      <c r="F426" s="28"/>
      <c r="G426" s="28"/>
      <c r="H426" s="2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  <c r="K427" s="4"/>
      <c r="L427" s="4"/>
      <c r="M427" s="4"/>
      <c r="N427" s="4"/>
    </row>
    <row r="428" spans="1:14" s="1" customFormat="1" ht="15" customHeight="1">
      <c r="A428" s="193"/>
      <c r="B428" s="194"/>
      <c r="C428" s="194"/>
      <c r="D428" s="194"/>
      <c r="E428" s="194"/>
      <c r="F428" s="194"/>
      <c r="G428" s="194"/>
      <c r="H428" s="194"/>
      <c r="I428" s="193"/>
      <c r="K428" s="56"/>
      <c r="L428" s="56"/>
      <c r="M428" s="56"/>
      <c r="N428" s="56"/>
    </row>
    <row r="429" spans="1:14" s="1" customFormat="1" ht="15" customHeight="1">
      <c r="A429" s="45"/>
      <c r="B429" s="193"/>
      <c r="C429" s="193"/>
      <c r="D429" s="193"/>
      <c r="E429" s="193"/>
      <c r="F429" s="193"/>
      <c r="G429" s="193"/>
      <c r="H429" s="193"/>
      <c r="I429" s="44"/>
      <c r="J429" s="119"/>
    </row>
    <row r="430" spans="1:14" s="1" customFormat="1" ht="15" customHeight="1">
      <c r="A430" s="109"/>
      <c r="B430" s="39"/>
      <c r="C430" s="33"/>
      <c r="D430" s="161"/>
      <c r="E430" s="35"/>
      <c r="F430" s="39"/>
      <c r="G430" s="193"/>
      <c r="H430" s="44"/>
      <c r="I430" s="44"/>
      <c r="J430" s="119"/>
    </row>
    <row r="431" spans="1:14" s="1" customFormat="1" ht="15" customHeight="1">
      <c r="A431" s="109"/>
      <c r="B431" s="33"/>
      <c r="C431" s="33"/>
      <c r="D431" s="161"/>
      <c r="E431" s="35"/>
      <c r="F431" s="161"/>
      <c r="G431" s="193"/>
      <c r="H431" s="44"/>
      <c r="I431" s="44"/>
      <c r="J431" s="119"/>
    </row>
    <row r="432" spans="1:14" s="1" customFormat="1" ht="15" customHeight="1">
      <c r="A432" s="109"/>
      <c r="B432" s="56"/>
      <c r="C432" s="56"/>
      <c r="D432" s="30"/>
      <c r="E432" s="29"/>
      <c r="F432" s="30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109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3"/>
      <c r="H434" s="44"/>
      <c r="I434" s="44"/>
      <c r="J434" s="119"/>
    </row>
    <row r="435" spans="1:10" s="1" customFormat="1" ht="15" customHeight="1">
      <c r="A435" s="109"/>
      <c r="B435" s="33"/>
      <c r="C435" s="161"/>
      <c r="D435" s="161"/>
      <c r="E435" s="35"/>
      <c r="F435" s="161"/>
      <c r="H435" s="44"/>
      <c r="I435" s="44"/>
      <c r="J435" s="119"/>
    </row>
    <row r="436" spans="1:10" s="1" customFormat="1" ht="15" customHeight="1">
      <c r="A436" s="39"/>
      <c r="B436" s="33"/>
      <c r="C436" s="42"/>
      <c r="D436" s="161"/>
      <c r="E436" s="109"/>
      <c r="F436" s="69"/>
      <c r="H436" s="44"/>
      <c r="I436" s="44"/>
      <c r="J436" s="119"/>
    </row>
    <row r="437" spans="1:10" s="1" customFormat="1" ht="15" customHeight="1">
      <c r="A437" s="92"/>
      <c r="B437" s="39"/>
      <c r="C437" s="163"/>
      <c r="D437" s="161"/>
      <c r="E437" s="109"/>
      <c r="F437" s="68"/>
      <c r="H437" s="44"/>
      <c r="I437" s="44"/>
      <c r="J437" s="119"/>
    </row>
    <row r="438" spans="1:10" s="1" customFormat="1" ht="15" customHeight="1">
      <c r="B438" s="92"/>
      <c r="C438" s="161"/>
      <c r="D438" s="161"/>
      <c r="E438" s="109"/>
      <c r="F438" s="228"/>
      <c r="H438" s="44"/>
      <c r="I438" s="44"/>
      <c r="J438" s="119"/>
    </row>
    <row r="439" spans="1:10" s="1" customFormat="1" ht="15" customHeight="1">
      <c r="A439" s="64" t="str">
        <f>A18</f>
        <v>240-7 Panel (5L2R)</v>
      </c>
      <c r="B439" s="92"/>
      <c r="C439" s="161"/>
      <c r="D439" s="161"/>
      <c r="E439" s="109"/>
      <c r="F439" s="228"/>
      <c r="H439" s="44"/>
      <c r="I439" s="44"/>
      <c r="J439" s="119"/>
    </row>
    <row r="440" spans="1:10" s="1" customFormat="1" ht="15.9" customHeight="1">
      <c r="A440" s="76" t="str">
        <f>A19</f>
        <v xml:space="preserve">Outside Bi Fold Door </v>
      </c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44"/>
      <c r="B442" s="38"/>
      <c r="C442" s="43"/>
      <c r="D442" s="161"/>
      <c r="E442" s="109"/>
      <c r="F442" s="109"/>
      <c r="H442" s="44"/>
      <c r="I442" s="44"/>
      <c r="J442" s="119"/>
    </row>
    <row r="443" spans="1:10" s="1" customFormat="1" ht="15.9" customHeight="1">
      <c r="A443" s="40"/>
      <c r="C443" s="44"/>
      <c r="D443" s="84"/>
      <c r="E443" s="44"/>
      <c r="F443" s="44"/>
      <c r="H443" s="44"/>
      <c r="I443" s="44"/>
      <c r="J443" s="119"/>
    </row>
    <row r="444" spans="1:10" ht="15.6">
      <c r="B444" s="64"/>
      <c r="C444" s="163"/>
      <c r="D444" s="161"/>
      <c r="E444" s="109"/>
      <c r="F444" s="161"/>
      <c r="G444" s="109"/>
      <c r="H444" s="109"/>
    </row>
    <row r="449" spans="1:10" s="1" customFormat="1" ht="15.9" customHeight="1">
      <c r="A449" s="109"/>
      <c r="B449"/>
      <c r="C449"/>
      <c r="D449" s="81"/>
      <c r="E449"/>
      <c r="F449"/>
      <c r="G449"/>
      <c r="H449"/>
      <c r="I449" s="24"/>
      <c r="J449" s="24"/>
    </row>
    <row r="450" spans="1:10" s="1" customFormat="1" ht="15.9" customHeight="1">
      <c r="A450" s="109"/>
      <c r="B450" s="33"/>
      <c r="C450" s="33"/>
      <c r="D450" s="161"/>
      <c r="E450" s="109"/>
      <c r="F450" s="161"/>
      <c r="G450" s="109"/>
      <c r="H450" s="109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44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161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3"/>
      <c r="D455" s="161"/>
      <c r="E455" s="109"/>
      <c r="F455" s="161"/>
      <c r="G455" s="109"/>
      <c r="H455" s="109"/>
      <c r="I455" s="109"/>
      <c r="J455" s="24"/>
    </row>
    <row r="456" spans="1:10" s="1" customFormat="1" ht="15.9" customHeight="1">
      <c r="A456" s="109"/>
      <c r="B456" s="33"/>
      <c r="C456" s="161"/>
      <c r="D456" s="161"/>
      <c r="E456" s="109"/>
      <c r="F456" s="161"/>
      <c r="G456" s="109"/>
      <c r="H456" s="109"/>
      <c r="I456" s="24"/>
      <c r="J456" s="24"/>
    </row>
    <row r="457" spans="1:10" s="1" customFormat="1" ht="15.9" customHeight="1">
      <c r="A457" s="109"/>
      <c r="B457" s="33"/>
      <c r="C457" s="33"/>
      <c r="D457" s="161"/>
      <c r="E457" s="109"/>
      <c r="F457" s="109"/>
      <c r="G457" s="109"/>
      <c r="H457" s="109"/>
      <c r="I457" s="24"/>
      <c r="J457" s="24"/>
    </row>
    <row r="458" spans="1:10" s="1" customFormat="1" ht="15" customHeight="1">
      <c r="A458" s="109"/>
      <c r="B458" s="33"/>
      <c r="C458" s="33"/>
      <c r="D458" s="161"/>
      <c r="E458" s="109"/>
      <c r="F458" s="109"/>
      <c r="G458" s="109"/>
      <c r="H458" s="107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9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23" customFormat="1" ht="15.9" customHeight="1">
      <c r="A476" s="109"/>
      <c r="B476" s="33"/>
      <c r="C476" s="33"/>
      <c r="D476" s="161"/>
      <c r="E476" s="109"/>
      <c r="F476" s="109"/>
      <c r="G476" s="109"/>
      <c r="H476" s="109"/>
      <c r="I476" s="109"/>
      <c r="J476" s="109"/>
    </row>
    <row r="477" spans="1:10" s="1" customFormat="1" ht="15.9" customHeight="1">
      <c r="A477" s="44"/>
      <c r="B477" s="33"/>
      <c r="C477" s="33"/>
      <c r="D477" s="161"/>
      <c r="E477" s="109"/>
      <c r="F477" s="109"/>
      <c r="G477" s="109"/>
      <c r="H477" s="109"/>
      <c r="I477" s="44"/>
      <c r="J477" s="119"/>
    </row>
    <row r="478" spans="1:10" s="1" customFormat="1" ht="15.9" customHeight="1">
      <c r="A478" s="40"/>
      <c r="B478" s="44"/>
      <c r="C478" s="44"/>
      <c r="D478" s="84"/>
      <c r="E478" s="44"/>
      <c r="F478" s="44"/>
      <c r="G478" s="44"/>
      <c r="H478" s="44"/>
      <c r="I478" s="32"/>
      <c r="J478" s="40"/>
    </row>
    <row r="479" spans="1:10" s="1" customFormat="1" ht="15.9" customHeight="1">
      <c r="A479" s="27"/>
      <c r="B479" s="40"/>
      <c r="C479" s="44"/>
      <c r="D479" s="85"/>
      <c r="E479" s="40"/>
      <c r="F479" s="32"/>
      <c r="G479" s="40"/>
      <c r="H479" s="32"/>
      <c r="I479" s="24"/>
      <c r="J479" s="24"/>
    </row>
    <row r="480" spans="1:10" s="1" customFormat="1" ht="15.9" customHeight="1">
      <c r="A480" s="27"/>
      <c r="B480" s="33"/>
      <c r="C480" s="42"/>
      <c r="D480" s="161"/>
      <c r="E480" s="109"/>
      <c r="F480" s="109"/>
      <c r="G480" s="109"/>
      <c r="H480" s="42"/>
      <c r="I480" s="67"/>
      <c r="J480" s="165"/>
    </row>
    <row r="481" spans="1:10" s="1" customFormat="1" ht="15.9" customHeight="1">
      <c r="A481" s="27"/>
      <c r="B481" s="33"/>
      <c r="C481" s="163"/>
      <c r="D481" s="161"/>
      <c r="E481" s="109"/>
      <c r="F481" s="109"/>
      <c r="G481" s="109"/>
      <c r="H481" s="67"/>
      <c r="I481" s="38"/>
      <c r="J481" s="109"/>
    </row>
    <row r="482" spans="1:10" s="1" customFormat="1" ht="15.9" customHeight="1">
      <c r="A482" s="27"/>
      <c r="B482" s="33"/>
      <c r="C482" s="161"/>
      <c r="D482" s="161"/>
      <c r="E482" s="109"/>
      <c r="F482" s="109"/>
      <c r="G482" s="109"/>
      <c r="H482" s="38"/>
      <c r="I482" s="24"/>
      <c r="J482" s="24"/>
    </row>
    <row r="483" spans="1:10" s="1" customFormat="1" ht="15.9" customHeight="1">
      <c r="A483" s="27"/>
      <c r="B483" s="33"/>
      <c r="C483" s="33"/>
      <c r="D483" s="161"/>
      <c r="E483" s="109"/>
      <c r="F483" s="109"/>
      <c r="G483" s="109"/>
      <c r="H483" s="109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46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161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33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B492" s="33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D494" s="161"/>
      <c r="E494" s="109"/>
      <c r="F494" s="109"/>
      <c r="G494" s="33"/>
      <c r="H494" s="33"/>
      <c r="I494" s="24"/>
      <c r="J494" s="24"/>
    </row>
    <row r="495" spans="1:10" s="1" customFormat="1" ht="15.9" customHeight="1">
      <c r="A495" s="27"/>
      <c r="B495" s="33"/>
      <c r="C495" s="33"/>
      <c r="D495" s="161"/>
      <c r="E495" s="109"/>
      <c r="F495" s="109"/>
      <c r="G495" s="109"/>
      <c r="H495" s="109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42"/>
      <c r="I498" s="67"/>
      <c r="J498" s="165"/>
    </row>
    <row r="499" spans="1:10" s="1" customFormat="1" ht="15.9" customHeight="1">
      <c r="A499" s="27"/>
      <c r="B499" s="33"/>
      <c r="C499" s="47"/>
      <c r="D499" s="161"/>
      <c r="E499" s="109"/>
      <c r="F499" s="109"/>
      <c r="G499" s="109"/>
      <c r="H499" s="67"/>
      <c r="I499" s="38"/>
      <c r="J499" s="109"/>
    </row>
    <row r="500" spans="1:10" s="1" customFormat="1" ht="15.9" customHeight="1">
      <c r="A500" s="27"/>
      <c r="B500" s="33"/>
      <c r="C500" s="46"/>
      <c r="D500" s="161"/>
      <c r="E500" s="109"/>
      <c r="F500" s="109"/>
      <c r="G500" s="109"/>
      <c r="H500" s="38"/>
      <c r="I500" s="24"/>
      <c r="J500" s="24"/>
    </row>
    <row r="501" spans="1:10" s="1" customFormat="1" ht="15.9" customHeight="1">
      <c r="A501" s="27"/>
      <c r="B501" s="33"/>
      <c r="C501" s="161"/>
      <c r="D501" s="161"/>
      <c r="E501" s="109"/>
      <c r="F501" s="109"/>
      <c r="G501" s="109"/>
      <c r="H501" s="42"/>
      <c r="I501" s="67"/>
      <c r="J501" s="165"/>
    </row>
    <row r="502" spans="1:10" s="1" customFormat="1" ht="15.9" customHeight="1">
      <c r="A502" s="27"/>
      <c r="B502" s="33"/>
      <c r="C502" s="33"/>
      <c r="D502" s="161"/>
      <c r="E502" s="109"/>
      <c r="F502" s="109"/>
      <c r="G502" s="109"/>
      <c r="H502" s="67"/>
      <c r="I502" s="38"/>
      <c r="J502" s="109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38"/>
      <c r="I503" s="24"/>
      <c r="J503" s="24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109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109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109"/>
      <c r="J512" s="24"/>
    </row>
    <row r="513" spans="1:15" s="1" customFormat="1" ht="15.9" customHeight="1">
      <c r="A513" s="27"/>
      <c r="B513" s="33"/>
      <c r="C513" s="33"/>
      <c r="D513" s="161"/>
      <c r="E513" s="109"/>
      <c r="F513" s="109"/>
      <c r="G513" s="109"/>
      <c r="H513" s="109"/>
      <c r="I513" s="109"/>
      <c r="J513" s="24"/>
    </row>
    <row r="514" spans="1:15" s="1" customFormat="1" ht="15.9" customHeight="1">
      <c r="A514" s="27"/>
      <c r="B514" s="33"/>
      <c r="C514" s="33"/>
      <c r="D514" s="161"/>
      <c r="E514" s="109"/>
      <c r="F514" s="109"/>
      <c r="G514" s="109"/>
      <c r="H514" s="109"/>
      <c r="I514" s="109"/>
      <c r="J514" s="24"/>
    </row>
    <row r="515" spans="1:15" s="1" customFormat="1" ht="15.9" customHeight="1">
      <c r="A515" s="44"/>
      <c r="B515" s="44"/>
      <c r="C515" s="44"/>
      <c r="D515" s="84"/>
      <c r="E515" s="44"/>
      <c r="F515" s="44"/>
      <c r="G515" s="44"/>
      <c r="H515" s="44"/>
      <c r="I515" s="44"/>
      <c r="J515" s="119"/>
    </row>
    <row r="516" spans="1:15" s="1" customFormat="1" ht="15.9" customHeight="1">
      <c r="A516" s="44"/>
      <c r="B516" s="44"/>
      <c r="C516" s="44"/>
      <c r="D516" s="84"/>
      <c r="E516" s="44"/>
      <c r="F516" s="44"/>
      <c r="G516" s="44"/>
      <c r="H516" s="44"/>
      <c r="I516" s="44"/>
      <c r="J516" s="119"/>
    </row>
    <row r="517" spans="1:15" s="1" customFormat="1" ht="15.9" customHeight="1">
      <c r="B517" s="44"/>
      <c r="C517" s="44"/>
      <c r="D517" s="84"/>
      <c r="E517" s="44"/>
      <c r="F517" s="44"/>
      <c r="G517" s="44"/>
      <c r="H517" s="44"/>
    </row>
    <row r="518" spans="1:15" s="1" customFormat="1" ht="15.9" customHeight="1" thickBot="1"/>
    <row r="519" spans="1:15" s="1" customFormat="1" ht="24.9" customHeight="1" thickBot="1">
      <c r="A519" s="502" t="s">
        <v>401</v>
      </c>
      <c r="B519" s="503"/>
      <c r="C519" s="503"/>
      <c r="D519" s="503"/>
      <c r="E519" s="503"/>
      <c r="F519" s="503"/>
      <c r="G519" s="503"/>
      <c r="H519" s="503"/>
      <c r="I519" s="503"/>
      <c r="J519" s="504"/>
    </row>
    <row r="520" spans="1:15" s="1" customFormat="1" ht="35.1" customHeight="1" thickBot="1">
      <c r="A520" s="102" t="s">
        <v>2</v>
      </c>
      <c r="B520" s="103" t="s">
        <v>3</v>
      </c>
      <c r="C520" s="103" t="s">
        <v>3</v>
      </c>
      <c r="D520" s="104" t="s">
        <v>35</v>
      </c>
      <c r="E520" s="103" t="s">
        <v>5</v>
      </c>
      <c r="F520" s="339" t="s">
        <v>27</v>
      </c>
      <c r="G520" s="305"/>
      <c r="H520" s="104" t="s">
        <v>27</v>
      </c>
      <c r="I520" s="104" t="s">
        <v>26</v>
      </c>
      <c r="J520" s="115" t="s">
        <v>6</v>
      </c>
      <c r="N520" s="249" t="s">
        <v>3</v>
      </c>
      <c r="O520" s="249" t="s">
        <v>3</v>
      </c>
    </row>
    <row r="521" spans="1:15" s="1" customFormat="1" ht="15.9" customHeight="1">
      <c r="A521" s="123">
        <f>IF(C521="","",1)</f>
        <v>1</v>
      </c>
      <c r="B521" s="121" t="str">
        <f>IF($D$127=5,N521,IF($D$127=6,N522,IF($D$127=8,N523,IF($D$127=10,N524,IF($D$127=12,N525,IF($D$127=14,N526,IF($D$127=18,N527,IF($D$127=20,N528,IF($D$127=22,N529,)))))))))</f>
        <v>กระจก 5 mm (สูง) (กว้าง)</v>
      </c>
      <c r="C521" s="121" t="str">
        <f>IF($D$127=5,O521,IF($D$127=6,O522,IF($D$127=8,O523,IF($D$127=10,O524,IF($D$127=12,O525,IF($D$127=14,O526,IF($D$127=18,O527,IF($D$127=20,O528,IF($D$127=22,O529,)))))))))</f>
        <v>GLASS thk.5 mm (H) (W)</v>
      </c>
      <c r="D521" s="124">
        <f>$J$123-215</f>
        <v>2285</v>
      </c>
      <c r="E521" s="123" t="s">
        <v>11</v>
      </c>
      <c r="F521" s="527" t="s">
        <v>271</v>
      </c>
      <c r="G521" s="528"/>
      <c r="H521" s="123" t="s">
        <v>409</v>
      </c>
      <c r="I521" s="124">
        <f>(($J$126-185-(113.25*6))/7)-13</f>
        <v>499.21428571428567</v>
      </c>
      <c r="J521" s="151">
        <f>$J$120*7</f>
        <v>7</v>
      </c>
      <c r="M521" s="1">
        <f>ROW()</f>
        <v>521</v>
      </c>
      <c r="N521" s="19" t="s">
        <v>194</v>
      </c>
      <c r="O521" s="19" t="s">
        <v>195</v>
      </c>
    </row>
    <row r="522" spans="1:15" s="1" customFormat="1" ht="15.9" customHeight="1">
      <c r="A522" s="346"/>
      <c r="B522" s="295"/>
      <c r="C522" s="295"/>
      <c r="D522" s="296"/>
      <c r="E522" s="238"/>
      <c r="F522" s="251"/>
      <c r="G522" s="297"/>
      <c r="H522" s="238"/>
      <c r="I522" s="298"/>
      <c r="J522" s="299"/>
      <c r="M522" s="1">
        <f>ROW()</f>
        <v>522</v>
      </c>
      <c r="N522" s="19" t="s">
        <v>53</v>
      </c>
      <c r="O522" s="19" t="s">
        <v>54</v>
      </c>
    </row>
    <row r="523" spans="1:15" s="1" customFormat="1" ht="15.9" customHeight="1">
      <c r="A523" s="346"/>
      <c r="B523" s="295"/>
      <c r="C523" s="295"/>
      <c r="D523" s="296"/>
      <c r="E523" s="238"/>
      <c r="F523" s="251"/>
      <c r="G523" s="297"/>
      <c r="H523" s="238"/>
      <c r="I523" s="298"/>
      <c r="J523" s="299"/>
      <c r="M523" s="1">
        <f>ROW()</f>
        <v>523</v>
      </c>
      <c r="N523" s="19" t="s">
        <v>257</v>
      </c>
      <c r="O523" s="19" t="s">
        <v>258</v>
      </c>
    </row>
    <row r="524" spans="1:15" s="1" customFormat="1" ht="15.9" customHeight="1">
      <c r="A524" s="129" t="str">
        <f>IF(B524="","",+#REF!+1)</f>
        <v/>
      </c>
      <c r="B524" s="127"/>
      <c r="C524" s="127"/>
      <c r="D524" s="128"/>
      <c r="E524" s="129"/>
      <c r="F524" s="155"/>
      <c r="G524" s="157"/>
      <c r="H524" s="129"/>
      <c r="I524" s="144"/>
      <c r="J524" s="130"/>
      <c r="M524" s="1">
        <f>ROW()</f>
        <v>524</v>
      </c>
      <c r="N524" s="19" t="s">
        <v>259</v>
      </c>
      <c r="O524" s="19" t="s">
        <v>265</v>
      </c>
    </row>
    <row r="525" spans="1:15" s="1" customFormat="1" ht="15.9" customHeight="1">
      <c r="A525" s="135" t="str">
        <f>IF(B525="","",+A524+1)</f>
        <v/>
      </c>
      <c r="B525" s="133"/>
      <c r="C525" s="133"/>
      <c r="D525" s="134"/>
      <c r="E525" s="135"/>
      <c r="F525" s="158"/>
      <c r="G525" s="159"/>
      <c r="H525" s="135"/>
      <c r="I525" s="145"/>
      <c r="J525" s="136"/>
      <c r="M525" s="1">
        <f>ROW()</f>
        <v>525</v>
      </c>
      <c r="N525" s="19" t="s">
        <v>260</v>
      </c>
      <c r="O525" s="19" t="s">
        <v>266</v>
      </c>
    </row>
    <row r="526" spans="1:15" s="1" customFormat="1" ht="15.9" customHeight="1">
      <c r="A526" s="17"/>
      <c r="B526" s="56"/>
      <c r="C526" s="56"/>
      <c r="D526" s="30"/>
      <c r="E526" s="17"/>
      <c r="F526" s="17"/>
      <c r="G526" s="17"/>
      <c r="H526" s="109"/>
      <c r="I526" s="109"/>
      <c r="J526" s="24"/>
      <c r="M526" s="1">
        <f>ROW()</f>
        <v>526</v>
      </c>
      <c r="N526" s="19" t="s">
        <v>261</v>
      </c>
      <c r="O526" s="19" t="s">
        <v>267</v>
      </c>
    </row>
    <row r="527" spans="1:15">
      <c r="H527" s="294"/>
      <c r="I527" s="294"/>
      <c r="J527" s="99" t="str">
        <f>LEFT($J$111,13)&amp;"-05"</f>
        <v>FG-240-7P5L2R-05</v>
      </c>
      <c r="M527" s="1">
        <f>ROW()</f>
        <v>527</v>
      </c>
      <c r="N527" s="19" t="s">
        <v>262</v>
      </c>
      <c r="O527" s="19" t="s">
        <v>268</v>
      </c>
    </row>
    <row r="528" spans="1:15">
      <c r="M528" s="1">
        <f>ROW()</f>
        <v>528</v>
      </c>
      <c r="N528" s="19" t="s">
        <v>263</v>
      </c>
      <c r="O528" s="19" t="s">
        <v>269</v>
      </c>
    </row>
    <row r="529" spans="13:15">
      <c r="M529" s="1">
        <f>ROW()</f>
        <v>529</v>
      </c>
      <c r="N529" s="19" t="s">
        <v>264</v>
      </c>
      <c r="O529" s="19" t="s">
        <v>270</v>
      </c>
    </row>
  </sheetData>
  <sheetProtection selectLockedCells="1" selectUnlockedCells="1"/>
  <dataConsolidate function="product">
    <dataRefs count="1">
      <dataRef ref="O154:O162" sheet="240_2Panel(L)" r:id="rId1"/>
    </dataRefs>
  </dataConsolidate>
  <mergeCells count="46">
    <mergeCell ref="A6:J6"/>
    <mergeCell ref="H120:I121"/>
    <mergeCell ref="J120:J121"/>
    <mergeCell ref="A117:J117"/>
    <mergeCell ref="D119:G119"/>
    <mergeCell ref="D121:G121"/>
    <mergeCell ref="D129:G129"/>
    <mergeCell ref="H123:I124"/>
    <mergeCell ref="J123:J124"/>
    <mergeCell ref="I161:J161"/>
    <mergeCell ref="D161:D162"/>
    <mergeCell ref="A131:J131"/>
    <mergeCell ref="I154:J154"/>
    <mergeCell ref="I155:J155"/>
    <mergeCell ref="I156:J156"/>
    <mergeCell ref="A125:B125"/>
    <mergeCell ref="H126:I127"/>
    <mergeCell ref="J126:J127"/>
    <mergeCell ref="D127:G127"/>
    <mergeCell ref="D123:G123"/>
    <mergeCell ref="D125:G125"/>
    <mergeCell ref="I157:J157"/>
    <mergeCell ref="I158:J158"/>
    <mergeCell ref="D159:D160"/>
    <mergeCell ref="H159:H160"/>
    <mergeCell ref="I159:J160"/>
    <mergeCell ref="F521:G521"/>
    <mergeCell ref="A519:J519"/>
    <mergeCell ref="A427:J427"/>
    <mergeCell ref="A320:J320"/>
    <mergeCell ref="A213:J213"/>
    <mergeCell ref="C309:E309"/>
    <mergeCell ref="A173:J173"/>
    <mergeCell ref="F334:G334"/>
    <mergeCell ref="F330:G330"/>
    <mergeCell ref="F331:G331"/>
    <mergeCell ref="I162:J165"/>
    <mergeCell ref="I166:J167"/>
    <mergeCell ref="H161:H162"/>
    <mergeCell ref="I168:J168"/>
    <mergeCell ref="D171:D172"/>
    <mergeCell ref="H169:H170"/>
    <mergeCell ref="H171:H172"/>
    <mergeCell ref="D169:D170"/>
    <mergeCell ref="D163:D168"/>
    <mergeCell ref="H163:H168"/>
  </mergeCells>
  <dataValidations count="3">
    <dataValidation type="list" allowBlank="1" showInputMessage="1" showErrorMessage="1" sqref="C206">
      <formula1>$O$175:$O$193</formula1>
    </dataValidation>
    <dataValidation type="list" allowBlank="1" showInputMessage="1" showErrorMessage="1" sqref="D127:G127">
      <formula1>$N$119:$N$127</formula1>
    </dataValidation>
    <dataValidation type="list" allowBlank="1" showInputMessage="1" showErrorMessage="1" sqref="D129:G129">
      <formula1>$O$119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16383" man="1"/>
    <brk id="421" max="9" man="1"/>
  </rowBreaks>
  <drawing r:id="rId3"/>
  <legacyDrawing r:id="rId4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7">
    <tabColor theme="5" tint="-0.249977111117893"/>
  </sheetPr>
  <dimension ref="A1:X528"/>
  <sheetViews>
    <sheetView showGridLines="0" view="pageBreakPreview" topLeftCell="A115" zoomScale="75" zoomScaleNormal="75" zoomScaleSheetLayoutView="75" workbookViewId="0">
      <selection activeCell="J128" sqref="J128"/>
    </sheetView>
  </sheetViews>
  <sheetFormatPr defaultRowHeight="14.4" outlineLevelRow="1" outlineLevelCol="1"/>
  <cols>
    <col min="1" max="1" width="7" customWidth="1"/>
    <col min="2" max="2" width="40.6640625" customWidth="1"/>
    <col min="3" max="3" width="61.10937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6.6640625" customWidth="1"/>
    <col min="9" max="9" width="11.109375" bestFit="1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11" hidden="1" customWidth="1" outlineLevel="1"/>
    <col min="18" max="18" width="13.88671875" hidden="1" customWidth="1" outlineLevel="1"/>
    <col min="19" max="19" width="16.44140625" hidden="1" customWidth="1" outlineLevel="1"/>
    <col min="20" max="20" width="15" hidden="1" customWidth="1" outlineLevel="1"/>
    <col min="21" max="21" width="20.4414062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31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31"/>
      <c r="E3" s="231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187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/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>
      <c r="G55" s="10"/>
    </row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349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31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31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74" t="s">
        <v>31</v>
      </c>
      <c r="B117" s="575"/>
      <c r="C117" s="575"/>
      <c r="D117" s="575"/>
      <c r="E117" s="575"/>
      <c r="F117" s="575"/>
      <c r="G117" s="575"/>
      <c r="H117" s="575"/>
      <c r="I117" s="575"/>
      <c r="J117" s="576"/>
      <c r="K117" s="11"/>
      <c r="L117" s="4"/>
      <c r="M117" s="4"/>
      <c r="N117" s="4"/>
    </row>
    <row r="118" spans="1:16" s="1" customFormat="1" ht="18">
      <c r="A118" s="12"/>
      <c r="C118" s="8"/>
      <c r="D118" s="15"/>
      <c r="E118" s="13"/>
      <c r="J118" s="230"/>
      <c r="K118" s="11"/>
      <c r="L118" s="56"/>
      <c r="M118" s="56"/>
      <c r="N118" s="243" t="s">
        <v>191</v>
      </c>
      <c r="O118" s="12" t="s">
        <v>227</v>
      </c>
      <c r="P118" s="247" t="s">
        <v>16</v>
      </c>
    </row>
    <row r="119" spans="1:16" s="1" customFormat="1" ht="15" customHeight="1">
      <c r="A119" s="12"/>
      <c r="C119" s="110" t="s">
        <v>635</v>
      </c>
      <c r="D119" s="524"/>
      <c r="E119" s="525"/>
      <c r="F119" s="525"/>
      <c r="G119" s="526"/>
      <c r="I119" s="16"/>
      <c r="J119" s="12"/>
      <c r="N119" s="244">
        <v>5</v>
      </c>
      <c r="O119" s="12" t="s">
        <v>243</v>
      </c>
      <c r="P119" s="335" t="s">
        <v>389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5">
        <v>6</v>
      </c>
      <c r="O120" s="12" t="s">
        <v>244</v>
      </c>
      <c r="P120" s="336" t="s">
        <v>390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8</v>
      </c>
      <c r="P121" s="336" t="s">
        <v>391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10</v>
      </c>
      <c r="P122" s="336" t="s">
        <v>392</v>
      </c>
    </row>
    <row r="123" spans="1:16" s="1" customFormat="1" ht="15" customHeight="1">
      <c r="A123" s="12"/>
      <c r="C123" s="110" t="s">
        <v>629</v>
      </c>
      <c r="D123" s="524" t="s">
        <v>15</v>
      </c>
      <c r="E123" s="525"/>
      <c r="F123" s="525"/>
      <c r="G123" s="526"/>
      <c r="H123" s="519" t="s">
        <v>638</v>
      </c>
      <c r="I123" s="520"/>
      <c r="J123" s="517">
        <v>2500</v>
      </c>
      <c r="N123" s="245">
        <v>12</v>
      </c>
      <c r="P123" s="335" t="s">
        <v>393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14</v>
      </c>
      <c r="P124" s="335" t="s">
        <v>394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228"/>
      <c r="L125" s="77"/>
      <c r="N125" s="245">
        <v>18</v>
      </c>
      <c r="P125" s="335" t="s">
        <v>395</v>
      </c>
    </row>
    <row r="126" spans="1:16" s="1" customFormat="1" ht="15" customHeight="1">
      <c r="A126" s="230"/>
      <c r="B126" s="230"/>
      <c r="C126" s="423" t="s">
        <v>631</v>
      </c>
      <c r="D126" s="15"/>
      <c r="H126" s="519" t="s">
        <v>639</v>
      </c>
      <c r="I126" s="520"/>
      <c r="J126" s="517">
        <v>3500</v>
      </c>
      <c r="K126" s="228"/>
      <c r="L126" s="77"/>
      <c r="N126" s="245">
        <v>20</v>
      </c>
      <c r="P126" s="335" t="s">
        <v>396</v>
      </c>
    </row>
    <row r="127" spans="1:16" s="1" customFormat="1" ht="15" customHeight="1">
      <c r="A127" s="230"/>
      <c r="B127" s="230"/>
      <c r="C127" s="110" t="s">
        <v>633</v>
      </c>
      <c r="D127" s="534">
        <v>6</v>
      </c>
      <c r="E127" s="535"/>
      <c r="F127" s="535"/>
      <c r="G127" s="536"/>
      <c r="H127" s="520"/>
      <c r="I127" s="520"/>
      <c r="J127" s="518"/>
      <c r="N127" s="245">
        <v>22</v>
      </c>
      <c r="P127" s="335" t="s">
        <v>397</v>
      </c>
    </row>
    <row r="128" spans="1:16" s="1" customFormat="1" ht="18.75" customHeight="1">
      <c r="C128" s="423" t="s">
        <v>632</v>
      </c>
      <c r="I128" s="12"/>
      <c r="J128" s="12"/>
    </row>
    <row r="129" spans="1:23" s="1" customFormat="1" ht="15" customHeight="1">
      <c r="A129" s="88" t="str">
        <f>A18</f>
        <v>240-7 Panel (6L1R)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3440</v>
      </c>
      <c r="J133" s="125">
        <f t="shared" ref="J133:J153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14</v>
      </c>
      <c r="U133" s="283" t="s">
        <v>300</v>
      </c>
      <c r="V133" s="285">
        <f>($J$126-185-(113.25*6))/7</f>
        <v>376.5</v>
      </c>
      <c r="W133" s="286">
        <f>$J$120*T133</f>
        <v>14</v>
      </c>
    </row>
    <row r="134" spans="1:23" s="1" customFormat="1" ht="18" customHeight="1">
      <c r="A134" s="143">
        <f t="shared" ref="A134:A153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3414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14</v>
      </c>
      <c r="U134" s="129" t="s">
        <v>300</v>
      </c>
      <c r="V134" s="144">
        <f>($J$126-185-(113.25*6))/7</f>
        <v>376.5</v>
      </c>
      <c r="W134" s="131">
        <f t="shared" ref="W134:W135" si="2">$J$120*T134</f>
        <v>14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3440</v>
      </c>
      <c r="J135" s="131">
        <f t="shared" ref="J135:J139" si="3">$J$120*G135</f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14</v>
      </c>
      <c r="U135" s="135" t="s">
        <v>300</v>
      </c>
      <c r="V135" s="145">
        <f>($J$126-185-(113.25*6))/7</f>
        <v>376.5</v>
      </c>
      <c r="W135" s="293">
        <f t="shared" si="2"/>
        <v>14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3440</v>
      </c>
      <c r="J136" s="131">
        <f t="shared" si="3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14</v>
      </c>
      <c r="U136" s="283" t="s">
        <v>64</v>
      </c>
      <c r="V136" s="288">
        <f>$J$123-242</f>
        <v>2258</v>
      </c>
      <c r="W136" s="286">
        <f>$J$120*T136</f>
        <v>14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2500</v>
      </c>
      <c r="J137" s="131">
        <f t="shared" si="3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14</v>
      </c>
      <c r="U137" s="129" t="s">
        <v>64</v>
      </c>
      <c r="V137" s="130">
        <f>$J$123-242</f>
        <v>2258</v>
      </c>
      <c r="W137" s="131">
        <f t="shared" ref="W137:W138" si="4">$J$120*T137</f>
        <v>14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2500</v>
      </c>
      <c r="J138" s="131">
        <f t="shared" si="3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14</v>
      </c>
      <c r="U138" s="135" t="s">
        <v>64</v>
      </c>
      <c r="V138" s="136">
        <f>$J$123-242</f>
        <v>2258</v>
      </c>
      <c r="W138" s="293">
        <f t="shared" si="4"/>
        <v>14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2404</v>
      </c>
      <c r="J139" s="131">
        <f t="shared" si="3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2404</v>
      </c>
      <c r="J140" s="131">
        <f t="shared" ref="J140" si="5">$J$120*G140</f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7</v>
      </c>
      <c r="H141" s="143" t="s">
        <v>300</v>
      </c>
      <c r="I141" s="178">
        <f>($J$126-185-(113.25*6))/7</f>
        <v>376.5</v>
      </c>
      <c r="J141" s="131">
        <f t="shared" ref="J141:J149" si="6">$J$120*G141</f>
        <v>7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7</v>
      </c>
      <c r="H142" s="143" t="s">
        <v>300</v>
      </c>
      <c r="I142" s="178">
        <f>($J$126-185-(113.25*6))/7</f>
        <v>376.5</v>
      </c>
      <c r="J142" s="131">
        <f t="shared" si="6"/>
        <v>7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10</v>
      </c>
      <c r="H143" s="143" t="s">
        <v>63</v>
      </c>
      <c r="I143" s="130">
        <f>$J$123-92</f>
        <v>2408</v>
      </c>
      <c r="J143" s="131">
        <f t="shared" si="6"/>
        <v>10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3</v>
      </c>
      <c r="H144" s="143" t="s">
        <v>63</v>
      </c>
      <c r="I144" s="130">
        <f t="shared" ref="I144:I145" si="7">$J$123-92</f>
        <v>2408</v>
      </c>
      <c r="J144" s="131">
        <f t="shared" si="6"/>
        <v>3</v>
      </c>
      <c r="N144" s="98"/>
    </row>
    <row r="145" spans="1:14" s="1" customFormat="1" ht="18" customHeight="1">
      <c r="A145" s="143">
        <f t="shared" si="1"/>
        <v>13</v>
      </c>
      <c r="B145" s="140" t="s">
        <v>116</v>
      </c>
      <c r="C145" s="140" t="s">
        <v>99</v>
      </c>
      <c r="D145" s="139" t="s">
        <v>50</v>
      </c>
      <c r="E145" s="143">
        <v>1.1060000000000001</v>
      </c>
      <c r="F145" s="139" t="s">
        <v>507</v>
      </c>
      <c r="G145" s="143">
        <v>1</v>
      </c>
      <c r="H145" s="143" t="s">
        <v>63</v>
      </c>
      <c r="I145" s="130">
        <f t="shared" si="7"/>
        <v>2408</v>
      </c>
      <c r="J145" s="131">
        <f t="shared" si="6"/>
        <v>1</v>
      </c>
      <c r="N145" s="98"/>
    </row>
    <row r="146" spans="1:14" s="1" customFormat="1" ht="18" customHeight="1">
      <c r="A146" s="143">
        <f t="shared" si="1"/>
        <v>14</v>
      </c>
      <c r="B146" s="140" t="str">
        <f t="shared" ref="B146:I146" si="8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40" t="str">
        <f t="shared" si="8"/>
        <v>5-6mm GLAZING BEAD HORIZONTAL</v>
      </c>
      <c r="D146" s="140" t="str">
        <f t="shared" si="8"/>
        <v>B24008</v>
      </c>
      <c r="E146" s="140">
        <f t="shared" si="8"/>
        <v>0.23100000000000001</v>
      </c>
      <c r="F146" s="140" t="str">
        <f t="shared" si="8"/>
        <v>B24008-001</v>
      </c>
      <c r="G146" s="143">
        <f t="shared" si="8"/>
        <v>14</v>
      </c>
      <c r="H146" s="129" t="str">
        <f t="shared" si="8"/>
        <v>(W-185-(113.25 × 6))/7</v>
      </c>
      <c r="I146" s="178">
        <f t="shared" si="8"/>
        <v>376.5</v>
      </c>
      <c r="J146" s="131">
        <f t="shared" si="6"/>
        <v>14</v>
      </c>
      <c r="N146" s="98"/>
    </row>
    <row r="147" spans="1:14" s="1" customFormat="1" ht="18" customHeight="1">
      <c r="A147" s="143">
        <f t="shared" si="1"/>
        <v>15</v>
      </c>
      <c r="B147" s="140" t="str">
        <f t="shared" ref="B147:I147" si="9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40" t="str">
        <f t="shared" si="9"/>
        <v>5-6mm GLAZING BEAD VERTICAL</v>
      </c>
      <c r="D147" s="140" t="str">
        <f t="shared" si="9"/>
        <v>B24008</v>
      </c>
      <c r="E147" s="140">
        <f t="shared" si="9"/>
        <v>0.23100000000000001</v>
      </c>
      <c r="F147" s="140" t="str">
        <f t="shared" si="9"/>
        <v>B24008-002</v>
      </c>
      <c r="G147" s="143">
        <f t="shared" si="9"/>
        <v>14</v>
      </c>
      <c r="H147" s="129" t="str">
        <f t="shared" si="9"/>
        <v>H-242</v>
      </c>
      <c r="I147" s="144">
        <f t="shared" si="9"/>
        <v>2258</v>
      </c>
      <c r="J147" s="131">
        <f t="shared" si="6"/>
        <v>14</v>
      </c>
      <c r="N147" s="98"/>
    </row>
    <row r="148" spans="1:14" s="1" customFormat="1" ht="18" customHeight="1">
      <c r="A148" s="143">
        <f t="shared" si="1"/>
        <v>16</v>
      </c>
      <c r="B148" s="140" t="s">
        <v>125</v>
      </c>
      <c r="C148" s="140" t="s">
        <v>124</v>
      </c>
      <c r="D148" s="139" t="s">
        <v>123</v>
      </c>
      <c r="E148" s="143"/>
      <c r="F148" s="139" t="s">
        <v>362</v>
      </c>
      <c r="G148" s="143">
        <v>1</v>
      </c>
      <c r="H148" s="143" t="s">
        <v>63</v>
      </c>
      <c r="I148" s="130">
        <f>$J$123-92</f>
        <v>2408</v>
      </c>
      <c r="J148" s="131">
        <f t="shared" si="6"/>
        <v>1</v>
      </c>
      <c r="N148" s="98"/>
    </row>
    <row r="149" spans="1:14" s="1" customFormat="1" ht="18" customHeight="1">
      <c r="A149" s="143">
        <f t="shared" si="1"/>
        <v>17</v>
      </c>
      <c r="B149" s="140" t="s">
        <v>125</v>
      </c>
      <c r="C149" s="140" t="s">
        <v>124</v>
      </c>
      <c r="D149" s="139" t="s">
        <v>123</v>
      </c>
      <c r="E149" s="143"/>
      <c r="F149" s="139" t="s">
        <v>363</v>
      </c>
      <c r="G149" s="143">
        <v>1</v>
      </c>
      <c r="H149" s="143" t="s">
        <v>63</v>
      </c>
      <c r="I149" s="130">
        <f>$J$123-92</f>
        <v>2408</v>
      </c>
      <c r="J149" s="131">
        <f t="shared" si="6"/>
        <v>1</v>
      </c>
      <c r="N149" s="98"/>
    </row>
    <row r="150" spans="1:14" s="1" customFormat="1" ht="18" customHeight="1">
      <c r="A150" s="143" t="str">
        <f t="shared" si="1"/>
        <v/>
      </c>
      <c r="B150" s="140"/>
      <c r="C150" s="140"/>
      <c r="D150" s="139"/>
      <c r="E150" s="143"/>
      <c r="F150" s="139"/>
      <c r="G150" s="143"/>
      <c r="H150" s="143"/>
      <c r="I150" s="130"/>
      <c r="J150" s="131"/>
      <c r="N150" s="98"/>
    </row>
    <row r="151" spans="1:14" s="1" customFormat="1" ht="18" customHeight="1">
      <c r="A151" s="143" t="str">
        <f t="shared" si="1"/>
        <v/>
      </c>
      <c r="B151" s="140"/>
      <c r="C151" s="140"/>
      <c r="D151" s="139"/>
      <c r="E151" s="143"/>
      <c r="F151" s="139"/>
      <c r="G151" s="143"/>
      <c r="H151" s="143"/>
      <c r="I151" s="130"/>
      <c r="J151" s="131"/>
      <c r="N151" s="98"/>
    </row>
    <row r="152" spans="1:14" s="1" customFormat="1" ht="18" customHeight="1">
      <c r="A152" s="143" t="str">
        <f t="shared" si="1"/>
        <v/>
      </c>
      <c r="B152" s="140"/>
      <c r="C152" s="140"/>
      <c r="D152" s="139"/>
      <c r="E152" s="143"/>
      <c r="F152" s="139"/>
      <c r="G152" s="143"/>
      <c r="H152" s="143"/>
      <c r="I152" s="130"/>
      <c r="J152" s="131">
        <f t="shared" ref="J152" si="10">$J$120*G152</f>
        <v>0</v>
      </c>
      <c r="N152" s="98"/>
    </row>
    <row r="153" spans="1:14" s="1" customFormat="1" ht="18" customHeight="1" thickBot="1">
      <c r="A153" s="143" t="str">
        <f t="shared" si="1"/>
        <v/>
      </c>
      <c r="B153" s="167"/>
      <c r="C153" s="167"/>
      <c r="D153" s="168"/>
      <c r="E153" s="166"/>
      <c r="F153" s="168"/>
      <c r="G153" s="166"/>
      <c r="H153" s="166"/>
      <c r="I153" s="171"/>
      <c r="J153" s="172">
        <f t="shared" si="0"/>
        <v>0</v>
      </c>
    </row>
    <row r="154" spans="1:14" s="1" customFormat="1" ht="27" outlineLevel="1" thickBot="1">
      <c r="A154" s="169" t="s">
        <v>2</v>
      </c>
      <c r="B154" s="169" t="s">
        <v>29</v>
      </c>
      <c r="C154" s="169" t="s">
        <v>3</v>
      </c>
      <c r="D154" s="169" t="s">
        <v>4</v>
      </c>
      <c r="E154" s="169" t="s">
        <v>5</v>
      </c>
      <c r="F154" s="177" t="s">
        <v>85</v>
      </c>
      <c r="G154" s="169" t="s">
        <v>22</v>
      </c>
      <c r="H154" s="170" t="s">
        <v>23</v>
      </c>
      <c r="I154" s="540"/>
      <c r="J154" s="541"/>
    </row>
    <row r="155" spans="1:14" s="1" customFormat="1" ht="15" customHeight="1" outlineLevel="1">
      <c r="A155" s="21">
        <f>IF(B155="","",1)</f>
        <v>1</v>
      </c>
      <c r="B155" s="173" t="str">
        <f t="shared" ref="B155:C161" si="11">B133</f>
        <v>เฟรมบน</v>
      </c>
      <c r="C155" s="173" t="str">
        <f t="shared" si="11"/>
        <v>HEAD</v>
      </c>
      <c r="D155" s="174" t="str">
        <f>VLOOKUP(C155,$C$133:$H$153,2,0)</f>
        <v>B24001</v>
      </c>
      <c r="E155" s="175">
        <f t="shared" ref="E155:E161" si="12">VLOOKUP(C155,$C$133:$H$153,3,0)</f>
        <v>1.603</v>
      </c>
      <c r="F155" s="353">
        <f>VLOOKUP(C155,$C$133:$J$153,7,0)</f>
        <v>3440</v>
      </c>
      <c r="G155" s="175">
        <f t="shared" ref="G155:G161" si="13">VLOOKUP(C155,$C$133:$J$153,8,0)</f>
        <v>1</v>
      </c>
      <c r="H155" s="191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ref="A156" si="14">IF(B156="","",+A155+1)</f>
        <v>2</v>
      </c>
      <c r="B156" s="173" t="str">
        <f t="shared" si="11"/>
        <v>บังใบบน</v>
      </c>
      <c r="C156" s="173" t="str">
        <f t="shared" si="11"/>
        <v>DOOR STOP HEAD</v>
      </c>
      <c r="D156" s="174" t="str">
        <f>VLOOKUP(C156,$C$133:$H$153,2,0)</f>
        <v>B24002</v>
      </c>
      <c r="E156" s="175">
        <f t="shared" si="12"/>
        <v>0.27800000000000002</v>
      </c>
      <c r="F156" s="353">
        <f t="shared" ref="F156:F161" si="15">VLOOKUP(C156,$C$133:$I$153,7,0)</f>
        <v>3414</v>
      </c>
      <c r="G156" s="175">
        <f t="shared" si="13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ref="A157:A161" si="16">IF(B157="","",+A156+1)</f>
        <v>3</v>
      </c>
      <c r="B157" s="173" t="str">
        <f t="shared" si="11"/>
        <v xml:space="preserve">เฟรมล่าง </v>
      </c>
      <c r="C157" s="173" t="str">
        <f t="shared" si="11"/>
        <v>SILL</v>
      </c>
      <c r="D157" s="174" t="str">
        <f>VLOOKUP(C157,$C$133:$H$153,2,0)</f>
        <v>B24003</v>
      </c>
      <c r="E157" s="175">
        <f t="shared" si="12"/>
        <v>1.603</v>
      </c>
      <c r="F157" s="353">
        <f t="shared" si="15"/>
        <v>3440</v>
      </c>
      <c r="G157" s="175">
        <f t="shared" si="13"/>
        <v>1</v>
      </c>
      <c r="H157" s="192">
        <f t="shared" ref="H157:H158" si="17">ROUNDUP((F157*G157)/6400,0)</f>
        <v>1</v>
      </c>
      <c r="I157" s="501"/>
      <c r="J157" s="501"/>
    </row>
    <row r="158" spans="1:14" s="1" customFormat="1" ht="15" customHeight="1" outlineLevel="1">
      <c r="A158" s="18">
        <f t="shared" si="16"/>
        <v>4</v>
      </c>
      <c r="B158" s="173" t="str">
        <f t="shared" si="11"/>
        <v>ตัวตับธรณี</v>
      </c>
      <c r="C158" s="173" t="str">
        <f t="shared" si="11"/>
        <v>DOOR STOP SILL</v>
      </c>
      <c r="D158" s="174" t="str">
        <f>VLOOKUP(C158,$C$133:$H$153,2,0)</f>
        <v>B24004</v>
      </c>
      <c r="E158" s="175">
        <f t="shared" si="12"/>
        <v>0.51600000000000001</v>
      </c>
      <c r="F158" s="353">
        <f t="shared" si="15"/>
        <v>3440</v>
      </c>
      <c r="G158" s="175">
        <f t="shared" si="13"/>
        <v>1</v>
      </c>
      <c r="H158" s="192">
        <f t="shared" si="17"/>
        <v>1</v>
      </c>
      <c r="I158" s="501"/>
      <c r="J158" s="501"/>
    </row>
    <row r="159" spans="1:14" s="1" customFormat="1" ht="15" customHeight="1" outlineLevel="1">
      <c r="A159" s="18">
        <f t="shared" si="16"/>
        <v>5</v>
      </c>
      <c r="B159" s="173" t="str">
        <f t="shared" si="11"/>
        <v>เฟรมข้าง (ซ้าย)</v>
      </c>
      <c r="C159" s="173" t="str">
        <f t="shared" si="11"/>
        <v>JAMB (L)</v>
      </c>
      <c r="D159" s="508" t="str">
        <f>VLOOKUP(C159,$C$133:$H$153,2,0)</f>
        <v>B24005</v>
      </c>
      <c r="E159" s="175">
        <f t="shared" si="12"/>
        <v>0.89300000000000002</v>
      </c>
      <c r="F159" s="353">
        <f t="shared" si="15"/>
        <v>2500</v>
      </c>
      <c r="G159" s="175">
        <f t="shared" si="13"/>
        <v>1</v>
      </c>
      <c r="H159" s="516">
        <f>ROUNDUP(((F159*G159)+(F160*G160))/6400,0)</f>
        <v>1</v>
      </c>
      <c r="I159" s="506"/>
      <c r="J159" s="506"/>
    </row>
    <row r="160" spans="1:14" s="1" customFormat="1" ht="15" customHeight="1" outlineLevel="1">
      <c r="A160" s="18">
        <f t="shared" si="16"/>
        <v>6</v>
      </c>
      <c r="B160" s="173" t="str">
        <f t="shared" si="11"/>
        <v>เฟรมข้าง (ขวา)</v>
      </c>
      <c r="C160" s="173" t="str">
        <f t="shared" si="11"/>
        <v>JAMB (R)</v>
      </c>
      <c r="D160" s="509"/>
      <c r="E160" s="175">
        <f t="shared" si="12"/>
        <v>0.89300000000000002</v>
      </c>
      <c r="F160" s="353">
        <f t="shared" si="15"/>
        <v>2500</v>
      </c>
      <c r="G160" s="175">
        <f t="shared" si="13"/>
        <v>1</v>
      </c>
      <c r="H160" s="516"/>
      <c r="I160" s="506"/>
      <c r="J160" s="506"/>
    </row>
    <row r="161" spans="1:23" s="1" customFormat="1" ht="15" customHeight="1" outlineLevel="1">
      <c r="A161" s="18">
        <f t="shared" si="16"/>
        <v>7</v>
      </c>
      <c r="B161" s="173" t="str">
        <f t="shared" si="11"/>
        <v>บังใบข้าง (ซ้าย)</v>
      </c>
      <c r="C161" s="173" t="str">
        <f t="shared" si="11"/>
        <v>DOOR STOP JAMB (L)</v>
      </c>
      <c r="D161" s="508" t="str">
        <f>VLOOKUP(C161,$C$133:$H$153,2,0)</f>
        <v>B24006</v>
      </c>
      <c r="E161" s="175">
        <f t="shared" si="12"/>
        <v>0.23499999999999999</v>
      </c>
      <c r="F161" s="353">
        <f t="shared" si="15"/>
        <v>2404</v>
      </c>
      <c r="G161" s="175">
        <f t="shared" si="13"/>
        <v>1</v>
      </c>
      <c r="H161" s="516">
        <f>ROUNDUP(((F161*G161)+(F162*G162))/6400,0)</f>
        <v>1</v>
      </c>
      <c r="I161" s="501"/>
      <c r="J161" s="501"/>
    </row>
    <row r="162" spans="1:23" s="1" customFormat="1" ht="15" customHeight="1" outlineLevel="1">
      <c r="A162" s="18">
        <f t="shared" ref="A162:A171" si="18">IF(B162="","",+A161+1)</f>
        <v>8</v>
      </c>
      <c r="B162" s="173" t="str">
        <f t="shared" ref="B162:C162" si="19">B140</f>
        <v>บังใบข้าง (ขวา)</v>
      </c>
      <c r="C162" s="173" t="str">
        <f t="shared" si="19"/>
        <v>DOOR STOP JAMB (R)</v>
      </c>
      <c r="D162" s="509"/>
      <c r="E162" s="175">
        <f t="shared" ref="E162:E171" si="20">VLOOKUP(C162,$C$133:$H$153,3,0)</f>
        <v>0.23499999999999999</v>
      </c>
      <c r="F162" s="353">
        <f t="shared" ref="F162:F171" si="21">VLOOKUP(C162,$C$133:$I$153,7,0)</f>
        <v>2404</v>
      </c>
      <c r="G162" s="175">
        <f t="shared" ref="G162:G171" si="22">VLOOKUP(C162,$C$133:$J$153,8,0)</f>
        <v>1</v>
      </c>
      <c r="H162" s="516"/>
      <c r="I162" s="506"/>
      <c r="J162" s="506"/>
    </row>
    <row r="163" spans="1:23" s="1" customFormat="1" ht="13.8" outlineLevel="1">
      <c r="A163" s="18">
        <f t="shared" si="18"/>
        <v>9</v>
      </c>
      <c r="B163" s="173" t="str">
        <f t="shared" ref="B163:C163" si="23">B141</f>
        <v>ขวางบน</v>
      </c>
      <c r="C163" s="173" t="str">
        <f t="shared" si="23"/>
        <v>SASH (Hor) (T)</v>
      </c>
      <c r="D163" s="508" t="str">
        <f t="shared" ref="D163:D170" si="24">VLOOKUP(C163,$C$133:$H$153,2,0)</f>
        <v>B24007</v>
      </c>
      <c r="E163" s="175">
        <f t="shared" si="20"/>
        <v>1.1060000000000001</v>
      </c>
      <c r="F163" s="353">
        <f t="shared" si="21"/>
        <v>376.5</v>
      </c>
      <c r="G163" s="175">
        <f t="shared" si="22"/>
        <v>7</v>
      </c>
      <c r="H163" s="512">
        <f>ROUNDUP(((F163*G163)+(F164*G164)+(F165*G165)+(F166*G166)+(F167*G167))/6400,0)</f>
        <v>7</v>
      </c>
      <c r="I163" s="506"/>
      <c r="J163" s="506"/>
    </row>
    <row r="164" spans="1:23" s="1" customFormat="1" ht="13.8" outlineLevel="1">
      <c r="A164" s="18">
        <f t="shared" si="18"/>
        <v>10</v>
      </c>
      <c r="B164" s="173" t="str">
        <f t="shared" ref="B164:C164" si="25">B142</f>
        <v>ขวางล่าง</v>
      </c>
      <c r="C164" s="173" t="str">
        <f t="shared" si="25"/>
        <v>SASH (Hor) (B)</v>
      </c>
      <c r="D164" s="510"/>
      <c r="E164" s="175">
        <f t="shared" si="20"/>
        <v>1.1060000000000001</v>
      </c>
      <c r="F164" s="353">
        <f t="shared" si="21"/>
        <v>376.5</v>
      </c>
      <c r="G164" s="175">
        <f t="shared" si="22"/>
        <v>7</v>
      </c>
      <c r="H164" s="514"/>
      <c r="I164" s="506"/>
      <c r="J164" s="506"/>
    </row>
    <row r="165" spans="1:23" s="1" customFormat="1" ht="13.8" outlineLevel="1">
      <c r="A165" s="18">
        <f t="shared" si="18"/>
        <v>11</v>
      </c>
      <c r="B165" s="173" t="str">
        <f t="shared" ref="B165:C165" si="26">B143</f>
        <v>เสา</v>
      </c>
      <c r="C165" s="173" t="str">
        <f t="shared" si="26"/>
        <v xml:space="preserve">SASH (Ver) </v>
      </c>
      <c r="D165" s="510"/>
      <c r="E165" s="175">
        <f t="shared" si="20"/>
        <v>1.1060000000000001</v>
      </c>
      <c r="F165" s="353">
        <f t="shared" si="21"/>
        <v>2408</v>
      </c>
      <c r="G165" s="175">
        <f t="shared" si="22"/>
        <v>10</v>
      </c>
      <c r="H165" s="514"/>
      <c r="I165" s="506"/>
      <c r="J165" s="506"/>
    </row>
    <row r="166" spans="1:23" s="1" customFormat="1" ht="13.8" outlineLevel="1">
      <c r="A166" s="18">
        <f t="shared" si="18"/>
        <v>12</v>
      </c>
      <c r="B166" s="173" t="str">
        <f t="shared" ref="B166:C166" si="27">B144</f>
        <v>เสากุญแจ</v>
      </c>
      <c r="C166" s="173" t="str">
        <f t="shared" si="27"/>
        <v xml:space="preserve">SASH (Ver) LOCK </v>
      </c>
      <c r="D166" s="510"/>
      <c r="E166" s="175">
        <f t="shared" si="20"/>
        <v>1.1060000000000001</v>
      </c>
      <c r="F166" s="353">
        <f t="shared" si="21"/>
        <v>2408</v>
      </c>
      <c r="G166" s="175">
        <f t="shared" si="22"/>
        <v>3</v>
      </c>
      <c r="H166" s="514"/>
      <c r="I166" s="506"/>
      <c r="J166" s="506"/>
    </row>
    <row r="167" spans="1:23" s="1" customFormat="1" ht="15" customHeight="1" outlineLevel="1">
      <c r="A167" s="18">
        <f t="shared" si="18"/>
        <v>13</v>
      </c>
      <c r="B167" s="173" t="str">
        <f t="shared" ref="B167:C167" si="28">B145</f>
        <v>เสากุญแจมือจับ</v>
      </c>
      <c r="C167" s="173" t="str">
        <f t="shared" si="28"/>
        <v>SASH (Ver) LOCK HANDLE</v>
      </c>
      <c r="D167" s="509"/>
      <c r="E167" s="175">
        <f t="shared" si="20"/>
        <v>1.1060000000000001</v>
      </c>
      <c r="F167" s="353">
        <f t="shared" si="21"/>
        <v>2408</v>
      </c>
      <c r="G167" s="175">
        <f t="shared" si="22"/>
        <v>1</v>
      </c>
      <c r="H167" s="515"/>
      <c r="I167" s="506"/>
      <c r="J167" s="506"/>
    </row>
    <row r="168" spans="1:23" s="1" customFormat="1" ht="13.8" outlineLevel="1">
      <c r="A168" s="18">
        <f t="shared" si="18"/>
        <v>14</v>
      </c>
      <c r="B168" s="173" t="str">
        <f t="shared" ref="B168:C168" si="29">B146</f>
        <v>5-6mm คิ้วตบกระจกแนวนอน</v>
      </c>
      <c r="C168" s="173" t="str">
        <f t="shared" si="29"/>
        <v>5-6mm GLAZING BEAD HORIZONTAL</v>
      </c>
      <c r="D168" s="508" t="str">
        <f t="shared" si="24"/>
        <v>B24008</v>
      </c>
      <c r="E168" s="175">
        <f t="shared" si="20"/>
        <v>0.23100000000000001</v>
      </c>
      <c r="F168" s="353">
        <f t="shared" si="21"/>
        <v>376.5</v>
      </c>
      <c r="G168" s="175">
        <f t="shared" si="22"/>
        <v>14</v>
      </c>
      <c r="H168" s="516">
        <f>ROUNDUP(((F168*G168)+(F169*G169))/6400,0)</f>
        <v>6</v>
      </c>
      <c r="I168" s="501"/>
      <c r="J168" s="501"/>
    </row>
    <row r="169" spans="1:23" s="1" customFormat="1" ht="15" customHeight="1" outlineLevel="1">
      <c r="A169" s="18">
        <f t="shared" si="18"/>
        <v>15</v>
      </c>
      <c r="B169" s="173" t="str">
        <f t="shared" ref="B169:C169" si="30">B147</f>
        <v>5-6mm คิ้วตบกระจกแนวตั้ง</v>
      </c>
      <c r="C169" s="173" t="str">
        <f t="shared" si="30"/>
        <v>5-6mm GLAZING BEAD VERTICAL</v>
      </c>
      <c r="D169" s="509"/>
      <c r="E169" s="175">
        <f t="shared" si="20"/>
        <v>0.23100000000000001</v>
      </c>
      <c r="F169" s="353">
        <f t="shared" si="21"/>
        <v>2258</v>
      </c>
      <c r="G169" s="175">
        <f t="shared" si="22"/>
        <v>14</v>
      </c>
      <c r="H169" s="516"/>
      <c r="I169" s="232"/>
      <c r="J169" s="232"/>
    </row>
    <row r="170" spans="1:23" s="1" customFormat="1" ht="13.8" outlineLevel="1">
      <c r="A170" s="18">
        <f t="shared" si="18"/>
        <v>16</v>
      </c>
      <c r="B170" s="173" t="str">
        <f t="shared" ref="B170:C170" si="31">B148</f>
        <v>บังใบ</v>
      </c>
      <c r="C170" s="173" t="str">
        <f t="shared" si="31"/>
        <v>SASH STOP</v>
      </c>
      <c r="D170" s="508" t="str">
        <f t="shared" si="24"/>
        <v>B24009</v>
      </c>
      <c r="E170" s="175">
        <f t="shared" si="20"/>
        <v>0</v>
      </c>
      <c r="F170" s="353">
        <f t="shared" si="21"/>
        <v>2408</v>
      </c>
      <c r="G170" s="175">
        <f t="shared" si="22"/>
        <v>1</v>
      </c>
      <c r="H170" s="516">
        <f>ROUNDUP(((F170*G170)+(F171*G171))/6400,0)</f>
        <v>1</v>
      </c>
      <c r="I170" s="232"/>
      <c r="J170" s="232"/>
    </row>
    <row r="171" spans="1:23" s="1" customFormat="1" outlineLevel="1" thickBot="1">
      <c r="A171" s="18">
        <f t="shared" si="18"/>
        <v>17</v>
      </c>
      <c r="B171" s="173" t="str">
        <f t="shared" ref="B171:C171" si="32">B149</f>
        <v>บังใบ</v>
      </c>
      <c r="C171" s="173" t="str">
        <f t="shared" si="32"/>
        <v>SASH STOP</v>
      </c>
      <c r="D171" s="511"/>
      <c r="E171" s="175">
        <f t="shared" si="20"/>
        <v>0</v>
      </c>
      <c r="F171" s="353">
        <f t="shared" si="21"/>
        <v>2408</v>
      </c>
      <c r="G171" s="175">
        <f t="shared" si="22"/>
        <v>1</v>
      </c>
      <c r="H171" s="516"/>
      <c r="I171" s="232"/>
      <c r="J171" s="232"/>
    </row>
    <row r="172" spans="1:23" s="1" customFormat="1" ht="24.9" customHeight="1" thickBot="1">
      <c r="A172" s="529" t="s">
        <v>9</v>
      </c>
      <c r="B172" s="530"/>
      <c r="C172" s="530"/>
      <c r="D172" s="530"/>
      <c r="E172" s="530"/>
      <c r="F172" s="530"/>
      <c r="G172" s="530"/>
      <c r="H172" s="530"/>
      <c r="I172" s="530"/>
      <c r="J172" s="531"/>
    </row>
    <row r="173" spans="1:23" s="1" customFormat="1" ht="35.1" customHeight="1" thickBot="1">
      <c r="A173" s="102" t="s">
        <v>2</v>
      </c>
      <c r="B173" s="103" t="s">
        <v>29</v>
      </c>
      <c r="C173" s="103" t="s">
        <v>3</v>
      </c>
      <c r="D173" s="103" t="s">
        <v>199</v>
      </c>
      <c r="E173" s="103" t="s">
        <v>5</v>
      </c>
      <c r="F173" s="104" t="s">
        <v>28</v>
      </c>
      <c r="G173" s="103" t="s">
        <v>19</v>
      </c>
      <c r="H173" s="104" t="s">
        <v>200</v>
      </c>
      <c r="I173" s="104" t="s">
        <v>20</v>
      </c>
      <c r="J173" s="115" t="s">
        <v>201</v>
      </c>
      <c r="N173" s="101" t="s">
        <v>191</v>
      </c>
      <c r="O173" s="246" t="s">
        <v>29</v>
      </c>
      <c r="P173" s="246" t="s">
        <v>3</v>
      </c>
      <c r="Q173" s="246" t="s">
        <v>199</v>
      </c>
      <c r="R173" s="246" t="s">
        <v>5</v>
      </c>
      <c r="S173" s="246" t="s">
        <v>28</v>
      </c>
      <c r="T173" s="246" t="s">
        <v>19</v>
      </c>
      <c r="U173" s="246" t="s">
        <v>200</v>
      </c>
      <c r="V173" s="246" t="s">
        <v>20</v>
      </c>
      <c r="W173" s="246" t="s">
        <v>201</v>
      </c>
    </row>
    <row r="174" spans="1:23" s="1" customFormat="1" ht="18" customHeight="1">
      <c r="A174" s="200">
        <f>IF(B174="","",1)</f>
        <v>1</v>
      </c>
      <c r="B174" s="140" t="s">
        <v>111</v>
      </c>
      <c r="C174" s="140" t="s">
        <v>67</v>
      </c>
      <c r="D174" s="139" t="s">
        <v>74</v>
      </c>
      <c r="E174" s="143"/>
      <c r="F174" s="143" t="s">
        <v>74</v>
      </c>
      <c r="G174" s="143" t="s">
        <v>202</v>
      </c>
      <c r="H174" s="143">
        <v>14</v>
      </c>
      <c r="I174" s="130"/>
      <c r="J174" s="131">
        <f t="shared" ref="J174:J189" si="33">$J$120*H174</f>
        <v>14</v>
      </c>
      <c r="N174" s="101" t="s">
        <v>226</v>
      </c>
      <c r="O174" s="280" t="s">
        <v>252</v>
      </c>
      <c r="P174" s="290" t="s">
        <v>248</v>
      </c>
      <c r="Q174" s="280" t="s">
        <v>69</v>
      </c>
      <c r="R174" s="213"/>
      <c r="S174" s="213" t="s">
        <v>69</v>
      </c>
      <c r="T174" s="213" t="s">
        <v>198</v>
      </c>
      <c r="U174" s="291">
        <f>((($I$141*$G$141)+($I$142*$G$142)+($I$143*$G$143)+($I$144*$G$144)+($I$145*$G$145))/1000)*$J$120</f>
        <v>38.982999999999997</v>
      </c>
      <c r="V174" s="291">
        <v>100</v>
      </c>
      <c r="W174" s="292">
        <f>ROUNDUP((U174)/100,0)</f>
        <v>1</v>
      </c>
    </row>
    <row r="175" spans="1:23" s="1" customFormat="1" ht="18" customHeight="1">
      <c r="A175" s="201">
        <f>IF(B175="","",+A174+1)</f>
        <v>2</v>
      </c>
      <c r="B175" s="140" t="s">
        <v>106</v>
      </c>
      <c r="C175" s="140" t="s">
        <v>503</v>
      </c>
      <c r="D175" s="139" t="s">
        <v>75</v>
      </c>
      <c r="E175" s="143"/>
      <c r="F175" s="143" t="s">
        <v>75</v>
      </c>
      <c r="G175" s="143" t="s">
        <v>202</v>
      </c>
      <c r="H175" s="143">
        <v>2</v>
      </c>
      <c r="I175" s="130"/>
      <c r="J175" s="131">
        <f t="shared" si="33"/>
        <v>2</v>
      </c>
      <c r="N175" s="101" t="s">
        <v>230</v>
      </c>
      <c r="O175" s="280" t="s">
        <v>253</v>
      </c>
      <c r="P175" s="290" t="s">
        <v>249</v>
      </c>
      <c r="Q175" s="280" t="s">
        <v>188</v>
      </c>
      <c r="R175" s="213"/>
      <c r="S175" s="213" t="s">
        <v>188</v>
      </c>
      <c r="T175" s="213" t="s">
        <v>198</v>
      </c>
      <c r="U175" s="291">
        <f>((($I$141*$G$141)+($I$142*$G$142)+($I$143*$G$143)+($I$144*$G$144)+($I$145*$G$145))/1000)*$J$120</f>
        <v>38.982999999999997</v>
      </c>
      <c r="V175" s="291">
        <v>100</v>
      </c>
      <c r="W175" s="292">
        <f t="shared" ref="W175:W177" si="34">ROUNDUP((U175)/100,0)</f>
        <v>1</v>
      </c>
    </row>
    <row r="176" spans="1:23" s="1" customFormat="1" ht="18" customHeight="1">
      <c r="A176" s="201">
        <f t="shared" ref="A176:A204" si="35">IF(B176="","",+A175+1)</f>
        <v>3</v>
      </c>
      <c r="B176" s="140" t="s">
        <v>107</v>
      </c>
      <c r="C176" s="140" t="s">
        <v>504</v>
      </c>
      <c r="D176" s="139" t="s">
        <v>76</v>
      </c>
      <c r="E176" s="143"/>
      <c r="F176" s="143" t="s">
        <v>76</v>
      </c>
      <c r="G176" s="143" t="s">
        <v>202</v>
      </c>
      <c r="H176" s="143">
        <v>2</v>
      </c>
      <c r="I176" s="130"/>
      <c r="J176" s="131">
        <f t="shared" si="33"/>
        <v>2</v>
      </c>
      <c r="N176" s="101" t="s">
        <v>229</v>
      </c>
      <c r="O176" s="290" t="s">
        <v>254</v>
      </c>
      <c r="P176" s="290" t="s">
        <v>250</v>
      </c>
      <c r="Q176" s="280" t="s">
        <v>70</v>
      </c>
      <c r="R176" s="213"/>
      <c r="S176" s="213" t="s">
        <v>70</v>
      </c>
      <c r="T176" s="213" t="s">
        <v>198</v>
      </c>
      <c r="U176" s="291">
        <f>((($I$141*$G$141)+($I$142*$G$142)+($I$143*$G$143)+($I$144*$G$144)+($I$145*$G$145))/1000)*$J$120</f>
        <v>38.982999999999997</v>
      </c>
      <c r="V176" s="291">
        <v>100</v>
      </c>
      <c r="W176" s="292">
        <f t="shared" si="34"/>
        <v>1</v>
      </c>
    </row>
    <row r="177" spans="1:23" s="1" customFormat="1" ht="18" customHeight="1">
      <c r="A177" s="201">
        <f t="shared" si="35"/>
        <v>4</v>
      </c>
      <c r="B177" s="140" t="s">
        <v>108</v>
      </c>
      <c r="C177" s="140" t="s">
        <v>10</v>
      </c>
      <c r="D177" s="139">
        <v>9</v>
      </c>
      <c r="E177" s="143"/>
      <c r="F177" s="143">
        <v>9</v>
      </c>
      <c r="G177" s="143" t="s">
        <v>202</v>
      </c>
      <c r="H177" s="143">
        <v>8</v>
      </c>
      <c r="I177" s="130"/>
      <c r="J177" s="131">
        <f t="shared" si="33"/>
        <v>8</v>
      </c>
      <c r="N177" s="101" t="s">
        <v>231</v>
      </c>
      <c r="O177" s="290" t="s">
        <v>255</v>
      </c>
      <c r="P177" s="290" t="s">
        <v>251</v>
      </c>
      <c r="Q177" s="280" t="s">
        <v>189</v>
      </c>
      <c r="R177" s="213"/>
      <c r="S177" s="213" t="s">
        <v>189</v>
      </c>
      <c r="T177" s="213" t="s">
        <v>198</v>
      </c>
      <c r="U177" s="291">
        <f>((($I$141*$G$141)+($I$142*$G$142)+($I$143*$G$143)+($I$144*$G$144)+($I$145*$G$145))/1000)*$J$120</f>
        <v>38.982999999999997</v>
      </c>
      <c r="V177" s="291">
        <v>100</v>
      </c>
      <c r="W177" s="292">
        <f t="shared" si="34"/>
        <v>1</v>
      </c>
    </row>
    <row r="178" spans="1:23" s="1" customFormat="1" ht="18" customHeight="1">
      <c r="A178" s="201">
        <f t="shared" si="35"/>
        <v>5</v>
      </c>
      <c r="B178" s="140" t="s">
        <v>109</v>
      </c>
      <c r="C178" s="140" t="s">
        <v>68</v>
      </c>
      <c r="D178" s="139">
        <v>9</v>
      </c>
      <c r="E178" s="143"/>
      <c r="F178" s="143">
        <v>9</v>
      </c>
      <c r="G178" s="143" t="s">
        <v>202</v>
      </c>
      <c r="H178" s="143">
        <v>110</v>
      </c>
      <c r="I178" s="130"/>
      <c r="J178" s="131">
        <f t="shared" si="33"/>
        <v>110</v>
      </c>
      <c r="N178" s="101" t="s">
        <v>232</v>
      </c>
      <c r="O178" s="290" t="s">
        <v>256</v>
      </c>
      <c r="P178" s="290" t="s">
        <v>247</v>
      </c>
      <c r="Q178" s="280" t="s">
        <v>233</v>
      </c>
      <c r="R178" s="213"/>
      <c r="S178" s="213" t="s">
        <v>233</v>
      </c>
      <c r="T178" s="213" t="s">
        <v>198</v>
      </c>
      <c r="U178" s="291">
        <f>((($I$141*$G$141)+($I$142*$G$142)+($I$143*$G$143)+($I$144*$G$144)+($I$145*$G$145))/1000)*$J$120</f>
        <v>38.982999999999997</v>
      </c>
      <c r="V178" s="291">
        <v>100</v>
      </c>
      <c r="W178" s="292">
        <f>ROUNDUP((U178)/100,0)</f>
        <v>1</v>
      </c>
    </row>
    <row r="179" spans="1:23" s="1" customFormat="1" ht="18" customHeight="1">
      <c r="A179" s="201">
        <f t="shared" si="35"/>
        <v>6</v>
      </c>
      <c r="B179" s="140" t="s">
        <v>132</v>
      </c>
      <c r="C179" s="140" t="s">
        <v>79</v>
      </c>
      <c r="D179" s="139" t="s">
        <v>82</v>
      </c>
      <c r="E179" s="143"/>
      <c r="F179" s="143" t="s">
        <v>82</v>
      </c>
      <c r="G179" s="143" t="s">
        <v>185</v>
      </c>
      <c r="H179" s="143">
        <v>1</v>
      </c>
      <c r="I179" s="130"/>
      <c r="J179" s="131">
        <f t="shared" si="33"/>
        <v>1</v>
      </c>
    </row>
    <row r="180" spans="1:23" s="1" customFormat="1" ht="18" customHeight="1">
      <c r="A180" s="201">
        <f t="shared" si="35"/>
        <v>7</v>
      </c>
      <c r="B180" s="140" t="s">
        <v>143</v>
      </c>
      <c r="C180" s="140" t="s">
        <v>121</v>
      </c>
      <c r="D180" s="139" t="s">
        <v>103</v>
      </c>
      <c r="E180" s="143"/>
      <c r="F180" s="143" t="s">
        <v>103</v>
      </c>
      <c r="G180" s="143" t="s">
        <v>185</v>
      </c>
      <c r="H180" s="143">
        <v>2</v>
      </c>
      <c r="I180" s="130"/>
      <c r="J180" s="131">
        <f t="shared" si="33"/>
        <v>2</v>
      </c>
    </row>
    <row r="181" spans="1:23" s="1" customFormat="1" ht="18" customHeight="1">
      <c r="A181" s="201">
        <f t="shared" si="35"/>
        <v>8</v>
      </c>
      <c r="B181" s="140" t="s">
        <v>118</v>
      </c>
      <c r="C181" s="140" t="s">
        <v>77</v>
      </c>
      <c r="D181" s="139" t="s">
        <v>80</v>
      </c>
      <c r="E181" s="143"/>
      <c r="F181" s="143" t="s">
        <v>80</v>
      </c>
      <c r="G181" s="143" t="s">
        <v>185</v>
      </c>
      <c r="H181" s="143">
        <v>1</v>
      </c>
      <c r="I181" s="130"/>
      <c r="J181" s="131">
        <f t="shared" si="33"/>
        <v>1</v>
      </c>
    </row>
    <row r="182" spans="1:23" s="1" customFormat="1" ht="18" customHeight="1">
      <c r="A182" s="201">
        <f t="shared" si="35"/>
        <v>9</v>
      </c>
      <c r="B182" s="140" t="s">
        <v>120</v>
      </c>
      <c r="C182" s="140" t="s">
        <v>94</v>
      </c>
      <c r="D182" s="139" t="s">
        <v>96</v>
      </c>
      <c r="E182" s="143"/>
      <c r="F182" s="143" t="s">
        <v>96</v>
      </c>
      <c r="G182" s="143" t="s">
        <v>185</v>
      </c>
      <c r="H182" s="143">
        <v>1</v>
      </c>
      <c r="I182" s="130"/>
      <c r="J182" s="131">
        <f t="shared" si="33"/>
        <v>1</v>
      </c>
    </row>
    <row r="183" spans="1:23" s="1" customFormat="1" ht="18" customHeight="1">
      <c r="A183" s="201">
        <f t="shared" si="35"/>
        <v>10</v>
      </c>
      <c r="B183" s="140" t="s">
        <v>142</v>
      </c>
      <c r="C183" s="140" t="s">
        <v>141</v>
      </c>
      <c r="D183" s="139" t="s">
        <v>81</v>
      </c>
      <c r="E183" s="143"/>
      <c r="F183" s="143" t="s">
        <v>81</v>
      </c>
      <c r="G183" s="143" t="s">
        <v>185</v>
      </c>
      <c r="H183" s="143">
        <v>1</v>
      </c>
      <c r="I183" s="130"/>
      <c r="J183" s="131">
        <f t="shared" si="33"/>
        <v>1</v>
      </c>
      <c r="N183" s="56"/>
      <c r="O183" s="56"/>
      <c r="P183" s="56"/>
      <c r="Q183" s="289"/>
      <c r="R183" s="289"/>
      <c r="S183" s="289"/>
      <c r="T183" s="17"/>
      <c r="U183" s="17"/>
      <c r="V183" s="17"/>
      <c r="W183" s="56"/>
    </row>
    <row r="184" spans="1:23" s="1" customFormat="1" ht="18" customHeight="1">
      <c r="A184" s="201">
        <f t="shared" si="35"/>
        <v>11</v>
      </c>
      <c r="B184" s="140" t="s">
        <v>131</v>
      </c>
      <c r="C184" s="140" t="s">
        <v>100</v>
      </c>
      <c r="D184" s="139" t="s">
        <v>102</v>
      </c>
      <c r="E184" s="143"/>
      <c r="F184" s="143" t="s">
        <v>102</v>
      </c>
      <c r="G184" s="143" t="s">
        <v>185</v>
      </c>
      <c r="H184" s="143">
        <v>2</v>
      </c>
      <c r="I184" s="144"/>
      <c r="J184" s="131">
        <f t="shared" si="33"/>
        <v>2</v>
      </c>
      <c r="N184" s="101" t="s">
        <v>227</v>
      </c>
      <c r="O184" s="246" t="s">
        <v>29</v>
      </c>
      <c r="P184" s="246" t="s">
        <v>3</v>
      </c>
      <c r="Q184" s="246" t="s">
        <v>199</v>
      </c>
      <c r="R184" s="246" t="s">
        <v>5</v>
      </c>
      <c r="S184" s="246" t="s">
        <v>28</v>
      </c>
      <c r="T184" s="246" t="s">
        <v>19</v>
      </c>
      <c r="U184" s="246" t="s">
        <v>200</v>
      </c>
      <c r="V184" s="246" t="s">
        <v>20</v>
      </c>
      <c r="W184" s="246" t="s">
        <v>201</v>
      </c>
    </row>
    <row r="185" spans="1:23" s="1" customFormat="1" ht="18" customHeight="1">
      <c r="A185" s="201">
        <f t="shared" si="35"/>
        <v>12</v>
      </c>
      <c r="B185" s="140" t="s">
        <v>113</v>
      </c>
      <c r="C185" s="140" t="s">
        <v>502</v>
      </c>
      <c r="D185" s="139" t="s">
        <v>83</v>
      </c>
      <c r="E185" s="143"/>
      <c r="F185" s="143" t="s">
        <v>83</v>
      </c>
      <c r="G185" s="143" t="s">
        <v>185</v>
      </c>
      <c r="H185" s="143">
        <v>3</v>
      </c>
      <c r="I185" s="144"/>
      <c r="J185" s="131">
        <f t="shared" si="33"/>
        <v>3</v>
      </c>
      <c r="N185" s="101" t="s">
        <v>240</v>
      </c>
      <c r="O185" s="290" t="s">
        <v>234</v>
      </c>
      <c r="P185" s="290" t="s">
        <v>236</v>
      </c>
      <c r="Q185" s="280" t="s">
        <v>190</v>
      </c>
      <c r="R185" s="213"/>
      <c r="S185" s="213" t="s">
        <v>190</v>
      </c>
      <c r="T185" s="213" t="s">
        <v>198</v>
      </c>
      <c r="U185" s="291">
        <f>((($I$134*$G$134)+($I$136*$G$136)+($I$139*$G$139))/1000)*$J$120</f>
        <v>9.2579999999999991</v>
      </c>
      <c r="V185" s="291">
        <v>300</v>
      </c>
      <c r="W185" s="292">
        <f>ROUNDUP((U185)/V185,0)</f>
        <v>1</v>
      </c>
    </row>
    <row r="186" spans="1:23" s="1" customFormat="1" ht="18" customHeight="1">
      <c r="A186" s="201">
        <f t="shared" si="35"/>
        <v>13</v>
      </c>
      <c r="B186" s="140" t="s">
        <v>122</v>
      </c>
      <c r="C186" s="140" t="s">
        <v>101</v>
      </c>
      <c r="D186" s="139" t="s">
        <v>104</v>
      </c>
      <c r="E186" s="143"/>
      <c r="F186" s="143" t="s">
        <v>104</v>
      </c>
      <c r="G186" s="143" t="s">
        <v>185</v>
      </c>
      <c r="H186" s="143">
        <v>1</v>
      </c>
      <c r="I186" s="130"/>
      <c r="J186" s="131">
        <f t="shared" si="33"/>
        <v>1</v>
      </c>
      <c r="N186" s="101" t="s">
        <v>241</v>
      </c>
      <c r="O186" s="290" t="s">
        <v>235</v>
      </c>
      <c r="P186" s="290" t="s">
        <v>238</v>
      </c>
      <c r="Q186" s="280" t="s">
        <v>71</v>
      </c>
      <c r="R186" s="213"/>
      <c r="S186" s="213" t="s">
        <v>71</v>
      </c>
      <c r="T186" s="213" t="s">
        <v>198</v>
      </c>
      <c r="U186" s="291">
        <f>((($I$134*$G$134)+($I$136*$G$136)+($I$139*$G$139))/1000)*$J$120</f>
        <v>9.2579999999999991</v>
      </c>
      <c r="V186" s="291">
        <v>100</v>
      </c>
      <c r="W186" s="292">
        <f t="shared" ref="W186:W188" si="36">ROUNDUP((U186)/V186,0)</f>
        <v>1</v>
      </c>
    </row>
    <row r="187" spans="1:23" s="1" customFormat="1" ht="18" customHeight="1">
      <c r="A187" s="201">
        <f t="shared" si="35"/>
        <v>14</v>
      </c>
      <c r="B187" s="140" t="s">
        <v>112</v>
      </c>
      <c r="C187" s="140" t="s">
        <v>114</v>
      </c>
      <c r="D187" s="128" t="s">
        <v>520</v>
      </c>
      <c r="E187" s="129"/>
      <c r="F187" s="129" t="s">
        <v>520</v>
      </c>
      <c r="G187" s="143" t="s">
        <v>202</v>
      </c>
      <c r="H187" s="143">
        <v>6</v>
      </c>
      <c r="I187" s="130"/>
      <c r="J187" s="131">
        <f t="shared" si="33"/>
        <v>6</v>
      </c>
      <c r="N187" s="101" t="s">
        <v>240</v>
      </c>
      <c r="O187" s="290" t="s">
        <v>245</v>
      </c>
      <c r="P187" s="290" t="s">
        <v>237</v>
      </c>
      <c r="Q187" s="280" t="s">
        <v>72</v>
      </c>
      <c r="R187" s="213"/>
      <c r="S187" s="213" t="s">
        <v>72</v>
      </c>
      <c r="T187" s="213" t="s">
        <v>198</v>
      </c>
      <c r="U187" s="291">
        <f>((($I$141*$G$141*2)+($I$143*$G$143*2)+($I$144*($G$144-1)*2))/1000)*$J$120</f>
        <v>63.063000000000002</v>
      </c>
      <c r="V187" s="291">
        <v>350</v>
      </c>
      <c r="W187" s="292">
        <f t="shared" si="36"/>
        <v>1</v>
      </c>
    </row>
    <row r="188" spans="1:23" s="1" customFormat="1" ht="18" customHeight="1">
      <c r="A188" s="201">
        <f t="shared" si="35"/>
        <v>15</v>
      </c>
      <c r="B188" s="140" t="s">
        <v>115</v>
      </c>
      <c r="C188" s="140" t="s">
        <v>45</v>
      </c>
      <c r="D188" s="139" t="s">
        <v>84</v>
      </c>
      <c r="E188" s="143"/>
      <c r="F188" s="143" t="s">
        <v>84</v>
      </c>
      <c r="G188" s="143" t="s">
        <v>202</v>
      </c>
      <c r="H188" s="143">
        <v>1</v>
      </c>
      <c r="I188" s="130"/>
      <c r="J188" s="131">
        <f t="shared" si="33"/>
        <v>1</v>
      </c>
      <c r="N188" s="101" t="s">
        <v>241</v>
      </c>
      <c r="O188" s="290" t="s">
        <v>246</v>
      </c>
      <c r="P188" s="290" t="s">
        <v>239</v>
      </c>
      <c r="Q188" s="280" t="s">
        <v>193</v>
      </c>
      <c r="R188" s="213"/>
      <c r="S188" s="213" t="s">
        <v>193</v>
      </c>
      <c r="T188" s="213" t="s">
        <v>198</v>
      </c>
      <c r="U188" s="291">
        <f>((($I$141*$G$141*2)+($I$143*$G$143*2)+($I$144*($G$144-1)*2))/1000)*$J$120</f>
        <v>63.063000000000002</v>
      </c>
      <c r="V188" s="291">
        <v>100</v>
      </c>
      <c r="W188" s="292">
        <f t="shared" si="36"/>
        <v>1</v>
      </c>
    </row>
    <row r="189" spans="1:23" s="1" customFormat="1" ht="18" customHeight="1">
      <c r="A189" s="201">
        <f t="shared" si="35"/>
        <v>16</v>
      </c>
      <c r="B189" s="140" t="s">
        <v>110</v>
      </c>
      <c r="C189" s="140" t="s">
        <v>66</v>
      </c>
      <c r="D189" s="139" t="s">
        <v>73</v>
      </c>
      <c r="E189" s="143"/>
      <c r="F189" s="143" t="s">
        <v>73</v>
      </c>
      <c r="G189" s="143" t="s">
        <v>202</v>
      </c>
      <c r="H189" s="143">
        <v>3</v>
      </c>
      <c r="I189" s="130"/>
      <c r="J189" s="131">
        <f t="shared" si="33"/>
        <v>3</v>
      </c>
    </row>
    <row r="190" spans="1:23" s="1" customFormat="1" ht="18" customHeight="1">
      <c r="A190" s="201">
        <f t="shared" si="35"/>
        <v>17</v>
      </c>
      <c r="B190" s="140" t="s">
        <v>512</v>
      </c>
      <c r="C190" s="140" t="s">
        <v>135</v>
      </c>
      <c r="D190" s="139" t="s">
        <v>137</v>
      </c>
      <c r="E190" s="143"/>
      <c r="F190" s="143" t="s">
        <v>137</v>
      </c>
      <c r="G190" s="143" t="s">
        <v>198</v>
      </c>
      <c r="H190" s="261">
        <f>((($I$148*$G$148)+($I$149*$G$149))/1000)*$J$120</f>
        <v>4.8159999999999998</v>
      </c>
      <c r="I190" s="258">
        <v>100</v>
      </c>
      <c r="J190" s="267">
        <f t="shared" ref="J190:J195" si="37">ROUNDUP((H190)/100,0)</f>
        <v>1</v>
      </c>
    </row>
    <row r="191" spans="1:23" s="1" customFormat="1" ht="18" customHeight="1">
      <c r="A191" s="201">
        <f t="shared" si="35"/>
        <v>18</v>
      </c>
      <c r="B191" s="140" t="s">
        <v>513</v>
      </c>
      <c r="C191" s="140" t="s">
        <v>136</v>
      </c>
      <c r="D191" s="139" t="s">
        <v>138</v>
      </c>
      <c r="E191" s="143"/>
      <c r="F191" s="143" t="s">
        <v>138</v>
      </c>
      <c r="G191" s="143" t="s">
        <v>198</v>
      </c>
      <c r="H191" s="261">
        <f>((($I$144*$G$144)+($I$145*$G$145))/1000)*$J$120</f>
        <v>9.6319999999999997</v>
      </c>
      <c r="I191" s="258">
        <v>100</v>
      </c>
      <c r="J191" s="267">
        <f t="shared" si="37"/>
        <v>1</v>
      </c>
    </row>
    <row r="192" spans="1:23" s="1" customFormat="1" ht="18" customHeight="1">
      <c r="A192" s="201">
        <f t="shared" si="35"/>
        <v>19</v>
      </c>
      <c r="B192" s="139" t="str">
        <f>IF($D$129="Standard",$O$185,IF($D$129="Soumdproof",$O$186,))</f>
        <v>ยางเฟรมกันน้ำ (ธรรมดา)</v>
      </c>
      <c r="C192" s="139" t="str">
        <f>IF($D$129="Standard",$P$185,IF($D$129="Soumdproof",$P$186,))</f>
        <v>FRAME SEAL (Standard)</v>
      </c>
      <c r="D192" s="139" t="str">
        <f>IF($D$129="Standard",$Q$185,IF($D$129="Soumdproof",$Q$186,))</f>
        <v>02-026</v>
      </c>
      <c r="E192" s="143">
        <f>IF($D$129="Standard",R190,IF($D$129="Soumdproof",R191,))</f>
        <v>0</v>
      </c>
      <c r="F192" s="143" t="str">
        <f>IF($D$129="Standard",$S$185,IF($D$129="Soumdproof",$S$186,))</f>
        <v>02-026</v>
      </c>
      <c r="G192" s="143" t="str">
        <f>IF($D$129="Standard",$T$185,IF($D$129="Soumdproof",$T$186,))</f>
        <v>M</v>
      </c>
      <c r="H192" s="261">
        <f>IF($D$129="Standard",$U$185,IF($D$129="Soumdproof",$U$186,))</f>
        <v>9.2579999999999991</v>
      </c>
      <c r="I192" s="258">
        <f>IF($D$129="Standard",$V$185,IF($D$129="Soumdproof",$V$186,))</f>
        <v>300</v>
      </c>
      <c r="J192" s="267">
        <f t="shared" si="37"/>
        <v>1</v>
      </c>
    </row>
    <row r="193" spans="1:24" s="1" customFormat="1" ht="18" customHeight="1">
      <c r="A193" s="201">
        <f t="shared" si="35"/>
        <v>20</v>
      </c>
      <c r="B193" s="139" t="str">
        <f>IF($D$129="Standard",$O$187,IF($D$129="Soumdproof",$O$188,))</f>
        <v>ยางแซชกันน้ำ (ธรรมดา)</v>
      </c>
      <c r="C193" s="139" t="str">
        <f>IF($D$129="Standard",$P$187,IF($D$129="Soumdproof",$P$188,))</f>
        <v>SASH SEAL FOAM (Standard)</v>
      </c>
      <c r="D193" s="139" t="str">
        <f>IF($D$129="Standard",$Q$187,IF($D$129="Soumdproof",$Q$188,))</f>
        <v>02-031</v>
      </c>
      <c r="E193" s="143">
        <f>IF($D$129="Standard",R192,IF($D$129="Soumdproof",R193,))</f>
        <v>0</v>
      </c>
      <c r="F193" s="143" t="str">
        <f>IF($D$129="Standard",$S$187,IF($D$129="Soumdproof",$S$188,))</f>
        <v>02-031</v>
      </c>
      <c r="G193" s="143" t="str">
        <f>IF($D$129="Standard",$T$187,IF($D$129="Soumdproof",$T$188,))</f>
        <v>M</v>
      </c>
      <c r="H193" s="261">
        <f>IF($D$129="Standard",$U$187,IF($D$129="Soumdproof",$U$188,))</f>
        <v>63.063000000000002</v>
      </c>
      <c r="I193" s="258">
        <f>IF($D$129="Standard",$V$187,IF($D$129="Soumdproof",$V$188,))</f>
        <v>350</v>
      </c>
      <c r="J193" s="267">
        <f t="shared" si="37"/>
        <v>1</v>
      </c>
    </row>
    <row r="194" spans="1:24" ht="18" customHeight="1">
      <c r="A194" s="201">
        <f t="shared" si="35"/>
        <v>21</v>
      </c>
      <c r="B194" s="241" t="str">
        <f>IF($D$127=5,$O$176,IF($D$127=6,$O$177,IF($D$127=8,$O$178,IF($D$127=10,$O$176,IF($D$127=12,$O$176,IF($D$127=14,$O$178,IF($D$127=18,$O$176,IF($D$127=20,$O$177,IF($D$127=22,"")))))))))</f>
        <v>6,20 mm ยางอัดกระจก</v>
      </c>
      <c r="C194" s="241" t="str">
        <f>IF($D$127=5,$P$176,IF($D$127=6,$P$177,IF($D$127=8,$P$178,IF($D$127=10,$P$176,IF($D$127=12,$P$176,IF($D$127=14,$P$178,IF($D$127=18,$P$176,IF($D$127=20,$P$177,IF($D$127=22,"")))))))))</f>
        <v>6,20 mm ROLL IN WEDGE</v>
      </c>
      <c r="D194" s="241" t="str">
        <f>IF($D$127=5,$Q$176,IF($D$127=6,$Q$177,IF($D$127=8,$Q$178,IF($D$127=10,$Q$176,IF($D$127=12,$Q$176,IF($D$127=14,$Q$178,IF($D$127=18,$Q$176,IF($D$127=20,$Q$177,IF($D$127=22,"")))))))))</f>
        <v>02-034</v>
      </c>
      <c r="E194" s="241">
        <f>IF($D$127=5,R181,IF($D$127=6,R182,IF($D$127=8,R183,IF($D$127=10,R181,IF($D$127=12,R181,IF($D$127=14,R183,IF($D$127=18,R181,IF($D$127=20,R182,IF($D$127=22,"",)))))))))</f>
        <v>0</v>
      </c>
      <c r="F194" s="242" t="str">
        <f>IF($D$127=5,$S$176,IF($D$127=6,$S$177,IF($D$127=8,$S$178,IF($D$127=10,$S$176,IF($D$127=12,$S$176,IF($D$127=14,$S$178,IF($D$127=18,$S$176,IF($D$127=20,$S$177,IF($D$127=22,"")))))))))</f>
        <v>02-034</v>
      </c>
      <c r="G194" s="242" t="str">
        <f>IF($D$127=5,$T$176,IF($D$127=6,$T$177,IF($D$127=8,$T$178,IF($D$127=10,$T$176,IF($D$127=12,$T$176,IF($D$127=14,$T$178,IF($D$127=18,$T$176,IF($D$127=20,$T$177,IF($D$127=22,"")))))))))</f>
        <v>M</v>
      </c>
      <c r="H194" s="261">
        <f>IF($D$127=5,$U$176,IF($D$127=6,$U$177,IF($D$127=8,$U$178,IF($D$127=10,$U$176*2,IF($D$127=12,$U$176,IF($D$127=14,$U$178*2,IF($D$127=18,$U$176,IF($D$127=20,$U$177,IF($D$127=22,"")))))))))</f>
        <v>38.982999999999997</v>
      </c>
      <c r="I194" s="258">
        <f>IF($D$127=5,$V$176,IF($D$127=6,$V$177,IF($D$127=8,$V$178,IF($D$127=10,$V$176,IF($D$127=12,$V$176,IF($D$127=14,$V$178,IF($D$127=18,$V$176,IF($D$127=20,$V$177,IF($D$127=22,"")))))))))</f>
        <v>100</v>
      </c>
      <c r="J194" s="267">
        <f t="shared" si="37"/>
        <v>1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s="1" customFormat="1" ht="18" customHeight="1">
      <c r="A195" s="201">
        <f t="shared" si="35"/>
        <v>22</v>
      </c>
      <c r="B195" s="241" t="str">
        <f>IF($D$127=5,$O$174,IF($D$127=6,$O$174,IF($D$127=8,$O$176,IF($D$127=10,"",IF($D$127=12,$O$175,IF($D$127=14,"",IF($D$127=18,$O$174,IF($D$127=20,$O$175,IF($D$127=22,"",)))))))))</f>
        <v>5,6,18 mm ยางรองกระจก</v>
      </c>
      <c r="C195" s="241" t="str">
        <f>IF($D$127=5,$P$174,IF($D$127=6,$P$174,IF($D$127=8,$P$176,IF($D$127=10,"",IF($D$127=12,$P$175,IF($D$127=14,"",IF($D$127=18,$P$174,IF($D$127=20,$P$175,IF($D$127=22,"",)))))))))</f>
        <v>5,6,18 mm CAPTIVE WEDGE</v>
      </c>
      <c r="D195" s="241" t="str">
        <f>IF($D$127=5,$Q$174,IF($D$127=6,$Q$174,IF($D$127=8,$Q$176,IF($D$127=10,"",IF($D$127=12,$Q$175,IF($D$127=14,"",IF($D$127=18,$Q$174,IF($D$127=20,$Q$175,IF($D$127=22,"",)))))))))</f>
        <v>02-022</v>
      </c>
      <c r="E195" s="241">
        <f>IF($D$127=5,R179,IF($D$127=6,R179,IF($D$127=8,R181,IF($D$127=10,"",IF($D$127=12,R180,IF($D$127=14,"",IF($D$127=18,R179,IF($D$127=20,R180,IF($D$127=22,"",)))))))))</f>
        <v>0</v>
      </c>
      <c r="F195" s="242" t="str">
        <f>IF($D$127=5,$S$174,IF($D$127=6,$S$174,IF($D$127=8,$S$176,IF($D$127=10,"",IF($D$127=12,$S$175,IF($D$127=14,"",IF($D$127=18,$S$174,IF($D$127=20,$S$175,IF($D$127=22,"",)))))))))</f>
        <v>02-022</v>
      </c>
      <c r="G195" s="242" t="str">
        <f>IF($D$127=5,$T$174,IF($D$127=6,$T$174,IF($D$127=8,$T$176,IF($D$127=10,"",IF($D$127=12,$T$175,IF($D$127=14,"",IF($D$127=18,$T$174,IF($D$127=20,$T$175,IF($D$127=22,"",)))))))))</f>
        <v>M</v>
      </c>
      <c r="H195" s="261">
        <f>IF($D$127=5,$U$174,IF($D$127=6,$U$174,IF($D$127=8,$U$176,IF($D$127=10,"",IF($D$127=12,$U$175,IF($D$127=14,"",IF($D$127=18,$U$174,IF($D$127=20,$U$175,IF($D$127=22,"")))))))))</f>
        <v>38.982999999999997</v>
      </c>
      <c r="I195" s="258">
        <f>IF($D$127=5,$V$174,IF($D$127=6,$V$174,IF($D$127=8,$V$176,IF($D$127=10,"",IF($D$127=12,$V$175,IF($D$127=14,"",IF($D$127=18,$V$174,IF($D$127=20,$V$175,IF($D$127=22,"",)))))))))</f>
        <v>100</v>
      </c>
      <c r="J195" s="267">
        <f t="shared" si="37"/>
        <v>1</v>
      </c>
    </row>
    <row r="196" spans="1:24" s="1" customFormat="1" ht="18" customHeight="1">
      <c r="A196" s="201" t="str">
        <f t="shared" si="35"/>
        <v/>
      </c>
      <c r="B196" s="140"/>
      <c r="C196" s="140"/>
      <c r="D196" s="139"/>
      <c r="E196" s="143"/>
      <c r="F196" s="143"/>
      <c r="G196" s="143"/>
      <c r="H196" s="143"/>
      <c r="I196" s="130"/>
      <c r="J196" s="131"/>
    </row>
    <row r="197" spans="1:24" s="1" customFormat="1" ht="18" customHeight="1">
      <c r="A197" s="201" t="str">
        <f t="shared" si="35"/>
        <v/>
      </c>
      <c r="B197" s="140"/>
      <c r="C197" s="140"/>
      <c r="D197" s="139"/>
      <c r="E197" s="143"/>
      <c r="F197" s="143"/>
      <c r="G197" s="143"/>
      <c r="H197" s="143"/>
      <c r="I197" s="130"/>
      <c r="J197" s="131">
        <f t="shared" ref="J197:J198" si="38">$J$120*G197</f>
        <v>0</v>
      </c>
    </row>
    <row r="198" spans="1:24" s="1" customFormat="1" ht="18" customHeight="1">
      <c r="A198" s="201" t="str">
        <f t="shared" si="35"/>
        <v/>
      </c>
      <c r="B198" s="140"/>
      <c r="C198" s="140"/>
      <c r="D198" s="139"/>
      <c r="E198" s="143"/>
      <c r="F198" s="143"/>
      <c r="G198" s="143"/>
      <c r="H198" s="143"/>
      <c r="I198" s="130"/>
      <c r="J198" s="131">
        <f t="shared" si="38"/>
        <v>0</v>
      </c>
    </row>
    <row r="199" spans="1:24" s="1" customFormat="1" ht="18" customHeight="1">
      <c r="A199" s="201" t="str">
        <f t="shared" si="35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>$J$120*G199</f>
        <v>0</v>
      </c>
    </row>
    <row r="200" spans="1:24" s="1" customFormat="1" ht="18" customHeight="1">
      <c r="A200" s="201" t="str">
        <f t="shared" si="35"/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ref="J200:J201" si="39">$J$120*G200</f>
        <v>0</v>
      </c>
    </row>
    <row r="201" spans="1:24" s="1" customFormat="1" ht="18" customHeight="1">
      <c r="A201" s="201" t="str">
        <f t="shared" si="35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si="39"/>
        <v>0</v>
      </c>
    </row>
    <row r="202" spans="1:24" s="1" customFormat="1" ht="18" customHeight="1">
      <c r="A202" s="201" t="str">
        <f t="shared" si="35"/>
        <v/>
      </c>
      <c r="B202" s="140"/>
      <c r="C202" s="140"/>
      <c r="D202" s="139"/>
      <c r="E202" s="143"/>
      <c r="F202" s="143"/>
      <c r="G202" s="143"/>
      <c r="H202" s="143"/>
      <c r="I202" s="130"/>
      <c r="J202" s="131"/>
    </row>
    <row r="203" spans="1:24" s="1" customFormat="1" ht="18" customHeight="1">
      <c r="A203" s="201" t="str">
        <f t="shared" si="35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>$J$120*G203</f>
        <v>0</v>
      </c>
    </row>
    <row r="204" spans="1:24" s="1" customFormat="1" ht="18" customHeight="1">
      <c r="A204" s="201" t="str">
        <f t="shared" si="35"/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>$J$120*G204</f>
        <v>0</v>
      </c>
    </row>
    <row r="205" spans="1:24" s="1" customFormat="1" ht="18" customHeight="1">
      <c r="A205" s="317" t="str">
        <f t="shared" ref="A205" si="40">IF(B205="","",+A204+1)</f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>$J$120*G205</f>
        <v>0</v>
      </c>
    </row>
    <row r="206" spans="1:24" s="1" customFormat="1" ht="18" customHeight="1">
      <c r="A206" s="25"/>
      <c r="B206" s="161"/>
      <c r="C206" s="33"/>
      <c r="D206" s="30"/>
      <c r="E206" s="17"/>
      <c r="F206" s="30"/>
      <c r="G206" s="30"/>
      <c r="H206" s="161"/>
      <c r="I206" s="24"/>
      <c r="J206" s="24"/>
    </row>
    <row r="207" spans="1:24" ht="18" customHeight="1">
      <c r="A207" s="17"/>
      <c r="J207" s="99" t="str">
        <f>LEFT($J$111,13)&amp;"-02"</f>
        <v>FG-240-7P6L1R-02</v>
      </c>
    </row>
    <row r="208" spans="1:24" ht="12.75" customHeight="1">
      <c r="B208" s="56"/>
      <c r="C208" s="56"/>
      <c r="D208" s="30"/>
      <c r="E208" s="17"/>
      <c r="F208" s="17"/>
      <c r="G208" s="17"/>
      <c r="H208" s="17"/>
      <c r="K208" s="7"/>
      <c r="L208" s="7"/>
      <c r="M208" s="2"/>
      <c r="N208" s="2"/>
    </row>
    <row r="209" spans="1:14" ht="30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231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231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/>
      <c r="C215"/>
      <c r="D215" s="81"/>
      <c r="E215"/>
      <c r="F215"/>
      <c r="G215"/>
      <c r="H215"/>
      <c r="I215" s="160"/>
      <c r="J215" s="116"/>
    </row>
    <row r="216" spans="1:14" s="1" customFormat="1" ht="15" customHeight="1">
      <c r="A216" s="17"/>
      <c r="B216" s="93"/>
      <c r="C216" s="56"/>
      <c r="D216" s="30"/>
      <c r="E216" s="29"/>
      <c r="F216" s="160"/>
      <c r="G216" s="160"/>
      <c r="H216" s="16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s="1" customFormat="1" ht="15.6">
      <c r="A218" s="109"/>
      <c r="B218" s="33"/>
      <c r="C218" s="327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368</v>
      </c>
      <c r="D220" s="30"/>
      <c r="E220" s="29"/>
      <c r="F220" s="30"/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89"/>
      <c r="J221" s="12"/>
    </row>
    <row r="222" spans="1:14" s="1" customFormat="1" ht="15" customHeight="1">
      <c r="A222" s="109"/>
      <c r="B222" s="33"/>
      <c r="C222" s="327" t="s">
        <v>273</v>
      </c>
      <c r="D222" s="161"/>
      <c r="E222" s="109"/>
      <c r="F222" s="161"/>
      <c r="J222" s="12"/>
    </row>
    <row r="223" spans="1:14" s="1" customFormat="1" ht="15" customHeight="1">
      <c r="A223" s="109"/>
      <c r="B223" s="33"/>
      <c r="C223" s="374">
        <f>$I$133</f>
        <v>3440</v>
      </c>
      <c r="D223" s="161"/>
      <c r="E223" s="35"/>
      <c r="F223" s="161"/>
      <c r="G223" s="68"/>
      <c r="J223" s="12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326"/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326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327"/>
      <c r="D229" s="161"/>
      <c r="E229" s="109"/>
      <c r="F229" s="161"/>
      <c r="H229" s="109"/>
      <c r="I229" s="229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229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229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229"/>
      <c r="J232" s="117"/>
    </row>
    <row r="233" spans="1:10" s="1" customFormat="1" ht="15.9" customHeight="1">
      <c r="A233" s="44"/>
      <c r="B233" s="44"/>
      <c r="C233" s="89" t="s">
        <v>381</v>
      </c>
      <c r="D233" s="84"/>
      <c r="E233" s="44"/>
      <c r="F233" s="44"/>
      <c r="G233" s="109"/>
      <c r="H233" s="109"/>
      <c r="I233" s="229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3414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229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29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109"/>
      <c r="J242" s="24"/>
    </row>
    <row r="243" spans="1:10" s="1" customFormat="1" ht="15.9" customHeight="1">
      <c r="A243" s="109"/>
      <c r="B243" s="33"/>
      <c r="C243" s="89" t="s">
        <v>385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.9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" customHeight="1">
      <c r="A245" s="109"/>
      <c r="B245" s="33"/>
      <c r="C245" s="327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3440</v>
      </c>
      <c r="D246" s="161"/>
      <c r="E246" s="109"/>
      <c r="F246" s="161"/>
      <c r="G246" s="109"/>
      <c r="H246" s="109"/>
      <c r="I246" s="44"/>
      <c r="J246" s="119"/>
    </row>
    <row r="247" spans="1:10" s="1" customFormat="1" ht="15.9" customHeight="1">
      <c r="A247" s="109"/>
      <c r="B247" s="33"/>
      <c r="C247" s="363">
        <f>$J$135</f>
        <v>1</v>
      </c>
      <c r="D247" s="161"/>
      <c r="E247" s="109"/>
      <c r="F247" s="161"/>
      <c r="G247" s="109"/>
      <c r="H247" s="109"/>
      <c r="I247" s="32"/>
      <c r="J247" s="40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0"/>
      <c r="H251" s="109"/>
      <c r="I251" s="24"/>
      <c r="J251" s="24"/>
    </row>
    <row r="252" spans="1:10" s="1" customFormat="1" ht="15.9" customHeight="1">
      <c r="A252" s="109"/>
      <c r="B252" s="33"/>
      <c r="D252" s="161"/>
      <c r="E252" s="109"/>
      <c r="F252" s="109"/>
      <c r="G252" s="109"/>
      <c r="H252" s="109"/>
      <c r="I252" s="24"/>
      <c r="J252" s="24"/>
    </row>
    <row r="253" spans="1:10" s="1" customFormat="1" ht="15.9" customHeight="1">
      <c r="A253" s="44"/>
      <c r="B253" s="44"/>
      <c r="D253" s="84"/>
      <c r="E253" s="44"/>
      <c r="F253" s="44"/>
      <c r="G253" s="109"/>
      <c r="H253" s="109"/>
      <c r="I253" s="24"/>
      <c r="J253" s="24"/>
    </row>
    <row r="254" spans="1:10" s="1" customFormat="1" ht="15.9" customHeight="1">
      <c r="A254" s="40"/>
      <c r="B254" s="40"/>
      <c r="C254" s="89" t="s">
        <v>371</v>
      </c>
      <c r="D254" s="85"/>
      <c r="E254" s="40"/>
      <c r="F254" s="32"/>
      <c r="G254" s="109"/>
      <c r="I254" s="24"/>
      <c r="J254" s="24"/>
    </row>
    <row r="255" spans="1:10" s="1" customFormat="1" ht="15.9" customHeight="1">
      <c r="A255" s="27"/>
      <c r="B255" s="33"/>
      <c r="C255" s="328" t="s">
        <v>275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27" t="s">
        <v>273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74">
        <f>$I$136</f>
        <v>3440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63">
        <f>$J$136</f>
        <v>1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46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161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89" t="s">
        <v>373</v>
      </c>
      <c r="D264" s="161"/>
      <c r="E264" s="109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8" t="s">
        <v>379</v>
      </c>
      <c r="D265" s="328"/>
      <c r="E265" s="328"/>
      <c r="F265" s="109"/>
      <c r="G265" s="109"/>
      <c r="H265" s="109"/>
      <c r="I265" s="24"/>
      <c r="J265" s="24"/>
    </row>
    <row r="266" spans="1:10" s="1" customFormat="1" ht="15.9" customHeight="1">
      <c r="A266" s="27"/>
      <c r="B266" s="33"/>
      <c r="C266" s="327" t="s">
        <v>279</v>
      </c>
      <c r="D266" s="327"/>
      <c r="E266" s="327"/>
      <c r="F266" s="109"/>
      <c r="G266" s="109"/>
      <c r="H266" s="109"/>
      <c r="J266" s="12"/>
    </row>
    <row r="267" spans="1:10" s="1" customFormat="1" ht="15.9" customHeight="1">
      <c r="A267" s="27"/>
      <c r="B267" s="33"/>
      <c r="C267" s="374">
        <f>$I$137</f>
        <v>2500</v>
      </c>
      <c r="D267" s="161"/>
      <c r="E267" s="109"/>
      <c r="F267" s="109"/>
      <c r="G267" s="33"/>
      <c r="H267" s="33"/>
      <c r="J267" s="12"/>
    </row>
    <row r="268" spans="1:10" s="1" customFormat="1" ht="15.9" customHeight="1">
      <c r="A268" s="27"/>
      <c r="B268" s="33"/>
      <c r="C268" s="363">
        <f>$J$137+$J$138</f>
        <v>2</v>
      </c>
      <c r="D268" s="161"/>
      <c r="E268" s="10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D271" s="328"/>
      <c r="E271" s="328"/>
      <c r="F271" s="109"/>
      <c r="G271" s="109"/>
      <c r="H271" s="109"/>
      <c r="J271" s="12"/>
    </row>
    <row r="272" spans="1:10" s="1" customFormat="1" ht="15.9" customHeight="1">
      <c r="A272" s="27"/>
      <c r="B272" s="33"/>
      <c r="D272" s="328"/>
      <c r="E272" s="328"/>
      <c r="F272" s="109"/>
      <c r="G272" s="109"/>
      <c r="I272" s="24"/>
      <c r="J272" s="24"/>
    </row>
    <row r="273" spans="1:10" s="1" customFormat="1" ht="15.9" customHeight="1">
      <c r="A273" s="27"/>
      <c r="B273" s="33"/>
      <c r="C273" s="33"/>
      <c r="D273" s="161"/>
      <c r="E273" s="109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89" t="s">
        <v>383</v>
      </c>
      <c r="D274" s="162"/>
      <c r="E274" s="24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328" t="s">
        <v>649</v>
      </c>
      <c r="D275" s="328"/>
      <c r="E275" s="328"/>
      <c r="F275" s="109"/>
      <c r="G275" s="109"/>
      <c r="I275" s="109"/>
      <c r="J275" s="24"/>
    </row>
    <row r="276" spans="1:10" s="1" customFormat="1" ht="15.9" customHeight="1">
      <c r="A276" s="27"/>
      <c r="B276" s="33"/>
      <c r="C276" s="433" t="s">
        <v>650</v>
      </c>
      <c r="D276" s="327"/>
      <c r="E276" s="327"/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374">
        <f>$I$139</f>
        <v>2404</v>
      </c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363">
        <f>$J$139+$J$140</f>
        <v>2</v>
      </c>
      <c r="F278" s="109"/>
      <c r="G278" s="109"/>
      <c r="I278" s="109"/>
      <c r="J278" s="24"/>
    </row>
    <row r="279" spans="1:10" s="1" customFormat="1" ht="15.9" customHeight="1">
      <c r="A279" s="27"/>
      <c r="B279" s="33"/>
      <c r="F279" s="109"/>
      <c r="G279" s="109"/>
      <c r="H279" s="109"/>
      <c r="J279" s="12"/>
    </row>
    <row r="280" spans="1:10" s="1" customFormat="1" ht="15.9" customHeight="1">
      <c r="A280" s="27"/>
      <c r="B280" s="33"/>
      <c r="C280" s="33"/>
      <c r="D280" s="161"/>
      <c r="E280" s="109"/>
      <c r="F280" s="109"/>
      <c r="G280" s="109"/>
      <c r="H280" s="109"/>
      <c r="J280" s="12"/>
    </row>
    <row r="281" spans="1:10" s="1" customFormat="1" ht="15.9" customHeight="1">
      <c r="A281" s="27"/>
      <c r="B281" s="33"/>
      <c r="F281" s="109"/>
      <c r="G281" s="109"/>
      <c r="H281" s="109"/>
      <c r="J281" s="12"/>
    </row>
    <row r="282" spans="1:10" s="1" customFormat="1" ht="15.9" customHeight="1">
      <c r="A282" s="27"/>
      <c r="B282" s="33"/>
      <c r="F282" s="109"/>
      <c r="G282" s="109"/>
      <c r="H282" s="109"/>
      <c r="I282" s="162"/>
      <c r="J282" s="24"/>
    </row>
    <row r="283" spans="1:10" s="1" customFormat="1" ht="15.9" customHeight="1">
      <c r="A283" s="27"/>
      <c r="B283" s="33"/>
      <c r="C283" s="89" t="s">
        <v>375</v>
      </c>
      <c r="F283" s="109"/>
      <c r="G283" s="109"/>
      <c r="H283" s="109"/>
      <c r="I283" s="109"/>
      <c r="J283" s="24"/>
    </row>
    <row r="284" spans="1:10" s="1" customFormat="1" ht="15.9" customHeight="1">
      <c r="A284" s="27"/>
      <c r="B284" s="33"/>
      <c r="C284" s="94" t="s">
        <v>444</v>
      </c>
      <c r="D284" s="161"/>
      <c r="E284" s="109"/>
      <c r="F284" s="109"/>
      <c r="G284" s="109"/>
      <c r="H284" s="109"/>
      <c r="I284" s="24"/>
      <c r="J284" s="24"/>
    </row>
    <row r="285" spans="1:10" s="1" customFormat="1" ht="15.9" customHeight="1">
      <c r="A285" s="27"/>
      <c r="B285" s="33"/>
      <c r="C285" s="327" t="s">
        <v>445</v>
      </c>
      <c r="D285" s="161"/>
      <c r="E285" s="109"/>
      <c r="F285" s="109"/>
      <c r="G285" s="109"/>
      <c r="H285" s="109"/>
      <c r="I285" s="24"/>
      <c r="J285" s="24"/>
    </row>
    <row r="286" spans="1:10" s="1" customFormat="1" ht="15.9" customHeight="1">
      <c r="A286" s="27"/>
      <c r="B286" s="33"/>
      <c r="C286" s="328" t="s">
        <v>281</v>
      </c>
      <c r="D286" s="328"/>
      <c r="E286" s="328"/>
      <c r="F286" s="109"/>
      <c r="G286" s="109"/>
      <c r="I286" s="24"/>
      <c r="J286" s="24"/>
    </row>
    <row r="287" spans="1:10" s="23" customFormat="1" ht="15.9" customHeight="1">
      <c r="A287" s="27"/>
      <c r="B287" s="33"/>
      <c r="C287" s="327" t="s">
        <v>282</v>
      </c>
      <c r="D287" s="327"/>
      <c r="E287" s="327"/>
      <c r="F287" s="109"/>
      <c r="G287" s="109"/>
      <c r="H287" s="1"/>
      <c r="I287" s="109"/>
      <c r="J287" s="109"/>
    </row>
    <row r="288" spans="1:10" s="1" customFormat="1" ht="15.9" customHeight="1">
      <c r="A288" s="27"/>
      <c r="B288" s="33"/>
      <c r="C288" s="374">
        <f>$I$141</f>
        <v>376.5</v>
      </c>
      <c r="F288" s="109"/>
      <c r="G288" s="109"/>
      <c r="I288" s="44"/>
      <c r="J288" s="119"/>
    </row>
    <row r="289" spans="1:10" s="1" customFormat="1" ht="15.9" customHeight="1">
      <c r="A289" s="27"/>
      <c r="B289" s="33"/>
      <c r="C289" s="363">
        <f>$J$141+$J$142</f>
        <v>14</v>
      </c>
      <c r="D289" s="161"/>
      <c r="E289" s="109"/>
      <c r="F289" s="109"/>
      <c r="G289" s="109"/>
      <c r="H289" s="161"/>
      <c r="I289" s="32"/>
      <c r="J289" s="40"/>
    </row>
    <row r="290" spans="1:10" s="1" customFormat="1" ht="15.9" customHeight="1">
      <c r="A290" s="27"/>
      <c r="B290" s="33"/>
      <c r="C290" s="374">
        <f>$I$143</f>
        <v>2408</v>
      </c>
      <c r="D290" s="161"/>
      <c r="E290" s="109"/>
      <c r="F290" s="109"/>
      <c r="G290" s="109"/>
      <c r="H290" s="109"/>
      <c r="I290" s="24"/>
      <c r="J290" s="24"/>
    </row>
    <row r="291" spans="1:10" s="1" customFormat="1" ht="15.9" customHeight="1">
      <c r="A291" s="27"/>
      <c r="B291" s="33"/>
      <c r="C291" s="363">
        <f>$J$143+$J$144+$J$145</f>
        <v>14</v>
      </c>
      <c r="D291" s="161"/>
      <c r="E291" s="109"/>
      <c r="F291" s="109"/>
      <c r="G291" s="109"/>
      <c r="H291" s="109"/>
      <c r="I291" s="24"/>
      <c r="J291" s="24"/>
    </row>
    <row r="292" spans="1:10" s="1" customFormat="1" ht="15.9" customHeight="1">
      <c r="A292" s="27"/>
      <c r="B292" s="33"/>
      <c r="D292" s="161"/>
      <c r="E292" s="109"/>
      <c r="F292" s="109"/>
      <c r="G292" s="109"/>
      <c r="H292" s="109"/>
      <c r="I292" s="24"/>
      <c r="J292" s="24"/>
    </row>
    <row r="293" spans="1:10" s="1" customFormat="1" ht="15.9" customHeight="1">
      <c r="A293" s="27"/>
      <c r="B293" s="33"/>
      <c r="C293" s="33"/>
      <c r="D293" s="161"/>
      <c r="E293" s="109"/>
      <c r="F293" s="109"/>
      <c r="G293" s="109"/>
      <c r="H293" s="109"/>
      <c r="I293" s="109"/>
      <c r="J293" s="24"/>
    </row>
    <row r="294" spans="1:10" s="1" customFormat="1" ht="15.9" customHeight="1">
      <c r="A294" s="27"/>
      <c r="B294" s="33"/>
      <c r="C294" s="23"/>
      <c r="D294" s="161"/>
      <c r="E294" s="109"/>
      <c r="F294" s="109"/>
      <c r="G294" s="109"/>
      <c r="H294" s="109"/>
      <c r="I294" s="109"/>
      <c r="J294" s="24"/>
    </row>
    <row r="295" spans="1:10" s="1" customFormat="1" ht="15.9" customHeight="1">
      <c r="A295" s="27"/>
      <c r="B295" s="33"/>
      <c r="C295" s="89" t="s">
        <v>376</v>
      </c>
      <c r="D295" s="161"/>
      <c r="E295" s="109"/>
      <c r="F295" s="109"/>
      <c r="G295" s="109"/>
      <c r="H295" s="109"/>
      <c r="I295" s="109"/>
      <c r="J295" s="24"/>
    </row>
    <row r="296" spans="1:10" s="1" customFormat="1" ht="15.9" customHeight="1">
      <c r="A296" s="27"/>
      <c r="B296" s="33"/>
      <c r="C296" s="94" t="s">
        <v>444</v>
      </c>
      <c r="D296" s="161"/>
      <c r="E296" s="109"/>
      <c r="F296" s="109"/>
      <c r="G296" s="44"/>
      <c r="H296" s="44"/>
      <c r="I296" s="109"/>
      <c r="J296" s="24"/>
    </row>
    <row r="297" spans="1:10" s="1" customFormat="1" ht="15.9" customHeight="1">
      <c r="A297" s="27"/>
      <c r="B297" s="33"/>
      <c r="C297" s="327" t="s">
        <v>446</v>
      </c>
      <c r="D297" s="328"/>
      <c r="E297" s="328"/>
      <c r="F297" s="109"/>
      <c r="G297" s="40"/>
      <c r="H297" s="32"/>
      <c r="I297" s="109"/>
      <c r="J297" s="24"/>
    </row>
    <row r="298" spans="1:10" s="1" customFormat="1" ht="15.9" customHeight="1">
      <c r="A298" s="41"/>
      <c r="B298" s="33"/>
      <c r="C298" s="328" t="s">
        <v>286</v>
      </c>
      <c r="D298" s="327"/>
      <c r="E298" s="327"/>
      <c r="F298" s="109"/>
      <c r="G298" s="109"/>
      <c r="H298" s="109"/>
      <c r="I298" s="109"/>
      <c r="J298" s="24"/>
    </row>
    <row r="299" spans="1:10" s="1" customFormat="1" ht="15.9" customHeight="1">
      <c r="A299" s="44"/>
      <c r="B299" s="44"/>
      <c r="C299" s="327" t="s">
        <v>285</v>
      </c>
      <c r="D299" s="86"/>
      <c r="E299" s="79"/>
      <c r="F299" s="44"/>
      <c r="G299" s="109"/>
      <c r="H299" s="109"/>
      <c r="I299" s="109"/>
      <c r="J299" s="24"/>
    </row>
    <row r="300" spans="1:10" s="1" customFormat="1" ht="15.9" customHeight="1">
      <c r="A300" s="40"/>
      <c r="B300" s="40"/>
      <c r="C300" s="374">
        <f>$I$146</f>
        <v>376.5</v>
      </c>
      <c r="D300" s="87"/>
      <c r="E300" s="80"/>
      <c r="F300" s="32"/>
      <c r="G300" s="109"/>
      <c r="H300" s="109"/>
      <c r="I300" s="109"/>
      <c r="J300" s="24"/>
    </row>
    <row r="301" spans="1:10" s="1" customFormat="1" ht="15.9" customHeight="1">
      <c r="A301" s="109"/>
      <c r="B301" s="33"/>
      <c r="C301" s="363">
        <f>$J$146</f>
        <v>14</v>
      </c>
      <c r="D301" s="15"/>
      <c r="F301" s="109"/>
      <c r="G301" s="109"/>
      <c r="H301" s="109"/>
      <c r="I301" s="109"/>
      <c r="J301" s="24"/>
    </row>
    <row r="302" spans="1:10" s="1" customFormat="1" ht="15.9" customHeight="1">
      <c r="A302" s="109"/>
      <c r="B302" s="33"/>
      <c r="C302" s="374">
        <f>$I$147</f>
        <v>2258</v>
      </c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C303" s="363">
        <f>$J$147</f>
        <v>14</v>
      </c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C306" s="89" t="s">
        <v>377</v>
      </c>
      <c r="D306" s="161"/>
      <c r="E306" s="109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328" t="s">
        <v>281</v>
      </c>
      <c r="D307" s="328"/>
      <c r="E307" s="328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542" t="s">
        <v>282</v>
      </c>
      <c r="D308" s="542"/>
      <c r="E308" s="542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74">
        <f>$I$148</f>
        <v>2408</v>
      </c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63">
        <f>$J$148+$J$149</f>
        <v>2</v>
      </c>
      <c r="D310" s="328"/>
      <c r="E310" s="328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D311" s="15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33"/>
      <c r="D314" s="162"/>
      <c r="E314" s="24"/>
      <c r="F314" s="109"/>
      <c r="G314" s="109"/>
      <c r="H314" s="109"/>
      <c r="I314" s="27"/>
      <c r="J314" s="99" t="str">
        <f>LEFT($J$111,13)&amp;"-03"</f>
        <v>FG-240-7P6L1R-03</v>
      </c>
    </row>
    <row r="315" spans="1:14" ht="12.75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30" customHeight="1">
      <c r="A316" s="17"/>
      <c r="B316" s="26"/>
      <c r="C316" s="26"/>
      <c r="D316" s="83"/>
      <c r="E316" s="25"/>
      <c r="F316" s="25"/>
      <c r="G316" s="25"/>
      <c r="H316" s="25"/>
      <c r="I316" s="179"/>
      <c r="J316" s="90" t="str">
        <f>$J$2</f>
        <v>HOMELIFE</v>
      </c>
    </row>
    <row r="317" spans="1:14" ht="24.9" customHeight="1">
      <c r="B317" s="231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231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s="1" customFormat="1" ht="15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  <c r="K320" s="4"/>
      <c r="L320" s="4"/>
      <c r="M320" s="4"/>
      <c r="N320" s="4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228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228"/>
      <c r="I331" s="161"/>
      <c r="J331" s="109"/>
    </row>
    <row r="332" spans="1:10" s="1" customFormat="1" ht="15" customHeight="1">
      <c r="A332" s="64" t="str">
        <f>A18</f>
        <v>240-7 Panel (6L1R)</v>
      </c>
      <c r="B332" s="92"/>
      <c r="C332" s="161"/>
      <c r="D332" s="161"/>
      <c r="E332" s="109"/>
      <c r="F332" s="228"/>
      <c r="G332" s="228"/>
      <c r="H332" s="228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92"/>
      <c r="C333" s="161"/>
      <c r="D333" s="161"/>
      <c r="E333" s="109"/>
      <c r="F333" s="228"/>
      <c r="G333" s="228"/>
      <c r="H333" s="228"/>
      <c r="I333" s="109"/>
      <c r="J333" s="109"/>
    </row>
    <row r="334" spans="1:10" s="1" customFormat="1" ht="15.9" customHeight="1">
      <c r="A334" s="109"/>
      <c r="B334" s="45"/>
      <c r="C334" s="42"/>
      <c r="D334" s="161"/>
      <c r="E334" s="109"/>
      <c r="F334" s="507"/>
      <c r="G334" s="507"/>
      <c r="H334" s="228"/>
      <c r="I334" s="109"/>
      <c r="J334" s="109"/>
    </row>
    <row r="335" spans="1:10" s="1" customFormat="1" ht="15.9" customHeight="1">
      <c r="A335" s="39"/>
      <c r="B335" s="109"/>
      <c r="C335" s="161"/>
      <c r="D335" s="161"/>
      <c r="E335" s="109"/>
      <c r="F335" s="37"/>
      <c r="G335" s="38"/>
      <c r="H335" s="109"/>
      <c r="I335" s="109"/>
      <c r="J335" s="109"/>
    </row>
    <row r="336" spans="1:10" s="1" customFormat="1" ht="15.9" customHeight="1">
      <c r="A336" s="44"/>
      <c r="C336" s="43"/>
      <c r="D336" s="161"/>
      <c r="E336" s="109"/>
      <c r="F336" s="109"/>
      <c r="G336" s="109"/>
      <c r="H336" s="109"/>
      <c r="I336" s="44"/>
      <c r="J336" s="119"/>
    </row>
    <row r="337" spans="1:10" s="1" customFormat="1" ht="15.9" customHeight="1">
      <c r="A337" s="40"/>
      <c r="C337" s="44"/>
      <c r="D337" s="84"/>
      <c r="E337" s="44"/>
      <c r="F337" s="44"/>
      <c r="G337" s="44"/>
      <c r="H337" s="44"/>
      <c r="I337" s="32"/>
      <c r="J337" s="40"/>
    </row>
    <row r="338" spans="1:10" s="1" customFormat="1" ht="15.9" customHeight="1">
      <c r="A338" s="109"/>
      <c r="C338" s="161"/>
      <c r="D338" s="85"/>
      <c r="E338" s="40"/>
      <c r="F338" s="32"/>
      <c r="G338" s="40"/>
      <c r="H338" s="32"/>
      <c r="I338" s="24"/>
      <c r="J338" s="24"/>
    </row>
    <row r="339" spans="1:10" s="1" customFormat="1" ht="15.9" customHeight="1">
      <c r="A339" s="109"/>
      <c r="C339" s="163"/>
      <c r="D339" s="161"/>
      <c r="E339" s="109"/>
      <c r="F339" s="161"/>
      <c r="G339" s="109"/>
      <c r="H339" s="109"/>
      <c r="I339" s="24"/>
      <c r="J339" s="24"/>
    </row>
    <row r="340" spans="1:10" s="1" customFormat="1" ht="15.9" customHeight="1">
      <c r="A340" s="109"/>
      <c r="B340" s="33"/>
      <c r="C340" s="161"/>
      <c r="D340" s="161"/>
      <c r="E340" s="109"/>
      <c r="F340" s="161"/>
      <c r="G340" s="109"/>
      <c r="H340" s="109"/>
      <c r="I340" s="162"/>
      <c r="J340" s="162"/>
    </row>
    <row r="341" spans="1:10" s="1" customFormat="1" ht="15.9" customHeight="1">
      <c r="A341" s="109"/>
      <c r="B341" s="33"/>
      <c r="C341" s="44"/>
      <c r="D341" s="161"/>
      <c r="E341" s="109"/>
      <c r="F341" s="161"/>
      <c r="G341" s="109"/>
      <c r="H341" s="162"/>
      <c r="I341" s="161"/>
      <c r="J341" s="161"/>
    </row>
    <row r="342" spans="1:10" s="1" customFormat="1" ht="15.9" customHeight="1">
      <c r="A342" s="109"/>
      <c r="B342" s="33"/>
      <c r="C342" s="42"/>
      <c r="D342" s="161"/>
      <c r="E342" s="109"/>
      <c r="F342" s="161"/>
      <c r="G342" s="109"/>
      <c r="H342" s="161"/>
      <c r="I342" s="161"/>
      <c r="J342" s="161"/>
    </row>
    <row r="343" spans="1:10" s="1" customFormat="1" ht="15.9" customHeight="1">
      <c r="A343" s="109"/>
      <c r="B343" s="33"/>
      <c r="C343" s="163"/>
      <c r="D343" s="161"/>
      <c r="E343" s="109"/>
      <c r="F343" s="161"/>
      <c r="G343" s="109"/>
      <c r="H343" s="161"/>
      <c r="I343" s="109"/>
      <c r="J343" s="24"/>
    </row>
    <row r="344" spans="1:10" s="1" customFormat="1" ht="15.9" customHeight="1">
      <c r="A344" s="109"/>
      <c r="B344" s="33"/>
      <c r="C344" s="161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44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3"/>
      <c r="D350" s="161"/>
      <c r="E350" s="109"/>
      <c r="F350" s="161"/>
      <c r="G350" s="109"/>
      <c r="H350" s="109"/>
      <c r="I350" s="109"/>
      <c r="J350" s="24"/>
    </row>
    <row r="351" spans="1:10" s="1" customFormat="1" ht="15.9" customHeight="1">
      <c r="A351" s="109"/>
      <c r="B351" s="33"/>
      <c r="C351" s="161"/>
      <c r="D351" s="161"/>
      <c r="E351" s="109"/>
      <c r="F351" s="161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1" customFormat="1" ht="15" customHeight="1">
      <c r="A353" s="109"/>
      <c r="B353" s="33"/>
      <c r="C353" s="33"/>
      <c r="D353" s="161"/>
      <c r="E353" s="109"/>
      <c r="F353" s="109"/>
      <c r="G353" s="109"/>
      <c r="H353" s="107"/>
      <c r="I353" s="24"/>
      <c r="J353" s="24"/>
    </row>
    <row r="354" spans="1:10" s="23" customFormat="1" ht="15.9" customHeight="1">
      <c r="A354" s="109"/>
      <c r="B354" s="33"/>
      <c r="C354" s="33"/>
      <c r="D354" s="161"/>
      <c r="E354" s="109"/>
      <c r="F354" s="109"/>
      <c r="G354" s="109"/>
      <c r="H354" s="109"/>
      <c r="I354" s="109"/>
      <c r="J354" s="109"/>
    </row>
    <row r="355" spans="1:10" s="1" customFormat="1" ht="15.9" customHeight="1">
      <c r="A355" s="44"/>
      <c r="B355" s="33"/>
      <c r="C355" s="33"/>
      <c r="D355" s="161"/>
      <c r="E355" s="109"/>
      <c r="F355" s="109"/>
      <c r="G355" s="109"/>
      <c r="H355" s="109"/>
      <c r="I355" s="44"/>
      <c r="J355" s="119"/>
    </row>
    <row r="356" spans="1:10" s="1" customFormat="1" ht="15.9" customHeight="1">
      <c r="A356" s="40"/>
      <c r="B356" s="44"/>
      <c r="C356" s="44"/>
      <c r="D356" s="84"/>
      <c r="E356" s="44"/>
      <c r="F356" s="44"/>
      <c r="G356" s="44"/>
      <c r="H356" s="44"/>
      <c r="I356" s="32"/>
      <c r="J356" s="40"/>
    </row>
    <row r="357" spans="1:10" s="1" customFormat="1" ht="15.9" customHeight="1">
      <c r="A357" s="27"/>
      <c r="B357" s="40"/>
      <c r="C357" s="44"/>
      <c r="D357" s="85"/>
      <c r="E357" s="40"/>
      <c r="F357" s="32"/>
      <c r="G357" s="40"/>
      <c r="H357" s="32"/>
      <c r="I357" s="24"/>
      <c r="J357" s="24"/>
    </row>
    <row r="358" spans="1:10" s="1" customFormat="1" ht="15.9" customHeight="1">
      <c r="A358" s="27"/>
      <c r="B358" s="33"/>
      <c r="C358" s="42"/>
      <c r="D358" s="161"/>
      <c r="E358" s="109"/>
      <c r="F358" s="109"/>
      <c r="G358" s="109"/>
      <c r="H358" s="42"/>
      <c r="I358" s="163"/>
      <c r="J358" s="163"/>
    </row>
    <row r="359" spans="1:10" s="1" customFormat="1" ht="15.9" customHeight="1">
      <c r="A359" s="27"/>
      <c r="B359" s="33"/>
      <c r="C359" s="163"/>
      <c r="D359" s="161"/>
      <c r="E359" s="109"/>
      <c r="F359" s="109"/>
      <c r="G359" s="109"/>
      <c r="H359" s="163"/>
      <c r="I359" s="161"/>
      <c r="J359" s="161"/>
    </row>
    <row r="360" spans="1:10" s="1" customFormat="1" ht="15.9" customHeight="1">
      <c r="A360" s="27"/>
      <c r="B360" s="33"/>
      <c r="C360" s="161"/>
      <c r="D360" s="161"/>
      <c r="E360" s="109"/>
      <c r="F360" s="109"/>
      <c r="G360" s="109"/>
      <c r="H360" s="161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46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161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D372" s="161"/>
      <c r="E372" s="109"/>
      <c r="F372" s="109"/>
      <c r="G372" s="33"/>
      <c r="H372" s="33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42"/>
      <c r="I376" s="163"/>
      <c r="J376" s="163"/>
    </row>
    <row r="377" spans="1:10" s="1" customFormat="1" ht="15.9" customHeight="1">
      <c r="A377" s="27"/>
      <c r="B377" s="33"/>
      <c r="C377" s="47"/>
      <c r="D377" s="161"/>
      <c r="E377" s="109"/>
      <c r="F377" s="109"/>
      <c r="G377" s="109"/>
      <c r="H377" s="163"/>
      <c r="I377" s="161"/>
      <c r="J377" s="161"/>
    </row>
    <row r="378" spans="1:10" s="1" customFormat="1" ht="15.9" customHeight="1">
      <c r="A378" s="27"/>
      <c r="B378" s="33"/>
      <c r="C378" s="46"/>
      <c r="D378" s="161"/>
      <c r="E378" s="109"/>
      <c r="F378" s="109"/>
      <c r="G378" s="109"/>
      <c r="H378" s="161"/>
      <c r="I378" s="24"/>
      <c r="J378" s="24"/>
    </row>
    <row r="379" spans="1:10" s="1" customFormat="1" ht="15.9" customHeight="1">
      <c r="A379" s="27"/>
      <c r="B379" s="33"/>
      <c r="C379" s="161"/>
      <c r="D379" s="161"/>
      <c r="E379" s="109"/>
      <c r="F379" s="109"/>
      <c r="G379" s="109"/>
      <c r="H379" s="42"/>
      <c r="I379" s="163"/>
      <c r="J379" s="163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3"/>
      <c r="I380" s="161"/>
      <c r="J380" s="161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1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64"/>
      <c r="J388" s="16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4"/>
      <c r="I389" s="165"/>
      <c r="J389" s="165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5"/>
      <c r="I390" s="161"/>
      <c r="J390" s="161"/>
    </row>
    <row r="391" spans="1:10" s="1" customFormat="1" ht="15.9" customHeight="1">
      <c r="A391" s="27"/>
      <c r="B391" s="33"/>
      <c r="C391" s="47"/>
      <c r="D391" s="161"/>
      <c r="E391" s="109"/>
      <c r="F391" s="109"/>
      <c r="G391" s="109"/>
      <c r="H391" s="161"/>
      <c r="I391" s="24"/>
      <c r="J391" s="24"/>
    </row>
    <row r="392" spans="1:10" s="1" customFormat="1" ht="15.9" customHeight="1">
      <c r="A392" s="27"/>
      <c r="B392" s="33"/>
      <c r="C392" s="46"/>
      <c r="D392" s="161"/>
      <c r="E392" s="109"/>
      <c r="F392" s="109"/>
      <c r="G392" s="109"/>
      <c r="H392" s="109"/>
      <c r="I392" s="109"/>
      <c r="J392" s="24"/>
    </row>
    <row r="393" spans="1:10" s="1" customFormat="1" ht="15.9" customHeight="1">
      <c r="A393" s="27"/>
      <c r="B393" s="33"/>
      <c r="C393" s="161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23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1" customFormat="1" ht="15.9" customHeight="1">
      <c r="A405" s="44"/>
      <c r="B405" s="33"/>
      <c r="C405" s="33"/>
      <c r="D405" s="161"/>
      <c r="E405" s="109"/>
      <c r="F405" s="109"/>
      <c r="G405" s="109"/>
      <c r="H405" s="109"/>
      <c r="I405" s="44"/>
      <c r="J405" s="119"/>
    </row>
    <row r="406" spans="1:10" s="1" customFormat="1" ht="15.9" customHeight="1">
      <c r="A406" s="44"/>
      <c r="B406" s="33"/>
      <c r="C406" s="33"/>
      <c r="D406" s="161"/>
      <c r="E406" s="109"/>
      <c r="F406" s="109"/>
      <c r="G406" s="109"/>
      <c r="H406" s="109"/>
      <c r="I406" s="44"/>
      <c r="J406" s="119"/>
    </row>
    <row r="407" spans="1:10" s="1" customFormat="1" ht="15.9" customHeight="1">
      <c r="A407" s="44"/>
      <c r="B407" s="33"/>
      <c r="C407" s="33"/>
      <c r="D407" s="161"/>
      <c r="E407" s="109"/>
      <c r="F407" s="109"/>
      <c r="G407" s="109"/>
      <c r="H407" s="109"/>
      <c r="I407" s="44"/>
      <c r="J407" s="119"/>
    </row>
    <row r="408" spans="1:10" s="1" customFormat="1" ht="15.9" customHeight="1">
      <c r="A408" s="44"/>
      <c r="B408" s="33"/>
      <c r="C408" s="33"/>
      <c r="D408" s="161"/>
      <c r="E408" s="109"/>
      <c r="F408" s="109"/>
      <c r="G408" s="109"/>
      <c r="H408" s="109"/>
      <c r="I408" s="44"/>
      <c r="J408" s="119"/>
    </row>
    <row r="409" spans="1:10" s="1" customFormat="1" ht="15.9" customHeight="1">
      <c r="A409" s="44"/>
      <c r="B409" s="33"/>
      <c r="C409" s="33"/>
      <c r="D409" s="161"/>
      <c r="E409" s="109"/>
      <c r="F409" s="109"/>
      <c r="G409" s="109"/>
      <c r="H409" s="109"/>
      <c r="I409" s="44"/>
      <c r="J409" s="119"/>
    </row>
    <row r="410" spans="1:10" s="1" customFormat="1" ht="15.9" customHeight="1">
      <c r="A410" s="44"/>
      <c r="B410" s="33"/>
      <c r="C410" s="33"/>
      <c r="D410" s="161"/>
      <c r="E410" s="109"/>
      <c r="F410" s="109"/>
      <c r="G410" s="109"/>
      <c r="H410" s="109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109"/>
      <c r="B419" s="44"/>
      <c r="C419" s="44"/>
      <c r="D419" s="84"/>
      <c r="E419" s="44"/>
      <c r="F419" s="44"/>
      <c r="G419" s="44"/>
      <c r="H419" s="44"/>
      <c r="I419" s="24"/>
      <c r="J419" s="24"/>
      <c r="K419" s="71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LEFT($J$111,13)&amp;"-04"</f>
        <v>FG-240-7P6L1R-04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A423" s="109"/>
      <c r="B423" s="33"/>
      <c r="C423" s="33"/>
      <c r="D423" s="161"/>
      <c r="E423" s="109"/>
      <c r="F423" s="109"/>
      <c r="G423" s="109"/>
      <c r="H423" s="109"/>
      <c r="I423" s="109"/>
      <c r="J423" s="90" t="str">
        <f>$J$2</f>
        <v>HOMELIFE</v>
      </c>
      <c r="K423" s="7"/>
      <c r="L423" s="7"/>
      <c r="M423" s="2"/>
      <c r="N423" s="2"/>
    </row>
    <row r="424" spans="1:14" ht="24.9" customHeight="1">
      <c r="A424" s="109"/>
      <c r="B424" s="33"/>
      <c r="C424" s="33"/>
      <c r="D424" s="161"/>
      <c r="E424" s="109"/>
      <c r="F424" s="109"/>
      <c r="G424" s="109"/>
      <c r="H424" s="109"/>
      <c r="I424" s="109"/>
      <c r="J424" s="91" t="str">
        <f>$J$3</f>
        <v>Fabricators Guide</v>
      </c>
      <c r="K424" s="7"/>
      <c r="L424" s="7"/>
      <c r="M424" s="2"/>
      <c r="N424" s="2"/>
    </row>
    <row r="425" spans="1:14" ht="24.9" customHeight="1">
      <c r="B425" s="231"/>
      <c r="C425" s="28"/>
      <c r="D425" s="28"/>
      <c r="E425" s="28"/>
      <c r="F425" s="28"/>
      <c r="G425" s="28"/>
      <c r="H425" s="28"/>
      <c r="I425" s="28"/>
      <c r="J425" s="91" t="str">
        <f>$J$4</f>
        <v xml:space="preserve">240 Series Bi Fold Door </v>
      </c>
      <c r="K425" s="48"/>
      <c r="L425" s="48"/>
      <c r="M425" s="4"/>
      <c r="N425" s="4"/>
    </row>
    <row r="426" spans="1:14" s="1" customFormat="1" ht="15" customHeight="1" thickBot="1">
      <c r="A426" s="78"/>
      <c r="B426" s="8"/>
      <c r="C426" s="28"/>
      <c r="D426" s="28"/>
      <c r="E426" s="28"/>
      <c r="F426" s="28"/>
      <c r="G426" s="28"/>
      <c r="H426" s="2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  <c r="K427" s="4"/>
      <c r="L427" s="4"/>
      <c r="M427" s="4"/>
      <c r="N427" s="4"/>
    </row>
    <row r="428" spans="1:14" s="1" customFormat="1" ht="15" customHeight="1">
      <c r="A428" s="193"/>
      <c r="B428" s="194"/>
      <c r="C428" s="194"/>
      <c r="D428" s="194"/>
      <c r="E428" s="194"/>
      <c r="F428" s="194"/>
      <c r="G428" s="194"/>
      <c r="H428" s="194"/>
      <c r="I428" s="193"/>
      <c r="K428" s="56"/>
      <c r="L428" s="56"/>
      <c r="M428" s="56"/>
      <c r="N428" s="56"/>
    </row>
    <row r="429" spans="1:14" s="1" customFormat="1" ht="15" customHeight="1">
      <c r="A429" s="45"/>
      <c r="B429" s="193"/>
      <c r="C429" s="193"/>
      <c r="D429" s="193"/>
      <c r="E429" s="193"/>
      <c r="F429" s="193"/>
      <c r="G429" s="193"/>
      <c r="H429" s="193"/>
      <c r="I429" s="44"/>
      <c r="J429" s="119"/>
    </row>
    <row r="430" spans="1:14" s="1" customFormat="1" ht="15" customHeight="1">
      <c r="A430" s="109"/>
      <c r="B430" s="39"/>
      <c r="C430" s="33"/>
      <c r="D430" s="161"/>
      <c r="E430" s="35"/>
      <c r="F430" s="39"/>
      <c r="G430" s="193"/>
      <c r="H430" s="44"/>
      <c r="I430" s="44"/>
      <c r="J430" s="119"/>
    </row>
    <row r="431" spans="1:14" s="1" customFormat="1" ht="15" customHeight="1">
      <c r="A431" s="109"/>
      <c r="B431" s="33"/>
      <c r="C431" s="33"/>
      <c r="D431" s="161"/>
      <c r="E431" s="35"/>
      <c r="F431" s="161"/>
      <c r="G431" s="193"/>
      <c r="H431" s="44"/>
      <c r="I431" s="44"/>
      <c r="J431" s="119"/>
    </row>
    <row r="432" spans="1:14" s="1" customFormat="1" ht="15" customHeight="1">
      <c r="A432" s="109"/>
      <c r="B432" s="56"/>
      <c r="C432" s="56"/>
      <c r="D432" s="30"/>
      <c r="E432" s="29"/>
      <c r="F432" s="30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109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3"/>
      <c r="H434" s="44"/>
      <c r="I434" s="44"/>
      <c r="J434" s="119"/>
    </row>
    <row r="435" spans="1:10" s="1" customFormat="1" ht="15" customHeight="1">
      <c r="A435" s="109"/>
      <c r="B435" s="33"/>
      <c r="C435" s="161"/>
      <c r="D435" s="161"/>
      <c r="E435" s="35"/>
      <c r="F435" s="161"/>
      <c r="H435" s="44"/>
      <c r="I435" s="44"/>
      <c r="J435" s="119"/>
    </row>
    <row r="436" spans="1:10" s="1" customFormat="1" ht="15" customHeight="1">
      <c r="A436" s="39"/>
      <c r="B436" s="33"/>
      <c r="C436" s="42"/>
      <c r="D436" s="161"/>
      <c r="E436" s="109"/>
      <c r="F436" s="69"/>
      <c r="H436" s="44"/>
      <c r="I436" s="44"/>
      <c r="J436" s="119"/>
    </row>
    <row r="437" spans="1:10" s="1" customFormat="1" ht="15" customHeight="1">
      <c r="A437" s="92"/>
      <c r="B437" s="39"/>
      <c r="C437" s="163"/>
      <c r="D437" s="161"/>
      <c r="E437" s="109"/>
      <c r="F437" s="68"/>
      <c r="H437" s="44"/>
      <c r="I437" s="44"/>
      <c r="J437" s="119"/>
    </row>
    <row r="438" spans="1:10" s="1" customFormat="1" ht="15" customHeight="1">
      <c r="B438" s="92"/>
      <c r="C438" s="161"/>
      <c r="D438" s="161"/>
      <c r="E438" s="109"/>
      <c r="F438" s="228"/>
      <c r="H438" s="44"/>
      <c r="I438" s="44"/>
      <c r="J438" s="119"/>
    </row>
    <row r="439" spans="1:10" s="1" customFormat="1" ht="15" customHeight="1">
      <c r="A439" s="64" t="str">
        <f>A18</f>
        <v>240-7 Panel (6L1R)</v>
      </c>
      <c r="B439" s="92"/>
      <c r="C439" s="161"/>
      <c r="D439" s="161"/>
      <c r="E439" s="109"/>
      <c r="F439" s="228"/>
      <c r="H439" s="44"/>
      <c r="I439" s="44"/>
      <c r="J439" s="119"/>
    </row>
    <row r="440" spans="1:10" s="1" customFormat="1" ht="15.9" customHeight="1">
      <c r="A440" s="76" t="str">
        <f>A19</f>
        <v xml:space="preserve">Outside Bi Fold Door </v>
      </c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44"/>
      <c r="B442" s="38"/>
      <c r="C442" s="43"/>
      <c r="D442" s="161"/>
      <c r="E442" s="109"/>
      <c r="F442" s="109"/>
      <c r="H442" s="44"/>
      <c r="I442" s="44"/>
      <c r="J442" s="119"/>
    </row>
    <row r="443" spans="1:10" s="1" customFormat="1" ht="15.9" customHeight="1">
      <c r="A443" s="40"/>
      <c r="C443" s="44"/>
      <c r="D443" s="84"/>
      <c r="E443" s="44"/>
      <c r="F443" s="44"/>
      <c r="H443" s="44"/>
      <c r="I443" s="44"/>
      <c r="J443" s="119"/>
    </row>
    <row r="444" spans="1:10" s="1" customFormat="1" ht="35.1" customHeight="1">
      <c r="A444" s="109"/>
      <c r="C444" s="161"/>
      <c r="D444" s="85"/>
      <c r="E444" s="40"/>
      <c r="F444" s="32"/>
      <c r="H444" s="44"/>
      <c r="I444" s="24"/>
      <c r="J444" s="24"/>
    </row>
    <row r="445" spans="1:10" ht="15.6">
      <c r="B445" s="64"/>
      <c r="C445" s="163"/>
      <c r="D445" s="161"/>
      <c r="E445" s="109"/>
      <c r="F445" s="161"/>
      <c r="G445" s="109"/>
      <c r="H445" s="109"/>
    </row>
    <row r="450" spans="1:10" s="1" customFormat="1" ht="15.9" customHeight="1">
      <c r="A450" s="109"/>
      <c r="B450"/>
      <c r="C450"/>
      <c r="D450" s="81"/>
      <c r="E450"/>
      <c r="F450"/>
      <c r="G450"/>
      <c r="H450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44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1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163"/>
      <c r="D456" s="161"/>
      <c r="E456" s="109"/>
      <c r="F456" s="161"/>
      <c r="G456" s="109"/>
      <c r="H456" s="109"/>
      <c r="I456" s="109"/>
      <c r="J456" s="24"/>
    </row>
    <row r="457" spans="1:10" s="1" customFormat="1" ht="15.9" customHeight="1">
      <c r="A457" s="109"/>
      <c r="B457" s="33"/>
      <c r="C457" s="161"/>
      <c r="D457" s="161"/>
      <c r="E457" s="109"/>
      <c r="F457" s="161"/>
      <c r="G457" s="109"/>
      <c r="H457" s="109"/>
      <c r="I457" s="24"/>
      <c r="J457" s="24"/>
    </row>
    <row r="458" spans="1:10" s="1" customFormat="1" ht="15.9" customHeight="1">
      <c r="A458" s="109"/>
      <c r="B458" s="33"/>
      <c r="C458" s="33"/>
      <c r="D458" s="161"/>
      <c r="E458" s="109"/>
      <c r="F458" s="109"/>
      <c r="G458" s="109"/>
      <c r="H458" s="109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7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" customHeight="1">
      <c r="A476" s="109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23" customFormat="1" ht="15.9" customHeight="1">
      <c r="A477" s="109"/>
      <c r="B477" s="33"/>
      <c r="C477" s="33"/>
      <c r="D477" s="161"/>
      <c r="E477" s="109"/>
      <c r="F477" s="109"/>
      <c r="G477" s="109"/>
      <c r="H477" s="109"/>
      <c r="I477" s="109"/>
      <c r="J477" s="109"/>
    </row>
    <row r="478" spans="1:10" s="1" customFormat="1" ht="15.9" customHeight="1">
      <c r="A478" s="44"/>
      <c r="B478" s="33"/>
      <c r="C478" s="33"/>
      <c r="D478" s="161"/>
      <c r="E478" s="109"/>
      <c r="F478" s="109"/>
      <c r="G478" s="109"/>
      <c r="H478" s="109"/>
      <c r="I478" s="44"/>
      <c r="J478" s="119"/>
    </row>
    <row r="479" spans="1:10" s="1" customFormat="1" ht="15.9" customHeight="1">
      <c r="A479" s="40"/>
      <c r="B479" s="44"/>
      <c r="C479" s="44"/>
      <c r="D479" s="84"/>
      <c r="E479" s="44"/>
      <c r="F479" s="44"/>
      <c r="G479" s="44"/>
      <c r="H479" s="44"/>
      <c r="I479" s="32"/>
      <c r="J479" s="40"/>
    </row>
    <row r="480" spans="1:10" s="1" customFormat="1" ht="15.9" customHeight="1">
      <c r="A480" s="27"/>
      <c r="B480" s="40"/>
      <c r="C480" s="44"/>
      <c r="D480" s="85"/>
      <c r="E480" s="40"/>
      <c r="F480" s="32"/>
      <c r="G480" s="40"/>
      <c r="H480" s="32"/>
      <c r="I480" s="24"/>
      <c r="J480" s="24"/>
    </row>
    <row r="481" spans="1:10" s="1" customFormat="1" ht="15.9" customHeight="1">
      <c r="A481" s="27"/>
      <c r="B481" s="33"/>
      <c r="C481" s="42"/>
      <c r="D481" s="161"/>
      <c r="E481" s="109"/>
      <c r="F481" s="109"/>
      <c r="G481" s="109"/>
      <c r="H481" s="42"/>
      <c r="I481" s="67"/>
      <c r="J481" s="165"/>
    </row>
    <row r="482" spans="1:10" s="1" customFormat="1" ht="15.9" customHeight="1">
      <c r="A482" s="27"/>
      <c r="B482" s="33"/>
      <c r="C482" s="163"/>
      <c r="D482" s="161"/>
      <c r="E482" s="109"/>
      <c r="F482" s="109"/>
      <c r="G482" s="109"/>
      <c r="H482" s="67"/>
      <c r="I482" s="38"/>
      <c r="J482" s="109"/>
    </row>
    <row r="483" spans="1:10" s="1" customFormat="1" ht="15.9" customHeight="1">
      <c r="A483" s="27"/>
      <c r="B483" s="33"/>
      <c r="C483" s="161"/>
      <c r="D483" s="161"/>
      <c r="E483" s="109"/>
      <c r="F483" s="109"/>
      <c r="G483" s="109"/>
      <c r="H483" s="38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46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161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D495" s="161"/>
      <c r="E495" s="109"/>
      <c r="F495" s="109"/>
      <c r="G495" s="33"/>
      <c r="H495" s="33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42"/>
      <c r="I499" s="67"/>
      <c r="J499" s="165"/>
    </row>
    <row r="500" spans="1:10" s="1" customFormat="1" ht="15.9" customHeight="1">
      <c r="A500" s="27"/>
      <c r="B500" s="33"/>
      <c r="C500" s="47"/>
      <c r="D500" s="161"/>
      <c r="E500" s="109"/>
      <c r="F500" s="109"/>
      <c r="G500" s="109"/>
      <c r="H500" s="67"/>
      <c r="I500" s="38"/>
      <c r="J500" s="109"/>
    </row>
    <row r="501" spans="1:10" s="1" customFormat="1" ht="15.9" customHeight="1">
      <c r="A501" s="27"/>
      <c r="B501" s="33"/>
      <c r="C501" s="46"/>
      <c r="D501" s="161"/>
      <c r="E501" s="109"/>
      <c r="F501" s="109"/>
      <c r="G501" s="109"/>
      <c r="H501" s="38"/>
      <c r="I501" s="24"/>
      <c r="J501" s="24"/>
    </row>
    <row r="502" spans="1:10" s="1" customFormat="1" ht="15.9" customHeight="1">
      <c r="A502" s="27"/>
      <c r="B502" s="33"/>
      <c r="C502" s="161"/>
      <c r="D502" s="161"/>
      <c r="E502" s="109"/>
      <c r="F502" s="109"/>
      <c r="G502" s="109"/>
      <c r="H502" s="42"/>
      <c r="I502" s="67"/>
      <c r="J502" s="165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67"/>
      <c r="I503" s="38"/>
      <c r="J503" s="109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38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109"/>
      <c r="J512" s="24"/>
    </row>
    <row r="513" spans="1:15" s="1" customFormat="1" ht="15.9" customHeight="1">
      <c r="A513" s="27"/>
      <c r="B513" s="33"/>
      <c r="C513" s="33"/>
      <c r="D513" s="161"/>
      <c r="E513" s="109"/>
      <c r="F513" s="109"/>
      <c r="G513" s="109"/>
      <c r="H513" s="109"/>
      <c r="I513" s="43"/>
      <c r="J513" s="107"/>
    </row>
    <row r="514" spans="1:15" s="1" customFormat="1" ht="15.9" customHeight="1">
      <c r="A514" s="27"/>
      <c r="B514" s="33"/>
      <c r="C514" s="33"/>
      <c r="D514" s="161"/>
      <c r="E514" s="109"/>
      <c r="F514" s="109"/>
      <c r="G514" s="109"/>
      <c r="H514" s="66"/>
      <c r="I514" s="38"/>
      <c r="J514" s="109"/>
    </row>
    <row r="515" spans="1:15" s="1" customFormat="1" ht="15.9" customHeight="1">
      <c r="A515" s="44"/>
      <c r="B515" s="33"/>
      <c r="C515" s="33"/>
      <c r="D515" s="161"/>
      <c r="E515" s="109"/>
      <c r="F515" s="109"/>
      <c r="G515" s="109"/>
      <c r="H515" s="67"/>
      <c r="I515" s="44"/>
      <c r="J515" s="119"/>
    </row>
    <row r="516" spans="1:15" s="1" customFormat="1" ht="15.9" customHeight="1">
      <c r="B516" s="44"/>
      <c r="C516" s="44"/>
      <c r="D516" s="84"/>
      <c r="E516" s="44"/>
      <c r="F516" s="44"/>
      <c r="G516" s="44"/>
      <c r="H516" s="44"/>
    </row>
    <row r="517" spans="1:15" s="1" customFormat="1" ht="15.9" customHeight="1" thickBot="1"/>
    <row r="518" spans="1:15" s="1" customFormat="1" ht="24.9" customHeight="1" thickBot="1">
      <c r="A518" s="502" t="s">
        <v>401</v>
      </c>
      <c r="B518" s="503"/>
      <c r="C518" s="503"/>
      <c r="D518" s="503"/>
      <c r="E518" s="503"/>
      <c r="F518" s="503"/>
      <c r="G518" s="503"/>
      <c r="H518" s="503"/>
      <c r="I518" s="503"/>
      <c r="J518" s="504"/>
    </row>
    <row r="519" spans="1:15" s="1" customFormat="1" ht="35.1" customHeight="1" thickBot="1">
      <c r="A519" s="102" t="s">
        <v>2</v>
      </c>
      <c r="B519" s="103" t="s">
        <v>3</v>
      </c>
      <c r="C519" s="103" t="s">
        <v>3</v>
      </c>
      <c r="D519" s="104" t="s">
        <v>35</v>
      </c>
      <c r="E519" s="103" t="s">
        <v>5</v>
      </c>
      <c r="F519" s="579" t="s">
        <v>27</v>
      </c>
      <c r="G519" s="580"/>
      <c r="H519" s="104" t="s">
        <v>27</v>
      </c>
      <c r="I519" s="104" t="s">
        <v>26</v>
      </c>
      <c r="J519" s="115" t="s">
        <v>6</v>
      </c>
      <c r="N519" s="249" t="s">
        <v>3</v>
      </c>
      <c r="O519" s="249" t="s">
        <v>3</v>
      </c>
    </row>
    <row r="520" spans="1:15" s="1" customFormat="1" ht="15.9" customHeight="1">
      <c r="A520" s="123">
        <f>IF(C520="","",1)</f>
        <v>1</v>
      </c>
      <c r="B520" s="121" t="str">
        <f>IF($D$127=5,N520,IF($D$127=6,N521,IF($D$127=8,N522,IF($D$127=10,N523,IF($D$127=12,N524,IF($D$127=14,N525,IF($D$127=18,N526,IF($D$127=20,N527,IF($D$127=22,N528,)))))))))</f>
        <v>กระจก 6 mm (สูง) (กว้าง)</v>
      </c>
      <c r="C520" s="121" t="str">
        <f>IF($D$127=5,O520,IF($D$127=6,O521,IF($D$127=8,O522,IF($D$127=10,O523,IF($D$127=12,O524,IF($D$127=14,O525,IF($D$127=18,O526,IF($D$127=20,O527,IF($D$127=22,O528,)))))))))</f>
        <v>GLASS thk.6 mm (H) (W)</v>
      </c>
      <c r="D520" s="124">
        <f>$J$123-215</f>
        <v>2285</v>
      </c>
      <c r="E520" s="123" t="s">
        <v>11</v>
      </c>
      <c r="F520" s="527" t="s">
        <v>271</v>
      </c>
      <c r="G520" s="528"/>
      <c r="H520" s="123" t="s">
        <v>409</v>
      </c>
      <c r="I520" s="124">
        <f>(($J$126-185-(113.25*6))/7)-13</f>
        <v>363.5</v>
      </c>
      <c r="J520" s="151">
        <f>$J$120*7</f>
        <v>7</v>
      </c>
      <c r="M520" s="1">
        <f>ROW()</f>
        <v>520</v>
      </c>
      <c r="N520" s="19" t="s">
        <v>194</v>
      </c>
      <c r="O520" s="19" t="s">
        <v>195</v>
      </c>
    </row>
    <row r="521" spans="1:15" s="1" customFormat="1" ht="15.9" customHeight="1">
      <c r="A521" s="346"/>
      <c r="B521" s="295"/>
      <c r="C521" s="295"/>
      <c r="D521" s="296"/>
      <c r="E521" s="238"/>
      <c r="F521" s="251"/>
      <c r="G521" s="297"/>
      <c r="H521" s="238"/>
      <c r="I521" s="298"/>
      <c r="J521" s="299"/>
      <c r="M521" s="1">
        <f>ROW()</f>
        <v>521</v>
      </c>
      <c r="N521" s="19" t="s">
        <v>53</v>
      </c>
      <c r="O521" s="19" t="s">
        <v>54</v>
      </c>
    </row>
    <row r="522" spans="1:15" s="1" customFormat="1" ht="15.9" customHeight="1">
      <c r="A522" s="346"/>
      <c r="B522" s="295"/>
      <c r="C522" s="295"/>
      <c r="D522" s="296"/>
      <c r="E522" s="238"/>
      <c r="F522" s="251"/>
      <c r="G522" s="297"/>
      <c r="H522" s="238"/>
      <c r="I522" s="298"/>
      <c r="J522" s="299"/>
      <c r="M522" s="1">
        <f>ROW()</f>
        <v>522</v>
      </c>
      <c r="N522" s="19" t="s">
        <v>257</v>
      </c>
      <c r="O522" s="19" t="s">
        <v>258</v>
      </c>
    </row>
    <row r="523" spans="1:15" s="1" customFormat="1" ht="15.9" customHeight="1">
      <c r="A523" s="129" t="str">
        <f>IF(B523="","",+#REF!+1)</f>
        <v/>
      </c>
      <c r="B523" s="127"/>
      <c r="C523" s="127"/>
      <c r="D523" s="128"/>
      <c r="E523" s="129"/>
      <c r="F523" s="155"/>
      <c r="G523" s="157"/>
      <c r="H523" s="129"/>
      <c r="I523" s="144"/>
      <c r="J523" s="130"/>
      <c r="M523" s="1">
        <f>ROW()</f>
        <v>523</v>
      </c>
      <c r="N523" s="19" t="s">
        <v>259</v>
      </c>
      <c r="O523" s="19" t="s">
        <v>265</v>
      </c>
    </row>
    <row r="524" spans="1:15" s="1" customFormat="1" ht="15.9" customHeight="1">
      <c r="A524" s="135" t="str">
        <f>IF(B524="","",+A523+1)</f>
        <v/>
      </c>
      <c r="B524" s="133"/>
      <c r="C524" s="133"/>
      <c r="D524" s="134"/>
      <c r="E524" s="135"/>
      <c r="F524" s="158"/>
      <c r="G524" s="159"/>
      <c r="H524" s="135"/>
      <c r="I524" s="145"/>
      <c r="J524" s="136"/>
      <c r="M524" s="1">
        <f>ROW()</f>
        <v>524</v>
      </c>
      <c r="N524" s="19" t="s">
        <v>260</v>
      </c>
      <c r="O524" s="19" t="s">
        <v>266</v>
      </c>
    </row>
    <row r="525" spans="1:15" s="1" customFormat="1" ht="15.9" customHeight="1">
      <c r="A525" s="17"/>
      <c r="B525" s="56"/>
      <c r="C525" s="56"/>
      <c r="D525" s="30"/>
      <c r="E525" s="17"/>
      <c r="F525" s="17"/>
      <c r="G525" s="17"/>
      <c r="H525" s="109"/>
      <c r="I525" s="109"/>
      <c r="J525" s="24"/>
      <c r="M525" s="1">
        <f>ROW()</f>
        <v>525</v>
      </c>
      <c r="N525" s="19" t="s">
        <v>261</v>
      </c>
      <c r="O525" s="19" t="s">
        <v>267</v>
      </c>
    </row>
    <row r="526" spans="1:15">
      <c r="H526" s="294"/>
      <c r="I526" s="294"/>
      <c r="J526" s="99" t="str">
        <f>LEFT($J$111,13)&amp;"-05"</f>
        <v>FG-240-7P6L1R-05</v>
      </c>
      <c r="M526" s="1">
        <f>ROW()</f>
        <v>526</v>
      </c>
      <c r="N526" s="19" t="s">
        <v>262</v>
      </c>
      <c r="O526" s="19" t="s">
        <v>268</v>
      </c>
    </row>
    <row r="527" spans="1:15">
      <c r="M527" s="1">
        <f>ROW()</f>
        <v>527</v>
      </c>
      <c r="N527" s="19" t="s">
        <v>263</v>
      </c>
      <c r="O527" s="19" t="s">
        <v>269</v>
      </c>
    </row>
    <row r="528" spans="1:15">
      <c r="M528" s="1">
        <f>ROW()</f>
        <v>528</v>
      </c>
      <c r="N528" s="19" t="s">
        <v>264</v>
      </c>
      <c r="O528" s="19" t="s">
        <v>270</v>
      </c>
    </row>
  </sheetData>
  <sheetProtection selectLockedCells="1" selectUnlockedCells="1"/>
  <dataConsolidate function="product">
    <dataRefs count="1">
      <dataRef ref="N129:N131" sheet="240_7Panel(6L1R)" r:id="rId1"/>
    </dataRefs>
  </dataConsolidate>
  <mergeCells count="47">
    <mergeCell ref="H123:I124"/>
    <mergeCell ref="J123:J124"/>
    <mergeCell ref="A125:B125"/>
    <mergeCell ref="H126:I127"/>
    <mergeCell ref="J126:J127"/>
    <mergeCell ref="D123:G123"/>
    <mergeCell ref="D125:G125"/>
    <mergeCell ref="D127:G127"/>
    <mergeCell ref="A6:J6"/>
    <mergeCell ref="H120:I121"/>
    <mergeCell ref="J120:J121"/>
    <mergeCell ref="A117:J117"/>
    <mergeCell ref="D119:G119"/>
    <mergeCell ref="D121:G121"/>
    <mergeCell ref="D129:G129"/>
    <mergeCell ref="D161:D162"/>
    <mergeCell ref="D163:D167"/>
    <mergeCell ref="H161:H162"/>
    <mergeCell ref="H163:H167"/>
    <mergeCell ref="A131:J131"/>
    <mergeCell ref="I154:J154"/>
    <mergeCell ref="I155:J155"/>
    <mergeCell ref="I156:J156"/>
    <mergeCell ref="I161:J161"/>
    <mergeCell ref="H168:H169"/>
    <mergeCell ref="I162:J165"/>
    <mergeCell ref="I157:J157"/>
    <mergeCell ref="I158:J158"/>
    <mergeCell ref="D159:D160"/>
    <mergeCell ref="H159:H160"/>
    <mergeCell ref="I159:J160"/>
    <mergeCell ref="H170:H171"/>
    <mergeCell ref="I166:J167"/>
    <mergeCell ref="F520:G520"/>
    <mergeCell ref="F519:G519"/>
    <mergeCell ref="A518:J518"/>
    <mergeCell ref="A427:J427"/>
    <mergeCell ref="A320:J320"/>
    <mergeCell ref="F331:G331"/>
    <mergeCell ref="F334:G334"/>
    <mergeCell ref="F330:G330"/>
    <mergeCell ref="C308:E308"/>
    <mergeCell ref="I168:J168"/>
    <mergeCell ref="A172:J172"/>
    <mergeCell ref="A213:J213"/>
    <mergeCell ref="D168:D169"/>
    <mergeCell ref="D170:D171"/>
  </mergeCells>
  <dataValidations count="4">
    <dataValidation type="list" allowBlank="1" showInputMessage="1" showErrorMessage="1" sqref="C206">
      <formula1>$O$174:$O$192</formula1>
    </dataValidation>
    <dataValidation type="list" allowBlank="1" showInputMessage="1" showErrorMessage="1" sqref="D123:G123">
      <formula1>$P$118:$P$127</formula1>
    </dataValidation>
    <dataValidation type="list" allowBlank="1" showInputMessage="1" showErrorMessage="1" sqref="D127:G127">
      <formula1>$N$119:$N$127</formula1>
    </dataValidation>
    <dataValidation type="list" allowBlank="1" showInputMessage="1" showErrorMessage="1" sqref="D129:G129">
      <formula1>$O$119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16383" man="1"/>
    <brk id="421" max="9" man="1"/>
  </rowBreaks>
  <drawing r:id="rId3"/>
  <legacyDrawing r:id="rId4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-0.249977111117893"/>
  </sheetPr>
  <dimension ref="A1:X528"/>
  <sheetViews>
    <sheetView showGridLines="0" view="pageBreakPreview" topLeftCell="A31" zoomScale="75" zoomScaleNormal="75" zoomScaleSheetLayoutView="75" workbookViewId="0">
      <selection activeCell="D123" sqref="D123:G123"/>
    </sheetView>
  </sheetViews>
  <sheetFormatPr defaultRowHeight="14.4" outlineLevelRow="1" outlineLevelCol="1"/>
  <cols>
    <col min="1" max="1" width="7" customWidth="1"/>
    <col min="2" max="2" width="40.6640625" customWidth="1"/>
    <col min="3" max="3" width="61.10937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6.6640625" customWidth="1"/>
    <col min="9" max="9" width="11.109375" bestFit="1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0.4414062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79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79"/>
      <c r="E3" s="279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657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/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>
      <c r="G55" s="10"/>
    </row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658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79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79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8">
      <c r="A118" s="12"/>
      <c r="C118" s="8"/>
      <c r="D118" s="15"/>
      <c r="E118" s="13"/>
      <c r="J118" s="434"/>
      <c r="K118" s="11"/>
      <c r="L118" s="56"/>
      <c r="M118" s="56"/>
      <c r="N118" s="243" t="s">
        <v>191</v>
      </c>
      <c r="O118" s="12" t="s">
        <v>227</v>
      </c>
      <c r="P118" s="247" t="s">
        <v>16</v>
      </c>
    </row>
    <row r="119" spans="1:16" s="1" customFormat="1" ht="15" customHeight="1">
      <c r="A119" s="12"/>
      <c r="C119" s="110" t="s">
        <v>635</v>
      </c>
      <c r="D119" s="524" t="s">
        <v>676</v>
      </c>
      <c r="E119" s="525"/>
      <c r="F119" s="525"/>
      <c r="G119" s="526"/>
      <c r="I119" s="16"/>
      <c r="J119" s="12"/>
      <c r="N119" s="244">
        <v>5</v>
      </c>
      <c r="O119" s="12" t="s">
        <v>243</v>
      </c>
      <c r="P119" s="335" t="s">
        <v>389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5">
        <v>6</v>
      </c>
      <c r="O120" s="12" t="s">
        <v>244</v>
      </c>
      <c r="P120" s="336" t="s">
        <v>390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8</v>
      </c>
      <c r="P121" s="336" t="s">
        <v>391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10</v>
      </c>
      <c r="P122" s="336" t="s">
        <v>392</v>
      </c>
    </row>
    <row r="123" spans="1:16" s="1" customFormat="1" ht="15" customHeight="1">
      <c r="A123" s="12"/>
      <c r="C123" s="110" t="s">
        <v>629</v>
      </c>
      <c r="D123" s="524" t="s">
        <v>392</v>
      </c>
      <c r="E123" s="525"/>
      <c r="F123" s="525"/>
      <c r="G123" s="526"/>
      <c r="H123" s="519" t="s">
        <v>638</v>
      </c>
      <c r="I123" s="520"/>
      <c r="J123" s="517">
        <v>2500</v>
      </c>
      <c r="N123" s="245">
        <v>12</v>
      </c>
      <c r="P123" s="335" t="s">
        <v>393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14</v>
      </c>
      <c r="P124" s="335" t="s">
        <v>394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436"/>
      <c r="L125" s="77"/>
      <c r="N125" s="245">
        <v>18</v>
      </c>
      <c r="P125" s="335" t="s">
        <v>395</v>
      </c>
    </row>
    <row r="126" spans="1:16" s="1" customFormat="1" ht="15" customHeight="1">
      <c r="A126" s="434"/>
      <c r="B126" s="434"/>
      <c r="C126" s="423" t="s">
        <v>631</v>
      </c>
      <c r="D126" s="15"/>
      <c r="H126" s="519" t="s">
        <v>639</v>
      </c>
      <c r="I126" s="520"/>
      <c r="J126" s="517">
        <v>5000</v>
      </c>
      <c r="K126" s="436"/>
      <c r="L126" s="77"/>
      <c r="N126" s="245">
        <v>20</v>
      </c>
      <c r="P126" s="335" t="s">
        <v>396</v>
      </c>
    </row>
    <row r="127" spans="1:16" s="1" customFormat="1" ht="15" customHeight="1">
      <c r="A127" s="434"/>
      <c r="B127" s="434"/>
      <c r="C127" s="110" t="s">
        <v>633</v>
      </c>
      <c r="D127" s="534">
        <v>6</v>
      </c>
      <c r="E127" s="535"/>
      <c r="F127" s="535"/>
      <c r="G127" s="536"/>
      <c r="H127" s="520"/>
      <c r="I127" s="520"/>
      <c r="J127" s="518"/>
      <c r="N127" s="245">
        <v>22</v>
      </c>
      <c r="P127" s="335" t="s">
        <v>397</v>
      </c>
    </row>
    <row r="128" spans="1:16" s="1" customFormat="1" ht="18.75" customHeight="1">
      <c r="C128" s="423" t="s">
        <v>632</v>
      </c>
      <c r="I128" s="12"/>
      <c r="J128" s="12"/>
    </row>
    <row r="129" spans="1:23" s="1" customFormat="1" ht="15" customHeight="1">
      <c r="A129" s="88" t="str">
        <f>A18</f>
        <v>240-7 Panel (7L)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4940</v>
      </c>
      <c r="J133" s="125">
        <f t="shared" ref="J133:J153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14</v>
      </c>
      <c r="U133" s="283" t="s">
        <v>300</v>
      </c>
      <c r="V133" s="285">
        <f>($J$126-185-(113.25*6))/7</f>
        <v>590.78571428571433</v>
      </c>
      <c r="W133" s="286">
        <f>$J$120*T133</f>
        <v>14</v>
      </c>
    </row>
    <row r="134" spans="1:23" s="1" customFormat="1" ht="18" customHeight="1">
      <c r="A134" s="143">
        <f t="shared" ref="A134:A153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4914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14</v>
      </c>
      <c r="U134" s="129" t="s">
        <v>300</v>
      </c>
      <c r="V134" s="144">
        <f t="shared" ref="V134:V135" si="2">($J$126-185-(113.25*6))/7</f>
        <v>590.78571428571433</v>
      </c>
      <c r="W134" s="131">
        <f t="shared" ref="W134:W135" si="3">$J$120*T134</f>
        <v>14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4940</v>
      </c>
      <c r="J135" s="131">
        <f t="shared" ref="J135:J147" si="4">$J$120*G135</f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14</v>
      </c>
      <c r="U135" s="135" t="s">
        <v>300</v>
      </c>
      <c r="V135" s="145">
        <f t="shared" si="2"/>
        <v>590.78571428571433</v>
      </c>
      <c r="W135" s="293">
        <f t="shared" si="3"/>
        <v>14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4940</v>
      </c>
      <c r="J136" s="131">
        <f t="shared" si="4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14</v>
      </c>
      <c r="U136" s="283" t="s">
        <v>64</v>
      </c>
      <c r="V136" s="288">
        <f>$J$123-242</f>
        <v>2258</v>
      </c>
      <c r="W136" s="286">
        <f>$J$120*T136</f>
        <v>14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2500</v>
      </c>
      <c r="J137" s="131">
        <f t="shared" si="4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14</v>
      </c>
      <c r="U137" s="129" t="s">
        <v>64</v>
      </c>
      <c r="V137" s="130">
        <f>$J$123-242</f>
        <v>2258</v>
      </c>
      <c r="W137" s="131">
        <f t="shared" ref="W137:W138" si="5">$J$120*T137</f>
        <v>14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2500</v>
      </c>
      <c r="J138" s="131">
        <f t="shared" si="4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14</v>
      </c>
      <c r="U138" s="135" t="s">
        <v>64</v>
      </c>
      <c r="V138" s="136">
        <f>$J$123-242</f>
        <v>2258</v>
      </c>
      <c r="W138" s="293">
        <f t="shared" si="5"/>
        <v>14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2404</v>
      </c>
      <c r="J139" s="131">
        <f t="shared" si="4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2404</v>
      </c>
      <c r="J140" s="131">
        <f t="shared" si="4"/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7</v>
      </c>
      <c r="H141" s="143" t="s">
        <v>300</v>
      </c>
      <c r="I141" s="178">
        <f>($J$126-185-(113.25*6))/7</f>
        <v>590.78571428571433</v>
      </c>
      <c r="J141" s="131">
        <f t="shared" si="4"/>
        <v>7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7</v>
      </c>
      <c r="H142" s="143" t="s">
        <v>300</v>
      </c>
      <c r="I142" s="178">
        <f>($J$126-185-(113.25*6))/7</f>
        <v>590.78571428571433</v>
      </c>
      <c r="J142" s="131">
        <f t="shared" si="4"/>
        <v>7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10</v>
      </c>
      <c r="H143" s="143" t="s">
        <v>63</v>
      </c>
      <c r="I143" s="130">
        <f>$J$123-92</f>
        <v>2408</v>
      </c>
      <c r="J143" s="131">
        <f t="shared" si="4"/>
        <v>10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496</v>
      </c>
      <c r="G144" s="143">
        <v>3</v>
      </c>
      <c r="H144" s="143" t="s">
        <v>63</v>
      </c>
      <c r="I144" s="130">
        <f t="shared" ref="I144:I145" si="6">$J$123-92</f>
        <v>2408</v>
      </c>
      <c r="J144" s="131">
        <f t="shared" si="4"/>
        <v>3</v>
      </c>
      <c r="N144" s="98"/>
    </row>
    <row r="145" spans="1:14" s="1" customFormat="1" ht="18" customHeight="1">
      <c r="A145" s="143">
        <f t="shared" si="1"/>
        <v>13</v>
      </c>
      <c r="B145" s="140" t="s">
        <v>116</v>
      </c>
      <c r="C145" s="140" t="s">
        <v>99</v>
      </c>
      <c r="D145" s="139" t="s">
        <v>50</v>
      </c>
      <c r="E145" s="143">
        <v>1.1060000000000001</v>
      </c>
      <c r="F145" s="139" t="s">
        <v>506</v>
      </c>
      <c r="G145" s="143">
        <v>1</v>
      </c>
      <c r="H145" s="143" t="s">
        <v>63</v>
      </c>
      <c r="I145" s="130">
        <f t="shared" si="6"/>
        <v>2408</v>
      </c>
      <c r="J145" s="131">
        <f t="shared" si="4"/>
        <v>1</v>
      </c>
      <c r="N145" s="98"/>
    </row>
    <row r="146" spans="1:14" s="1" customFormat="1" ht="18" customHeight="1">
      <c r="A146" s="143">
        <f t="shared" si="1"/>
        <v>14</v>
      </c>
      <c r="B146" s="140" t="str">
        <f t="shared" ref="B146:I146" si="7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40" t="str">
        <f t="shared" si="7"/>
        <v>5-6mm GLAZING BEAD HORIZONTAL</v>
      </c>
      <c r="D146" s="140" t="str">
        <f t="shared" si="7"/>
        <v>B24008</v>
      </c>
      <c r="E146" s="140">
        <f t="shared" si="7"/>
        <v>0.23100000000000001</v>
      </c>
      <c r="F146" s="140" t="str">
        <f t="shared" si="7"/>
        <v>B24008-001</v>
      </c>
      <c r="G146" s="143">
        <f t="shared" si="7"/>
        <v>14</v>
      </c>
      <c r="H146" s="129" t="str">
        <f t="shared" si="7"/>
        <v>(W-185-(113.25 × 6))/7</v>
      </c>
      <c r="I146" s="178">
        <f t="shared" si="7"/>
        <v>590.78571428571433</v>
      </c>
      <c r="J146" s="131">
        <f t="shared" si="4"/>
        <v>14</v>
      </c>
      <c r="N146" s="98"/>
    </row>
    <row r="147" spans="1:14" s="1" customFormat="1" ht="18" customHeight="1">
      <c r="A147" s="143">
        <f t="shared" si="1"/>
        <v>15</v>
      </c>
      <c r="B147" s="140" t="str">
        <f t="shared" ref="B147:I147" si="8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40" t="str">
        <f t="shared" si="8"/>
        <v>5-6mm GLAZING BEAD VERTICAL</v>
      </c>
      <c r="D147" s="140" t="str">
        <f t="shared" si="8"/>
        <v>B24008</v>
      </c>
      <c r="E147" s="140">
        <f t="shared" si="8"/>
        <v>0.23100000000000001</v>
      </c>
      <c r="F147" s="140" t="str">
        <f t="shared" si="8"/>
        <v>B24008-002</v>
      </c>
      <c r="G147" s="143">
        <f t="shared" si="8"/>
        <v>14</v>
      </c>
      <c r="H147" s="129" t="str">
        <f t="shared" si="8"/>
        <v>H-242</v>
      </c>
      <c r="I147" s="144">
        <f t="shared" si="8"/>
        <v>2258</v>
      </c>
      <c r="J147" s="131">
        <f t="shared" si="4"/>
        <v>14</v>
      </c>
      <c r="N147" s="98"/>
    </row>
    <row r="148" spans="1:14" s="1" customFormat="1" ht="18" customHeight="1">
      <c r="A148" s="143" t="str">
        <f t="shared" si="1"/>
        <v/>
      </c>
      <c r="B148" s="140"/>
      <c r="C148" s="140"/>
      <c r="D148" s="139"/>
      <c r="E148" s="143"/>
      <c r="F148" s="139"/>
      <c r="G148" s="143"/>
      <c r="H148" s="143"/>
      <c r="I148" s="130"/>
      <c r="J148" s="131"/>
      <c r="N148" s="98"/>
    </row>
    <row r="149" spans="1:14" s="1" customFormat="1" ht="18" customHeight="1">
      <c r="A149" s="143" t="str">
        <f t="shared" si="1"/>
        <v/>
      </c>
      <c r="B149" s="140"/>
      <c r="C149" s="140"/>
      <c r="D149" s="139"/>
      <c r="E149" s="143"/>
      <c r="F149" s="139"/>
      <c r="G149" s="143"/>
      <c r="H149" s="143"/>
      <c r="I149" s="130"/>
      <c r="J149" s="131"/>
      <c r="N149" s="98"/>
    </row>
    <row r="150" spans="1:14" s="1" customFormat="1" ht="18" customHeight="1">
      <c r="A150" s="143" t="str">
        <f t="shared" si="1"/>
        <v/>
      </c>
      <c r="B150" s="140"/>
      <c r="C150" s="140"/>
      <c r="D150" s="139"/>
      <c r="E150" s="143"/>
      <c r="F150" s="139"/>
      <c r="G150" s="143"/>
      <c r="H150" s="143"/>
      <c r="I150" s="130"/>
      <c r="J150" s="131"/>
      <c r="N150" s="98"/>
    </row>
    <row r="151" spans="1:14" s="1" customFormat="1" ht="18" customHeight="1">
      <c r="A151" s="143" t="str">
        <f t="shared" si="1"/>
        <v/>
      </c>
      <c r="B151" s="140"/>
      <c r="C151" s="140"/>
      <c r="D151" s="139"/>
      <c r="E151" s="143"/>
      <c r="F151" s="139"/>
      <c r="G151" s="143"/>
      <c r="H151" s="143"/>
      <c r="I151" s="130"/>
      <c r="J151" s="131"/>
      <c r="N151" s="98"/>
    </row>
    <row r="152" spans="1:14" s="1" customFormat="1" ht="18" customHeight="1">
      <c r="A152" s="143" t="str">
        <f t="shared" si="1"/>
        <v/>
      </c>
      <c r="B152" s="127"/>
      <c r="C152" s="127"/>
      <c r="D152" s="128"/>
      <c r="E152" s="129"/>
      <c r="F152" s="128"/>
      <c r="G152" s="129"/>
      <c r="H152" s="129"/>
      <c r="I152" s="144"/>
      <c r="J152" s="131">
        <f t="shared" si="0"/>
        <v>0</v>
      </c>
      <c r="N152" s="98"/>
    </row>
    <row r="153" spans="1:14" s="1" customFormat="1" ht="18" customHeight="1" thickBot="1">
      <c r="A153" s="143" t="str">
        <f t="shared" si="1"/>
        <v/>
      </c>
      <c r="B153" s="167"/>
      <c r="C153" s="167"/>
      <c r="D153" s="168"/>
      <c r="E153" s="166"/>
      <c r="F153" s="168"/>
      <c r="G153" s="166"/>
      <c r="H153" s="166"/>
      <c r="I153" s="171"/>
      <c r="J153" s="172">
        <f t="shared" si="0"/>
        <v>0</v>
      </c>
    </row>
    <row r="154" spans="1:14" s="1" customFormat="1" ht="27" outlineLevel="1" thickBot="1">
      <c r="A154" s="169" t="s">
        <v>2</v>
      </c>
      <c r="B154" s="169" t="s">
        <v>29</v>
      </c>
      <c r="C154" s="169" t="s">
        <v>3</v>
      </c>
      <c r="D154" s="169" t="s">
        <v>4</v>
      </c>
      <c r="E154" s="169" t="s">
        <v>5</v>
      </c>
      <c r="F154" s="177" t="s">
        <v>85</v>
      </c>
      <c r="G154" s="169" t="s">
        <v>22</v>
      </c>
      <c r="H154" s="170" t="s">
        <v>23</v>
      </c>
      <c r="I154" s="540"/>
      <c r="J154" s="541"/>
    </row>
    <row r="155" spans="1:14" s="1" customFormat="1" ht="15" customHeight="1" outlineLevel="1">
      <c r="A155" s="21">
        <f>IF(B155="","",1)</f>
        <v>1</v>
      </c>
      <c r="B155" s="173" t="str">
        <f t="shared" ref="B155:C170" si="9">B133</f>
        <v>เฟรมบน</v>
      </c>
      <c r="C155" s="173" t="str">
        <f t="shared" si="9"/>
        <v>HEAD</v>
      </c>
      <c r="D155" s="439" t="str">
        <f>VLOOKUP(C155,$C$133:$H$153,2,0)</f>
        <v>B24001</v>
      </c>
      <c r="E155" s="175">
        <f t="shared" ref="E155:E171" si="10">VLOOKUP(C155,$C$133:$H$153,3,0)</f>
        <v>1.603</v>
      </c>
      <c r="F155" s="353">
        <f>VLOOKUP(C155,$C$133:$J$153,7,0)</f>
        <v>4940</v>
      </c>
      <c r="G155" s="175">
        <f t="shared" ref="G155:G171" si="11">VLOOKUP(C155,$C$133:$J$153,8,0)</f>
        <v>1</v>
      </c>
      <c r="H155" s="191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ref="A156:A171" si="12">IF(B156="","",+A155+1)</f>
        <v>2</v>
      </c>
      <c r="B156" s="173" t="str">
        <f t="shared" si="9"/>
        <v>บังใบบน</v>
      </c>
      <c r="C156" s="173" t="str">
        <f t="shared" si="9"/>
        <v>DOOR STOP HEAD</v>
      </c>
      <c r="D156" s="439" t="str">
        <f>VLOOKUP(C156,$C$133:$H$153,2,0)</f>
        <v>B24002</v>
      </c>
      <c r="E156" s="175">
        <f t="shared" si="10"/>
        <v>0.27800000000000002</v>
      </c>
      <c r="F156" s="353">
        <f t="shared" ref="F156:F171" si="13">VLOOKUP(C156,$C$133:$I$153,7,0)</f>
        <v>4914</v>
      </c>
      <c r="G156" s="175">
        <f t="shared" si="11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si="12"/>
        <v>3</v>
      </c>
      <c r="B157" s="173" t="str">
        <f t="shared" si="9"/>
        <v xml:space="preserve">เฟรมล่าง </v>
      </c>
      <c r="C157" s="173" t="str">
        <f t="shared" si="9"/>
        <v>SILL</v>
      </c>
      <c r="D157" s="439" t="str">
        <f>VLOOKUP(C157,$C$133:$H$153,2,0)</f>
        <v>B24003</v>
      </c>
      <c r="E157" s="175">
        <f t="shared" si="10"/>
        <v>1.603</v>
      </c>
      <c r="F157" s="353">
        <f t="shared" si="13"/>
        <v>4940</v>
      </c>
      <c r="G157" s="175">
        <f t="shared" si="11"/>
        <v>1</v>
      </c>
      <c r="H157" s="192">
        <f t="shared" ref="H157:H158" si="14">ROUNDUP((F157*G157)/6400,0)</f>
        <v>1</v>
      </c>
      <c r="I157" s="501"/>
      <c r="J157" s="501"/>
    </row>
    <row r="158" spans="1:14" s="1" customFormat="1" ht="15" customHeight="1" outlineLevel="1">
      <c r="A158" s="18">
        <f t="shared" si="12"/>
        <v>4</v>
      </c>
      <c r="B158" s="173" t="str">
        <f t="shared" si="9"/>
        <v>ตัวตับธรณี</v>
      </c>
      <c r="C158" s="173" t="str">
        <f t="shared" si="9"/>
        <v>DOOR STOP SILL</v>
      </c>
      <c r="D158" s="439" t="str">
        <f>VLOOKUP(C158,$C$133:$H$153,2,0)</f>
        <v>B24004</v>
      </c>
      <c r="E158" s="175">
        <f t="shared" si="10"/>
        <v>0.51600000000000001</v>
      </c>
      <c r="F158" s="353">
        <f t="shared" si="13"/>
        <v>4940</v>
      </c>
      <c r="G158" s="175">
        <f t="shared" si="11"/>
        <v>1</v>
      </c>
      <c r="H158" s="192">
        <f t="shared" si="14"/>
        <v>1</v>
      </c>
      <c r="I158" s="501"/>
      <c r="J158" s="501"/>
    </row>
    <row r="159" spans="1:14" s="1" customFormat="1" ht="15" customHeight="1" outlineLevel="1">
      <c r="A159" s="18">
        <f t="shared" si="12"/>
        <v>5</v>
      </c>
      <c r="B159" s="173" t="str">
        <f t="shared" si="9"/>
        <v>เฟรมข้าง (ซ้าย)</v>
      </c>
      <c r="C159" s="173" t="str">
        <f t="shared" si="9"/>
        <v>JAMB (L)</v>
      </c>
      <c r="D159" s="508" t="str">
        <f>VLOOKUP(C159,$C$133:$H$153,2,0)</f>
        <v>B24005</v>
      </c>
      <c r="E159" s="175">
        <f t="shared" si="10"/>
        <v>0.89300000000000002</v>
      </c>
      <c r="F159" s="353">
        <f t="shared" si="13"/>
        <v>2500</v>
      </c>
      <c r="G159" s="175">
        <f t="shared" si="11"/>
        <v>1</v>
      </c>
      <c r="H159" s="516">
        <f>ROUNDUP(((F159*G159)+(F160*G160))/6400,0)</f>
        <v>1</v>
      </c>
      <c r="I159" s="506"/>
      <c r="J159" s="506"/>
    </row>
    <row r="160" spans="1:14" s="1" customFormat="1" ht="15" customHeight="1" outlineLevel="1">
      <c r="A160" s="18">
        <f t="shared" si="12"/>
        <v>6</v>
      </c>
      <c r="B160" s="173" t="str">
        <f t="shared" si="9"/>
        <v>เฟรมข้าง (ขวา)</v>
      </c>
      <c r="C160" s="173" t="str">
        <f t="shared" si="9"/>
        <v>JAMB (R)</v>
      </c>
      <c r="D160" s="509"/>
      <c r="E160" s="175">
        <f t="shared" si="10"/>
        <v>0.89300000000000002</v>
      </c>
      <c r="F160" s="353">
        <f t="shared" si="13"/>
        <v>2500</v>
      </c>
      <c r="G160" s="175">
        <f t="shared" si="11"/>
        <v>1</v>
      </c>
      <c r="H160" s="516"/>
      <c r="I160" s="506"/>
      <c r="J160" s="506"/>
    </row>
    <row r="161" spans="1:23" s="1" customFormat="1" ht="15" customHeight="1" outlineLevel="1">
      <c r="A161" s="18">
        <f t="shared" si="12"/>
        <v>7</v>
      </c>
      <c r="B161" s="173" t="str">
        <f t="shared" si="9"/>
        <v>บังใบข้าง (ซ้าย)</v>
      </c>
      <c r="C161" s="173" t="str">
        <f t="shared" si="9"/>
        <v>DOOR STOP JAMB (L)</v>
      </c>
      <c r="D161" s="508" t="str">
        <f>VLOOKUP(C161,$C$133:$H$153,2,0)</f>
        <v>B24006</v>
      </c>
      <c r="E161" s="175">
        <f t="shared" si="10"/>
        <v>0.23499999999999999</v>
      </c>
      <c r="F161" s="353">
        <f t="shared" si="13"/>
        <v>2404</v>
      </c>
      <c r="G161" s="175">
        <f t="shared" si="11"/>
        <v>1</v>
      </c>
      <c r="H161" s="516">
        <f>ROUNDUP(((F161*G161)+(F162*G162))/6400,0)</f>
        <v>1</v>
      </c>
      <c r="I161" s="501"/>
      <c r="J161" s="501"/>
    </row>
    <row r="162" spans="1:23" s="1" customFormat="1" ht="15" customHeight="1" outlineLevel="1">
      <c r="A162" s="18">
        <f t="shared" si="12"/>
        <v>8</v>
      </c>
      <c r="B162" s="173" t="str">
        <f t="shared" si="9"/>
        <v>บังใบข้าง (ขวา)</v>
      </c>
      <c r="C162" s="173" t="str">
        <f t="shared" si="9"/>
        <v>DOOR STOP JAMB (R)</v>
      </c>
      <c r="D162" s="509"/>
      <c r="E162" s="175">
        <f t="shared" si="10"/>
        <v>0.23499999999999999</v>
      </c>
      <c r="F162" s="353">
        <f t="shared" si="13"/>
        <v>2404</v>
      </c>
      <c r="G162" s="175">
        <f t="shared" si="11"/>
        <v>1</v>
      </c>
      <c r="H162" s="516"/>
      <c r="I162" s="506"/>
      <c r="J162" s="506"/>
    </row>
    <row r="163" spans="1:23" s="1" customFormat="1" ht="13.8" outlineLevel="1">
      <c r="A163" s="18">
        <f t="shared" si="12"/>
        <v>9</v>
      </c>
      <c r="B163" s="173" t="str">
        <f t="shared" si="9"/>
        <v>ขวางบน</v>
      </c>
      <c r="C163" s="173" t="str">
        <f t="shared" si="9"/>
        <v>SASH (Hor) (T)</v>
      </c>
      <c r="D163" s="508" t="str">
        <f t="shared" ref="D163:D170" si="15">VLOOKUP(C163,$C$133:$H$153,2,0)</f>
        <v>B24007</v>
      </c>
      <c r="E163" s="175">
        <f t="shared" si="10"/>
        <v>1.1060000000000001</v>
      </c>
      <c r="F163" s="353">
        <f t="shared" si="13"/>
        <v>590.78571428571433</v>
      </c>
      <c r="G163" s="175">
        <f t="shared" si="11"/>
        <v>7</v>
      </c>
      <c r="H163" s="512">
        <f>ROUNDUP(((F163*G163)+(F164*G164)+(F165*G165)+(F166*G166)+(F167*G167))/6400,0)</f>
        <v>7</v>
      </c>
      <c r="I163" s="506"/>
      <c r="J163" s="506"/>
    </row>
    <row r="164" spans="1:23" s="1" customFormat="1" ht="13.8" outlineLevel="1">
      <c r="A164" s="18">
        <f t="shared" si="12"/>
        <v>10</v>
      </c>
      <c r="B164" s="173" t="str">
        <f t="shared" si="9"/>
        <v>ขวางล่าง</v>
      </c>
      <c r="C164" s="173" t="str">
        <f t="shared" si="9"/>
        <v>SASH (Hor) (B)</v>
      </c>
      <c r="D164" s="510"/>
      <c r="E164" s="175">
        <f t="shared" si="10"/>
        <v>1.1060000000000001</v>
      </c>
      <c r="F164" s="353">
        <f t="shared" si="13"/>
        <v>590.78571428571433</v>
      </c>
      <c r="G164" s="175">
        <f t="shared" si="11"/>
        <v>7</v>
      </c>
      <c r="H164" s="514"/>
      <c r="I164" s="506"/>
      <c r="J164" s="506"/>
    </row>
    <row r="165" spans="1:23" s="1" customFormat="1" ht="13.8" outlineLevel="1">
      <c r="A165" s="18">
        <f t="shared" si="12"/>
        <v>11</v>
      </c>
      <c r="B165" s="173" t="str">
        <f t="shared" si="9"/>
        <v>เสา</v>
      </c>
      <c r="C165" s="173" t="str">
        <f t="shared" si="9"/>
        <v xml:space="preserve">SASH (Ver) </v>
      </c>
      <c r="D165" s="510"/>
      <c r="E165" s="175">
        <f t="shared" si="10"/>
        <v>1.1060000000000001</v>
      </c>
      <c r="F165" s="353">
        <f t="shared" si="13"/>
        <v>2408</v>
      </c>
      <c r="G165" s="175">
        <f t="shared" si="11"/>
        <v>10</v>
      </c>
      <c r="H165" s="514"/>
      <c r="I165" s="506"/>
      <c r="J165" s="506"/>
    </row>
    <row r="166" spans="1:23" s="1" customFormat="1" ht="13.8" outlineLevel="1">
      <c r="A166" s="18">
        <f t="shared" si="12"/>
        <v>12</v>
      </c>
      <c r="B166" s="173" t="str">
        <f t="shared" si="9"/>
        <v>เสากุญแจ</v>
      </c>
      <c r="C166" s="173" t="str">
        <f t="shared" si="9"/>
        <v xml:space="preserve">SASH (Ver) LOCK </v>
      </c>
      <c r="D166" s="510"/>
      <c r="E166" s="175">
        <f t="shared" si="10"/>
        <v>1.1060000000000001</v>
      </c>
      <c r="F166" s="353">
        <f t="shared" si="13"/>
        <v>2408</v>
      </c>
      <c r="G166" s="175">
        <f t="shared" si="11"/>
        <v>3</v>
      </c>
      <c r="H166" s="514"/>
      <c r="I166" s="506"/>
      <c r="J166" s="506"/>
    </row>
    <row r="167" spans="1:23" s="1" customFormat="1" ht="15" customHeight="1" outlineLevel="1">
      <c r="A167" s="18">
        <f t="shared" si="12"/>
        <v>13</v>
      </c>
      <c r="B167" s="173" t="str">
        <f t="shared" si="9"/>
        <v>เสากุญแจมือจับ</v>
      </c>
      <c r="C167" s="173" t="str">
        <f t="shared" si="9"/>
        <v>SASH (Ver) LOCK HANDLE</v>
      </c>
      <c r="D167" s="509"/>
      <c r="E167" s="175">
        <f t="shared" si="10"/>
        <v>1.1060000000000001</v>
      </c>
      <c r="F167" s="353">
        <f t="shared" si="13"/>
        <v>2408</v>
      </c>
      <c r="G167" s="175">
        <f t="shared" si="11"/>
        <v>1</v>
      </c>
      <c r="H167" s="515"/>
      <c r="I167" s="506"/>
      <c r="J167" s="506"/>
    </row>
    <row r="168" spans="1:23" s="1" customFormat="1" ht="13.8" outlineLevel="1">
      <c r="A168" s="18">
        <f t="shared" si="12"/>
        <v>14</v>
      </c>
      <c r="B168" s="173" t="str">
        <f t="shared" si="9"/>
        <v>5-6mm คิ้วตบกระจกแนวนอน</v>
      </c>
      <c r="C168" s="173" t="str">
        <f t="shared" si="9"/>
        <v>5-6mm GLAZING BEAD HORIZONTAL</v>
      </c>
      <c r="D168" s="508" t="str">
        <f t="shared" si="15"/>
        <v>B24008</v>
      </c>
      <c r="E168" s="175">
        <f t="shared" si="10"/>
        <v>0.23100000000000001</v>
      </c>
      <c r="F168" s="353">
        <f t="shared" si="13"/>
        <v>590.78571428571433</v>
      </c>
      <c r="G168" s="175">
        <f t="shared" si="11"/>
        <v>14</v>
      </c>
      <c r="H168" s="516">
        <f>ROUNDUP(((F168*G168)+(F169*G169))/6400,0)</f>
        <v>7</v>
      </c>
      <c r="I168" s="501"/>
      <c r="J168" s="501"/>
    </row>
    <row r="169" spans="1:23" s="1" customFormat="1" ht="15" customHeight="1" outlineLevel="1">
      <c r="A169" s="18">
        <f t="shared" si="12"/>
        <v>15</v>
      </c>
      <c r="B169" s="173" t="str">
        <f t="shared" si="9"/>
        <v>5-6mm คิ้วตบกระจกแนวตั้ง</v>
      </c>
      <c r="C169" s="173" t="str">
        <f t="shared" si="9"/>
        <v>5-6mm GLAZING BEAD VERTICAL</v>
      </c>
      <c r="D169" s="509"/>
      <c r="E169" s="175">
        <f t="shared" si="10"/>
        <v>0.23100000000000001</v>
      </c>
      <c r="F169" s="353">
        <f t="shared" si="13"/>
        <v>2258</v>
      </c>
      <c r="G169" s="175">
        <f t="shared" si="11"/>
        <v>14</v>
      </c>
      <c r="H169" s="516"/>
      <c r="I169" s="435"/>
      <c r="J169" s="435"/>
    </row>
    <row r="170" spans="1:23" s="1" customFormat="1" ht="13.8" outlineLevel="1">
      <c r="A170" s="18">
        <f t="shared" si="12"/>
        <v>16</v>
      </c>
      <c r="B170" s="173">
        <f t="shared" si="9"/>
        <v>0</v>
      </c>
      <c r="C170" s="173">
        <f t="shared" si="9"/>
        <v>0</v>
      </c>
      <c r="D170" s="508" t="e">
        <f t="shared" si="15"/>
        <v>#N/A</v>
      </c>
      <c r="E170" s="175" t="e">
        <f t="shared" si="10"/>
        <v>#N/A</v>
      </c>
      <c r="F170" s="353" t="e">
        <f t="shared" si="13"/>
        <v>#N/A</v>
      </c>
      <c r="G170" s="175" t="e">
        <f t="shared" si="11"/>
        <v>#N/A</v>
      </c>
      <c r="H170" s="516" t="e">
        <f>ROUNDUP(((F170*G170)+(F171*G171))/6400,0)</f>
        <v>#N/A</v>
      </c>
      <c r="I170" s="435"/>
      <c r="J170" s="435"/>
    </row>
    <row r="171" spans="1:23" s="1" customFormat="1" outlineLevel="1" thickBot="1">
      <c r="A171" s="18">
        <f t="shared" si="12"/>
        <v>17</v>
      </c>
      <c r="B171" s="173">
        <f t="shared" ref="B171:C171" si="16">B149</f>
        <v>0</v>
      </c>
      <c r="C171" s="173">
        <f t="shared" si="16"/>
        <v>0</v>
      </c>
      <c r="D171" s="511"/>
      <c r="E171" s="175" t="e">
        <f t="shared" si="10"/>
        <v>#N/A</v>
      </c>
      <c r="F171" s="353" t="e">
        <f t="shared" si="13"/>
        <v>#N/A</v>
      </c>
      <c r="G171" s="175" t="e">
        <f t="shared" si="11"/>
        <v>#N/A</v>
      </c>
      <c r="H171" s="516"/>
      <c r="I171" s="435"/>
      <c r="J171" s="435"/>
    </row>
    <row r="172" spans="1:23" s="1" customFormat="1" ht="24.9" customHeight="1" thickBot="1">
      <c r="A172" s="529" t="s">
        <v>9</v>
      </c>
      <c r="B172" s="530"/>
      <c r="C172" s="530"/>
      <c r="D172" s="530"/>
      <c r="E172" s="530"/>
      <c r="F172" s="530"/>
      <c r="G172" s="530"/>
      <c r="H172" s="530"/>
      <c r="I172" s="530"/>
      <c r="J172" s="531"/>
    </row>
    <row r="173" spans="1:23" s="1" customFormat="1" ht="35.1" customHeight="1" thickBot="1">
      <c r="A173" s="102" t="s">
        <v>2</v>
      </c>
      <c r="B173" s="103" t="s">
        <v>29</v>
      </c>
      <c r="C173" s="103" t="s">
        <v>3</v>
      </c>
      <c r="D173" s="103" t="s">
        <v>199</v>
      </c>
      <c r="E173" s="103" t="s">
        <v>5</v>
      </c>
      <c r="F173" s="104" t="s">
        <v>28</v>
      </c>
      <c r="G173" s="103" t="s">
        <v>19</v>
      </c>
      <c r="H173" s="104" t="s">
        <v>200</v>
      </c>
      <c r="I173" s="104" t="s">
        <v>20</v>
      </c>
      <c r="J173" s="115" t="s">
        <v>201</v>
      </c>
      <c r="N173" s="101" t="s">
        <v>191</v>
      </c>
      <c r="O173" s="246" t="s">
        <v>29</v>
      </c>
      <c r="P173" s="246" t="s">
        <v>3</v>
      </c>
      <c r="Q173" s="246" t="s">
        <v>199</v>
      </c>
      <c r="R173" s="246" t="s">
        <v>5</v>
      </c>
      <c r="S173" s="246" t="s">
        <v>28</v>
      </c>
      <c r="T173" s="246" t="s">
        <v>19</v>
      </c>
      <c r="U173" s="246" t="s">
        <v>200</v>
      </c>
      <c r="V173" s="246" t="s">
        <v>20</v>
      </c>
      <c r="W173" s="246" t="s">
        <v>201</v>
      </c>
    </row>
    <row r="174" spans="1:23" s="1" customFormat="1" ht="18" customHeight="1">
      <c r="A174" s="200">
        <f>IF(B174="","",1)</f>
        <v>1</v>
      </c>
      <c r="B174" s="140" t="s">
        <v>111</v>
      </c>
      <c r="C174" s="140" t="s">
        <v>67</v>
      </c>
      <c r="D174" s="139" t="s">
        <v>74</v>
      </c>
      <c r="E174" s="143"/>
      <c r="F174" s="143" t="s">
        <v>74</v>
      </c>
      <c r="G174" s="143" t="s">
        <v>202</v>
      </c>
      <c r="H174" s="143">
        <v>14</v>
      </c>
      <c r="I174" s="130"/>
      <c r="J174" s="131">
        <f>$J$120*H174</f>
        <v>14</v>
      </c>
      <c r="N174" s="101" t="s">
        <v>226</v>
      </c>
      <c r="O174" s="280" t="s">
        <v>252</v>
      </c>
      <c r="P174" s="290" t="s">
        <v>248</v>
      </c>
      <c r="Q174" s="280" t="s">
        <v>69</v>
      </c>
      <c r="R174" s="213"/>
      <c r="S174" s="213" t="s">
        <v>69</v>
      </c>
      <c r="T174" s="213" t="s">
        <v>198</v>
      </c>
      <c r="U174" s="291">
        <f>((($I$141*$G$141)+($I$142*$G$142)+($I$143*$G$143)+($I$144*$G$144)+($I$145*$G$145))/1000)*$J$120</f>
        <v>41.982999999999997</v>
      </c>
      <c r="V174" s="291">
        <v>100</v>
      </c>
      <c r="W174" s="292" t="e">
        <f>ROUNDUP((#REF!)/100,0)</f>
        <v>#REF!</v>
      </c>
    </row>
    <row r="175" spans="1:23" s="1" customFormat="1" ht="18" customHeight="1">
      <c r="A175" s="201">
        <f>IF(B175="","",+A174+1)</f>
        <v>2</v>
      </c>
      <c r="B175" s="140" t="s">
        <v>106</v>
      </c>
      <c r="C175" s="140" t="s">
        <v>503</v>
      </c>
      <c r="D175" s="139" t="s">
        <v>75</v>
      </c>
      <c r="E175" s="143"/>
      <c r="F175" s="143" t="s">
        <v>75</v>
      </c>
      <c r="G175" s="143" t="s">
        <v>202</v>
      </c>
      <c r="H175" s="143">
        <v>2</v>
      </c>
      <c r="I175" s="130"/>
      <c r="J175" s="131">
        <f t="shared" ref="J175:J204" si="17">$J$120*H175</f>
        <v>2</v>
      </c>
      <c r="N175" s="101" t="s">
        <v>230</v>
      </c>
      <c r="O175" s="280" t="s">
        <v>253</v>
      </c>
      <c r="P175" s="290" t="s">
        <v>249</v>
      </c>
      <c r="Q175" s="280" t="s">
        <v>188</v>
      </c>
      <c r="R175" s="213"/>
      <c r="S175" s="213" t="s">
        <v>188</v>
      </c>
      <c r="T175" s="213" t="s">
        <v>198</v>
      </c>
      <c r="U175" s="291">
        <f>((($I$141*$G$141)+($I$142*$G$142)+($I$143*$G$143)+($I$144*$G$144)+($I$145*$G$145))/1000)*$J$120</f>
        <v>41.982999999999997</v>
      </c>
      <c r="V175" s="291">
        <v>100</v>
      </c>
      <c r="W175" s="292" t="e">
        <f>ROUNDUP((#REF!)/100,0)</f>
        <v>#REF!</v>
      </c>
    </row>
    <row r="176" spans="1:23" s="1" customFormat="1" ht="18" customHeight="1">
      <c r="A176" s="201">
        <f t="shared" ref="A176:A204" si="18">IF(B176="","",+A175+1)</f>
        <v>3</v>
      </c>
      <c r="B176" s="140" t="s">
        <v>107</v>
      </c>
      <c r="C176" s="140" t="s">
        <v>504</v>
      </c>
      <c r="D176" s="139" t="s">
        <v>76</v>
      </c>
      <c r="E176" s="143"/>
      <c r="F176" s="143" t="s">
        <v>76</v>
      </c>
      <c r="G176" s="143" t="s">
        <v>202</v>
      </c>
      <c r="H176" s="143">
        <v>2</v>
      </c>
      <c r="I176" s="130"/>
      <c r="J176" s="131">
        <f t="shared" si="17"/>
        <v>2</v>
      </c>
      <c r="N176" s="101" t="s">
        <v>229</v>
      </c>
      <c r="O176" s="290" t="s">
        <v>254</v>
      </c>
      <c r="P176" s="290" t="s">
        <v>250</v>
      </c>
      <c r="Q176" s="280" t="s">
        <v>70</v>
      </c>
      <c r="R176" s="213"/>
      <c r="S176" s="213" t="s">
        <v>70</v>
      </c>
      <c r="T176" s="213" t="s">
        <v>198</v>
      </c>
      <c r="U176" s="291">
        <f>((($I$141*$G$141)+($I$142*$G$142)+($I$143*$G$143)+($I$144*$G$144)+($I$145*$G$145))/1000)*$J$120</f>
        <v>41.982999999999997</v>
      </c>
      <c r="V176" s="291">
        <v>100</v>
      </c>
      <c r="W176" s="292" t="e">
        <f>ROUNDUP((#REF!)/100,0)</f>
        <v>#REF!</v>
      </c>
    </row>
    <row r="177" spans="1:23" s="1" customFormat="1" ht="18" customHeight="1">
      <c r="A177" s="201">
        <f t="shared" si="18"/>
        <v>4</v>
      </c>
      <c r="B177" s="140" t="s">
        <v>108</v>
      </c>
      <c r="C177" s="140" t="s">
        <v>10</v>
      </c>
      <c r="D177" s="139">
        <v>9</v>
      </c>
      <c r="E177" s="143"/>
      <c r="F177" s="143">
        <v>9</v>
      </c>
      <c r="G177" s="143" t="s">
        <v>202</v>
      </c>
      <c r="H177" s="143">
        <v>8</v>
      </c>
      <c r="I177" s="130"/>
      <c r="J177" s="131">
        <f t="shared" si="17"/>
        <v>8</v>
      </c>
      <c r="N177" s="101" t="s">
        <v>231</v>
      </c>
      <c r="O177" s="290" t="s">
        <v>255</v>
      </c>
      <c r="P177" s="290" t="s">
        <v>251</v>
      </c>
      <c r="Q177" s="280" t="s">
        <v>189</v>
      </c>
      <c r="R177" s="213"/>
      <c r="S177" s="213" t="s">
        <v>189</v>
      </c>
      <c r="T177" s="213" t="s">
        <v>198</v>
      </c>
      <c r="U177" s="291">
        <f>((($I$141*$G$141)+($I$142*$G$142)+($I$143*$G$143)+($I$144*$G$144)+($I$145*$G$145))/1000)*$J$120</f>
        <v>41.982999999999997</v>
      </c>
      <c r="V177" s="291">
        <v>100</v>
      </c>
      <c r="W177" s="292" t="e">
        <f>ROUNDUP((#REF!)/100,0)</f>
        <v>#REF!</v>
      </c>
    </row>
    <row r="178" spans="1:23" s="1" customFormat="1" ht="18" customHeight="1">
      <c r="A178" s="201">
        <f t="shared" si="18"/>
        <v>5</v>
      </c>
      <c r="B178" s="140" t="s">
        <v>109</v>
      </c>
      <c r="C178" s="140" t="s">
        <v>68</v>
      </c>
      <c r="D178" s="139">
        <v>9</v>
      </c>
      <c r="E178" s="143"/>
      <c r="F178" s="143">
        <v>9</v>
      </c>
      <c r="G178" s="143" t="s">
        <v>202</v>
      </c>
      <c r="H178" s="143">
        <v>110</v>
      </c>
      <c r="I178" s="130"/>
      <c r="J178" s="131">
        <f t="shared" si="17"/>
        <v>110</v>
      </c>
      <c r="N178" s="101" t="s">
        <v>232</v>
      </c>
      <c r="O178" s="290" t="s">
        <v>256</v>
      </c>
      <c r="P178" s="290" t="s">
        <v>247</v>
      </c>
      <c r="Q178" s="280" t="s">
        <v>233</v>
      </c>
      <c r="R178" s="213"/>
      <c r="S178" s="213" t="s">
        <v>233</v>
      </c>
      <c r="T178" s="213" t="s">
        <v>198</v>
      </c>
      <c r="U178" s="291">
        <f>((($I$141*$G$141)+($I$142*$G$142)+($I$143*$G$143)+($I$144*$G$144)+($I$145*$G$145))/1000)*$J$120</f>
        <v>41.982999999999997</v>
      </c>
      <c r="V178" s="291">
        <v>100</v>
      </c>
      <c r="W178" s="292">
        <f>ROUNDUP((U178)/100,0)</f>
        <v>1</v>
      </c>
    </row>
    <row r="179" spans="1:23" s="1" customFormat="1" ht="18" customHeight="1">
      <c r="A179" s="201">
        <f t="shared" si="18"/>
        <v>6</v>
      </c>
      <c r="B179" s="140" t="s">
        <v>132</v>
      </c>
      <c r="C179" s="140" t="s">
        <v>79</v>
      </c>
      <c r="D179" s="139" t="s">
        <v>82</v>
      </c>
      <c r="E179" s="143"/>
      <c r="F179" s="143" t="s">
        <v>82</v>
      </c>
      <c r="G179" s="143" t="s">
        <v>185</v>
      </c>
      <c r="H179" s="143">
        <v>2</v>
      </c>
      <c r="I179" s="130"/>
      <c r="J179" s="131">
        <f t="shared" si="17"/>
        <v>2</v>
      </c>
    </row>
    <row r="180" spans="1:23" s="1" customFormat="1" ht="18" customHeight="1">
      <c r="A180" s="201">
        <f t="shared" si="18"/>
        <v>7</v>
      </c>
      <c r="B180" s="140" t="s">
        <v>143</v>
      </c>
      <c r="C180" s="140" t="s">
        <v>121</v>
      </c>
      <c r="D180" s="139" t="s">
        <v>103</v>
      </c>
      <c r="E180" s="143"/>
      <c r="F180" s="143" t="s">
        <v>103</v>
      </c>
      <c r="G180" s="143" t="s">
        <v>185</v>
      </c>
      <c r="H180" s="143">
        <v>1</v>
      </c>
      <c r="I180" s="130"/>
      <c r="J180" s="131">
        <f t="shared" si="17"/>
        <v>1</v>
      </c>
    </row>
    <row r="181" spans="1:23" s="1" customFormat="1" ht="18" customHeight="1">
      <c r="A181" s="201">
        <f t="shared" si="18"/>
        <v>8</v>
      </c>
      <c r="B181" s="140" t="s">
        <v>118</v>
      </c>
      <c r="C181" s="140" t="s">
        <v>77</v>
      </c>
      <c r="D181" s="139" t="s">
        <v>80</v>
      </c>
      <c r="E181" s="143"/>
      <c r="F181" s="143" t="s">
        <v>80</v>
      </c>
      <c r="G181" s="143" t="s">
        <v>185</v>
      </c>
      <c r="H181" s="143">
        <v>1</v>
      </c>
      <c r="I181" s="130"/>
      <c r="J181" s="131">
        <f t="shared" si="17"/>
        <v>1</v>
      </c>
    </row>
    <row r="182" spans="1:23" s="1" customFormat="1" ht="18" customHeight="1">
      <c r="A182" s="201">
        <f t="shared" si="18"/>
        <v>9</v>
      </c>
      <c r="B182" s="140" t="s">
        <v>131</v>
      </c>
      <c r="C182" s="140" t="s">
        <v>100</v>
      </c>
      <c r="D182" s="139" t="s">
        <v>102</v>
      </c>
      <c r="E182" s="143"/>
      <c r="F182" s="143" t="s">
        <v>102</v>
      </c>
      <c r="G182" s="143" t="s">
        <v>185</v>
      </c>
      <c r="H182" s="143">
        <v>3</v>
      </c>
      <c r="I182" s="144"/>
      <c r="J182" s="131">
        <f t="shared" si="17"/>
        <v>3</v>
      </c>
    </row>
    <row r="183" spans="1:23" s="1" customFormat="1" ht="18" customHeight="1">
      <c r="A183" s="201">
        <f t="shared" si="18"/>
        <v>10</v>
      </c>
      <c r="B183" s="140" t="s">
        <v>113</v>
      </c>
      <c r="C183" s="140" t="s">
        <v>502</v>
      </c>
      <c r="D183" s="139" t="s">
        <v>83</v>
      </c>
      <c r="E183" s="143"/>
      <c r="F183" s="143" t="s">
        <v>83</v>
      </c>
      <c r="G183" s="143" t="s">
        <v>185</v>
      </c>
      <c r="H183" s="143">
        <v>3</v>
      </c>
      <c r="I183" s="144"/>
      <c r="J183" s="131">
        <f t="shared" si="17"/>
        <v>3</v>
      </c>
      <c r="N183" s="56"/>
      <c r="O183" s="56"/>
      <c r="P183" s="56"/>
      <c r="Q183" s="289"/>
      <c r="R183" s="289"/>
      <c r="S183" s="289"/>
      <c r="T183" s="17"/>
      <c r="U183" s="17"/>
      <c r="V183" s="17"/>
      <c r="W183" s="56"/>
    </row>
    <row r="184" spans="1:23" s="1" customFormat="1" ht="18" customHeight="1">
      <c r="A184" s="201">
        <f t="shared" si="18"/>
        <v>11</v>
      </c>
      <c r="B184" s="140" t="s">
        <v>122</v>
      </c>
      <c r="C184" s="140" t="s">
        <v>101</v>
      </c>
      <c r="D184" s="139" t="s">
        <v>104</v>
      </c>
      <c r="E184" s="143"/>
      <c r="F184" s="143" t="s">
        <v>104</v>
      </c>
      <c r="G184" s="143" t="s">
        <v>185</v>
      </c>
      <c r="H184" s="143">
        <v>1</v>
      </c>
      <c r="I184" s="130"/>
      <c r="J184" s="131">
        <f t="shared" si="17"/>
        <v>1</v>
      </c>
      <c r="N184" s="101" t="s">
        <v>227</v>
      </c>
      <c r="O184" s="246" t="s">
        <v>29</v>
      </c>
      <c r="P184" s="246" t="s">
        <v>3</v>
      </c>
      <c r="Q184" s="246" t="s">
        <v>199</v>
      </c>
      <c r="R184" s="246" t="s">
        <v>5</v>
      </c>
      <c r="S184" s="246" t="s">
        <v>28</v>
      </c>
      <c r="T184" s="246" t="s">
        <v>19</v>
      </c>
      <c r="U184" s="246" t="s">
        <v>200</v>
      </c>
      <c r="V184" s="246" t="s">
        <v>20</v>
      </c>
      <c r="W184" s="246" t="s">
        <v>201</v>
      </c>
    </row>
    <row r="185" spans="1:23" s="1" customFormat="1" ht="18" customHeight="1">
      <c r="A185" s="201">
        <f t="shared" si="18"/>
        <v>12</v>
      </c>
      <c r="B185" s="140" t="s">
        <v>112</v>
      </c>
      <c r="C185" s="140" t="s">
        <v>114</v>
      </c>
      <c r="D185" s="128" t="s">
        <v>520</v>
      </c>
      <c r="E185" s="129"/>
      <c r="F185" s="129" t="s">
        <v>520</v>
      </c>
      <c r="G185" s="143" t="s">
        <v>202</v>
      </c>
      <c r="H185" s="143">
        <v>6</v>
      </c>
      <c r="I185" s="130"/>
      <c r="J185" s="131">
        <f t="shared" si="17"/>
        <v>6</v>
      </c>
      <c r="N185" s="101" t="s">
        <v>240</v>
      </c>
      <c r="O185" s="290" t="s">
        <v>234</v>
      </c>
      <c r="P185" s="290" t="s">
        <v>236</v>
      </c>
      <c r="Q185" s="280" t="s">
        <v>190</v>
      </c>
      <c r="R185" s="213"/>
      <c r="S185" s="213" t="s">
        <v>190</v>
      </c>
      <c r="T185" s="213" t="s">
        <v>198</v>
      </c>
      <c r="U185" s="291">
        <f>((($I$134*$G$134)+($I$136*$G$136)+($I$139*$G$139))/1000)*$J$120</f>
        <v>12.257999999999999</v>
      </c>
      <c r="V185" s="291">
        <v>300</v>
      </c>
      <c r="W185" s="292">
        <f>ROUNDUP((U185)/V185,0)</f>
        <v>1</v>
      </c>
    </row>
    <row r="186" spans="1:23" s="1" customFormat="1" ht="18" customHeight="1">
      <c r="A186" s="201">
        <f t="shared" si="18"/>
        <v>13</v>
      </c>
      <c r="B186" s="140" t="s">
        <v>115</v>
      </c>
      <c r="C186" s="140" t="s">
        <v>45</v>
      </c>
      <c r="D186" s="139" t="s">
        <v>84</v>
      </c>
      <c r="E186" s="143"/>
      <c r="F186" s="143" t="s">
        <v>84</v>
      </c>
      <c r="G186" s="143" t="s">
        <v>202</v>
      </c>
      <c r="H186" s="143">
        <v>1</v>
      </c>
      <c r="I186" s="130"/>
      <c r="J186" s="131">
        <f t="shared" si="17"/>
        <v>1</v>
      </c>
      <c r="N186" s="101" t="s">
        <v>241</v>
      </c>
      <c r="O186" s="290" t="s">
        <v>235</v>
      </c>
      <c r="P186" s="290" t="s">
        <v>238</v>
      </c>
      <c r="Q186" s="280" t="s">
        <v>71</v>
      </c>
      <c r="R186" s="213"/>
      <c r="S186" s="213" t="s">
        <v>71</v>
      </c>
      <c r="T186" s="213" t="s">
        <v>198</v>
      </c>
      <c r="U186" s="291">
        <f>((($I$134*$G$134)+($I$136*$G$136)+($I$139*$G$139))/1000)*$J$120</f>
        <v>12.257999999999999</v>
      </c>
      <c r="V186" s="291">
        <v>100</v>
      </c>
      <c r="W186" s="292">
        <f t="shared" ref="W186:W188" si="19">ROUNDUP((U186)/V186,0)</f>
        <v>1</v>
      </c>
    </row>
    <row r="187" spans="1:23" s="1" customFormat="1" ht="18" customHeight="1">
      <c r="A187" s="201">
        <f t="shared" si="18"/>
        <v>14</v>
      </c>
      <c r="B187" s="140" t="s">
        <v>110</v>
      </c>
      <c r="C187" s="140" t="s">
        <v>66</v>
      </c>
      <c r="D187" s="139" t="s">
        <v>73</v>
      </c>
      <c r="E187" s="143"/>
      <c r="F187" s="143" t="s">
        <v>73</v>
      </c>
      <c r="G187" s="143" t="s">
        <v>202</v>
      </c>
      <c r="H187" s="143">
        <v>3</v>
      </c>
      <c r="I187" s="130"/>
      <c r="J187" s="131">
        <f t="shared" si="17"/>
        <v>3</v>
      </c>
      <c r="N187" s="101" t="s">
        <v>240</v>
      </c>
      <c r="O187" s="290" t="s">
        <v>245</v>
      </c>
      <c r="P187" s="290" t="s">
        <v>237</v>
      </c>
      <c r="Q187" s="280" t="s">
        <v>72</v>
      </c>
      <c r="R187" s="213"/>
      <c r="S187" s="213" t="s">
        <v>72</v>
      </c>
      <c r="T187" s="213" t="s">
        <v>198</v>
      </c>
      <c r="U187" s="291">
        <f>((($I$141*$G$141*2)+($I$143*$G$143*2)+(($I$144*($G$144-1))*2))/1000)*$J$120</f>
        <v>66.063000000000002</v>
      </c>
      <c r="V187" s="291">
        <v>350</v>
      </c>
      <c r="W187" s="292">
        <f t="shared" si="19"/>
        <v>1</v>
      </c>
    </row>
    <row r="188" spans="1:23" s="1" customFormat="1" ht="18" customHeight="1">
      <c r="A188" s="201">
        <f t="shared" si="18"/>
        <v>15</v>
      </c>
      <c r="B188" s="140" t="s">
        <v>512</v>
      </c>
      <c r="C188" s="140" t="s">
        <v>135</v>
      </c>
      <c r="D188" s="139" t="s">
        <v>137</v>
      </c>
      <c r="E188" s="143"/>
      <c r="F188" s="143" t="s">
        <v>137</v>
      </c>
      <c r="G188" s="143" t="s">
        <v>198</v>
      </c>
      <c r="H188" s="261">
        <f>((($I$148*$G$148)+($I$149*$G$149))/1000)*$J$120</f>
        <v>0</v>
      </c>
      <c r="I188" s="258">
        <v>100</v>
      </c>
      <c r="J188" s="267">
        <f>ROUNDUP((H188)/100,0)</f>
        <v>0</v>
      </c>
      <c r="N188" s="101" t="s">
        <v>241</v>
      </c>
      <c r="O188" s="290" t="s">
        <v>246</v>
      </c>
      <c r="P188" s="290" t="s">
        <v>239</v>
      </c>
      <c r="Q188" s="280" t="s">
        <v>193</v>
      </c>
      <c r="R188" s="213"/>
      <c r="S188" s="213" t="s">
        <v>193</v>
      </c>
      <c r="T188" s="213" t="s">
        <v>198</v>
      </c>
      <c r="U188" s="291">
        <f>((($I$141*$G$141*2)+($I$143*$G$143*2)+(($I$144*($G$144-1))*2))/1000)*$J$120</f>
        <v>66.063000000000002</v>
      </c>
      <c r="V188" s="291">
        <v>100</v>
      </c>
      <c r="W188" s="292">
        <f t="shared" si="19"/>
        <v>1</v>
      </c>
    </row>
    <row r="189" spans="1:23" s="1" customFormat="1" ht="18" customHeight="1">
      <c r="A189" s="201">
        <f t="shared" si="18"/>
        <v>16</v>
      </c>
      <c r="B189" s="140" t="s">
        <v>513</v>
      </c>
      <c r="C189" s="140" t="s">
        <v>136</v>
      </c>
      <c r="D189" s="139" t="s">
        <v>138</v>
      </c>
      <c r="E189" s="143"/>
      <c r="F189" s="143" t="s">
        <v>138</v>
      </c>
      <c r="G189" s="143" t="s">
        <v>198</v>
      </c>
      <c r="H189" s="261">
        <f>((($I$144*$G$144)+($I$145*$G$145))/1000)*$J$120</f>
        <v>9.6319999999999997</v>
      </c>
      <c r="I189" s="258">
        <v>100</v>
      </c>
      <c r="J189" s="267">
        <f>ROUNDUP((H189)/100,0)</f>
        <v>1</v>
      </c>
    </row>
    <row r="190" spans="1:23" s="1" customFormat="1" ht="18" customHeight="1">
      <c r="A190" s="201">
        <f t="shared" si="18"/>
        <v>17</v>
      </c>
      <c r="B190" s="139" t="str">
        <f t="shared" ref="B190:I190" si="20">IF($D$129="Standard",O185,IF($D$129="Soumdproof",O186,))</f>
        <v>ยางเฟรมกันน้ำ (ธรรมดา)</v>
      </c>
      <c r="C190" s="139" t="str">
        <f t="shared" si="20"/>
        <v>FRAME SEAL (Standard)</v>
      </c>
      <c r="D190" s="139" t="str">
        <f t="shared" si="20"/>
        <v>02-026</v>
      </c>
      <c r="E190" s="139">
        <f t="shared" si="20"/>
        <v>0</v>
      </c>
      <c r="F190" s="143" t="str">
        <f t="shared" si="20"/>
        <v>02-026</v>
      </c>
      <c r="G190" s="143" t="str">
        <f t="shared" si="20"/>
        <v>M</v>
      </c>
      <c r="H190" s="261">
        <f t="shared" si="20"/>
        <v>12.257999999999999</v>
      </c>
      <c r="I190" s="258">
        <f t="shared" si="20"/>
        <v>300</v>
      </c>
      <c r="J190" s="267">
        <f>ROUNDUP((H190)/100,0)</f>
        <v>1</v>
      </c>
    </row>
    <row r="191" spans="1:23" s="1" customFormat="1" ht="18" customHeight="1">
      <c r="A191" s="201">
        <f t="shared" si="18"/>
        <v>18</v>
      </c>
      <c r="B191" s="139" t="str">
        <f t="shared" ref="B191:I191" si="21">IF($D$129="Standard",O187,IF($D$129="Soumdproof",O188,))</f>
        <v>ยางแซชกันน้ำ (ธรรมดา)</v>
      </c>
      <c r="C191" s="139" t="str">
        <f t="shared" si="21"/>
        <v>SASH SEAL FOAM (Standard)</v>
      </c>
      <c r="D191" s="139" t="str">
        <f t="shared" si="21"/>
        <v>02-031</v>
      </c>
      <c r="E191" s="139">
        <f t="shared" si="21"/>
        <v>0</v>
      </c>
      <c r="F191" s="143" t="str">
        <f t="shared" si="21"/>
        <v>02-031</v>
      </c>
      <c r="G191" s="143" t="str">
        <f t="shared" si="21"/>
        <v>M</v>
      </c>
      <c r="H191" s="261">
        <f t="shared" si="21"/>
        <v>66.063000000000002</v>
      </c>
      <c r="I191" s="258">
        <f t="shared" si="21"/>
        <v>350</v>
      </c>
      <c r="J191" s="267">
        <f>ROUNDUP((H191)/100,0)</f>
        <v>1</v>
      </c>
    </row>
    <row r="192" spans="1:23" s="1" customFormat="1" ht="18" customHeight="1">
      <c r="A192" s="201">
        <f t="shared" si="18"/>
        <v>19</v>
      </c>
      <c r="B192" s="241" t="str">
        <f>IF($D$127=5,$O$176,IF($D$127=6,$O$177,IF($D$127=8,$O$178,IF($D$127=10,$O$176,IF($D$127=12,$O$176,IF($D$127=14,$O$178,IF($D$127=18,$O$176,IF($D$127=20,$O$177,IF($D$127=22,"")))))))))</f>
        <v>6,20 mm ยางอัดกระจก</v>
      </c>
      <c r="C192" s="241" t="str">
        <f>IF($D$127=5,$P$176,IF($D$127=6,$P$177,IF($D$127=8,$P$178,IF($D$127=10,$P$176,IF($D$127=12,$P$176,IF($D$127=14,$P$178,IF($D$127=18,$P$176,IF($D$127=20,$P$177,IF($D$127=22,"")))))))))</f>
        <v>6,20 mm ROLL IN WEDGE</v>
      </c>
      <c r="D192" s="241" t="str">
        <f>IF($D$127=5,$Q$176,IF($D$127=6,$Q$177,IF($D$127=8,$Q$178,IF($D$127=10,$Q$176,IF($D$127=12,$Q$176,IF($D$127=14,$Q$178,IF($D$127=18,$Q$176,IF($D$127=20,$Q$177,IF($D$127=22,"")))))))))</f>
        <v>02-034</v>
      </c>
      <c r="E192" s="241">
        <f>IF($D$129=5,R181,IF($D$129=6,R182,IF($D$129=8,R183,IF($D$129=10,R181,IF($D$129=12,R181,IF($D$129=14,R183,IF($D$129=18,R181,IF($D$129=20,R182,IF($D$129=22,"",)))))))))</f>
        <v>0</v>
      </c>
      <c r="F192" s="242" t="str">
        <f>IF($D$127=5,$S$176,IF($D$127=6,$S$177,IF($D$127=8,$S$178,IF($D$127=10,$S$176,IF($D$127=12,$S$176,IF($D$127=14,$S$178,IF($D$127=18,$S$176,IF($D$127=20,$S$177,IF($D$127=22,"")))))))))</f>
        <v>02-034</v>
      </c>
      <c r="G192" s="242" t="str">
        <f>IF($D$127=5,$T$176,IF($D$127=6,$T$177,IF($D$127=8,$T$178,IF($D$127=10,$T$176,IF($D$127=12,$T$176,IF($D$127=14,$T$178,IF($D$127=18,$T$176,IF($D$127=20,$T$177,IF($D$127=22,"")))))))))</f>
        <v>M</v>
      </c>
      <c r="H192" s="261">
        <f>IF($D$127=5,$U$176,IF($D$127=6,$U$177,IF($D$127=8,$U$178,IF($D$127=10,$U$176*2,IF($D$127=12,$U$176,IF($D$127=14,$U$178*2,IF($D$127=18,$U$176,IF($D$127=20,$U$177,IF($D$127=22,"")))))))))</f>
        <v>41.982999999999997</v>
      </c>
      <c r="I192" s="258">
        <f>IF($D$127=5,$V$176,IF($D$127=6,$V$177,IF($D$127=8,$V$178,IF($D$127=10,$V$176,IF($D$127=12,$V$176,IF($D$127=14,$V$178,IF($D$127=18,$V$176,IF($D$127=20,$V$177,IF($D$127=22,"")))))))))</f>
        <v>100</v>
      </c>
      <c r="J192" s="260">
        <f t="shared" ref="J192:J193" si="22">ROUNDUP((H192)/100,0)</f>
        <v>1</v>
      </c>
    </row>
    <row r="193" spans="1:24" s="1" customFormat="1" ht="18" customHeight="1">
      <c r="A193" s="201">
        <f t="shared" si="18"/>
        <v>20</v>
      </c>
      <c r="B193" s="241" t="str">
        <f>IF($D$127=5,$O$174,IF($D$127=6,$O$174,IF($D$127=8,$O$176,IF($D$127=10,"",IF($D$127=12,$O$175,IF($D$127=14,"",IF($D$127=18,$O$174,IF($D$127=20,$O$175,IF($D$127=22,"",)))))))))</f>
        <v>5,6,18 mm ยางรองกระจก</v>
      </c>
      <c r="C193" s="241" t="str">
        <f>IF($D$127=5,$P$174,IF($D$127=6,$P$174,IF($D$127=8,$P$176,IF($D$127=10,"",IF($D$127=12,$P$175,IF($D$127=14,"",IF($D$127=18,$P$174,IF($D$127=20,$P$175,IF($D$127=22,"",)))))))))</f>
        <v>5,6,18 mm CAPTIVE WEDGE</v>
      </c>
      <c r="D193" s="241" t="str">
        <f>IF($D$127=5,$Q$174,IF($D$127=6,$Q$174,IF($D$127=8,$Q$176,IF($D$127=10,"",IF($D$127=12,$Q$175,IF($D$127=14,"",IF($D$127=18,$Q$174,IF($D$127=20,$Q$175,IF($D$127=22,"",)))))))))</f>
        <v>02-022</v>
      </c>
      <c r="E193" s="241">
        <f>IF($D$129=5,R179,IF($D$129=6,R179,IF($D$129=8,R181,IF($D$129=10,"",IF($D$129=12,R180,IF($D$129=14,"",IF($D$129=18,R179,IF($D$129=20,R180,IF($D$129=22,"",)))))))))</f>
        <v>0</v>
      </c>
      <c r="F193" s="242" t="str">
        <f>IF($D$127=5,$S$174,IF($D$127=6,$S$174,IF($D$127=8,$S$176,IF($D$127=10,"",IF($D$127=12,$S$175,IF($D$127=14,"",IF($D$127=18,$S$174,IF($D$127=20,$S$175,IF($D$127=22,"",)))))))))</f>
        <v>02-022</v>
      </c>
      <c r="G193" s="242" t="str">
        <f>IF($D$127=5,$T$174,IF($D$127=6,$T$174,IF($D$127=8,$T$176,IF($D$127=10,"",IF($D$127=12,$T$175,IF($D$127=14,"",IF($D$127=18,$T$174,IF($D$127=20,$T$175,IF($D$127=22,"",)))))))))</f>
        <v>M</v>
      </c>
      <c r="H193" s="261">
        <f>IF($D$127=5,$U$174,IF($D$127=6,$U$174,IF($D$127=8,$U$176,IF($D$127=10,"",IF($D$127=12,$U$175,IF($D$127=14,"",IF($D$127=18,$U$174,IF($D$127=20,$U$175,IF($D$127=22,"")))))))))</f>
        <v>41.982999999999997</v>
      </c>
      <c r="I193" s="258">
        <f>IF($D$127=5,$V$174,IF($D$127=6,$V$174,IF($D$127=8,$V$176,IF($D$127=10,"",IF($D$127=12,$V$175,IF($D$127=14,"",IF($D$127=18,$V$174,IF($D$127=20,$V$175,IF($D$127=22,"",)))))))))</f>
        <v>100</v>
      </c>
      <c r="J193" s="260">
        <f t="shared" si="22"/>
        <v>1</v>
      </c>
    </row>
    <row r="194" spans="1:24" ht="18" customHeight="1">
      <c r="A194" s="201" t="str">
        <f t="shared" si="18"/>
        <v/>
      </c>
      <c r="B194" s="140"/>
      <c r="C194" s="140"/>
      <c r="D194" s="139"/>
      <c r="E194" s="143"/>
      <c r="F194" s="143"/>
      <c r="G194" s="143"/>
      <c r="H194" s="143"/>
      <c r="I194" s="130"/>
      <c r="J194" s="13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s="1" customFormat="1" ht="18" customHeight="1">
      <c r="A195" s="201" t="str">
        <f t="shared" si="18"/>
        <v/>
      </c>
      <c r="B195" s="140"/>
      <c r="C195" s="140"/>
      <c r="D195" s="139"/>
      <c r="E195" s="143"/>
      <c r="F195" s="143"/>
      <c r="G195" s="143"/>
      <c r="H195" s="143"/>
      <c r="I195" s="130"/>
      <c r="J195" s="131">
        <f t="shared" si="17"/>
        <v>0</v>
      </c>
    </row>
    <row r="196" spans="1:24" s="1" customFormat="1" ht="18" customHeight="1">
      <c r="A196" s="201" t="str">
        <f t="shared" si="18"/>
        <v/>
      </c>
      <c r="B196" s="140"/>
      <c r="C196" s="140"/>
      <c r="D196" s="139"/>
      <c r="E196" s="143"/>
      <c r="F196" s="143"/>
      <c r="G196" s="143"/>
      <c r="H196" s="143"/>
      <c r="I196" s="130"/>
      <c r="J196" s="131">
        <f t="shared" si="17"/>
        <v>0</v>
      </c>
    </row>
    <row r="197" spans="1:24" s="1" customFormat="1" ht="18" customHeight="1">
      <c r="A197" s="201" t="str">
        <f t="shared" si="18"/>
        <v/>
      </c>
      <c r="B197" s="140"/>
      <c r="C197" s="140"/>
      <c r="D197" s="139"/>
      <c r="E197" s="143"/>
      <c r="F197" s="143"/>
      <c r="G197" s="143"/>
      <c r="H197" s="143"/>
      <c r="I197" s="130"/>
      <c r="J197" s="131">
        <f t="shared" si="17"/>
        <v>0</v>
      </c>
    </row>
    <row r="198" spans="1:24" s="1" customFormat="1" ht="18" customHeight="1">
      <c r="A198" s="201" t="str">
        <f t="shared" si="18"/>
        <v/>
      </c>
      <c r="B198" s="140"/>
      <c r="C198" s="140"/>
      <c r="D198" s="139"/>
      <c r="E198" s="143"/>
      <c r="F198" s="143"/>
      <c r="G198" s="143"/>
      <c r="H198" s="143"/>
      <c r="I198" s="130"/>
      <c r="J198" s="131">
        <f t="shared" si="17"/>
        <v>0</v>
      </c>
    </row>
    <row r="199" spans="1:24" s="1" customFormat="1" ht="18" customHeight="1">
      <c r="A199" s="201" t="str">
        <f t="shared" si="18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 t="shared" si="17"/>
        <v>0</v>
      </c>
    </row>
    <row r="200" spans="1:24" s="1" customFormat="1" ht="18" customHeight="1">
      <c r="A200" s="201" t="str">
        <f t="shared" si="18"/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si="17"/>
        <v>0</v>
      </c>
    </row>
    <row r="201" spans="1:24" s="1" customFormat="1" ht="18" customHeight="1">
      <c r="A201" s="201" t="str">
        <f t="shared" si="18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si="17"/>
        <v>0</v>
      </c>
    </row>
    <row r="202" spans="1:24" s="1" customFormat="1" ht="18" customHeight="1">
      <c r="A202" s="201" t="str">
        <f t="shared" si="18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si="17"/>
        <v>0</v>
      </c>
    </row>
    <row r="203" spans="1:24" s="1" customFormat="1" ht="18" customHeight="1">
      <c r="A203" s="201" t="str">
        <f t="shared" si="18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si="17"/>
        <v>0</v>
      </c>
    </row>
    <row r="204" spans="1:24" s="1" customFormat="1" ht="18" customHeight="1">
      <c r="A204" s="201" t="str">
        <f t="shared" si="18"/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 t="shared" si="17"/>
        <v>0</v>
      </c>
    </row>
    <row r="205" spans="1:24" s="1" customFormat="1" ht="18" customHeight="1">
      <c r="A205" s="317" t="str">
        <f>IF(B205="","",+#REF!+1)</f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>$J$120*H205</f>
        <v>0</v>
      </c>
    </row>
    <row r="206" spans="1:24" s="1" customFormat="1" ht="18" customHeight="1">
      <c r="A206" s="25"/>
      <c r="B206" s="161"/>
      <c r="C206" s="33"/>
      <c r="D206" s="30"/>
      <c r="E206" s="17"/>
      <c r="F206" s="30"/>
      <c r="G206" s="30"/>
      <c r="H206" s="161"/>
      <c r="I206" s="24"/>
      <c r="J206" s="24"/>
    </row>
    <row r="207" spans="1:24" ht="18" customHeight="1">
      <c r="A207" s="17"/>
      <c r="J207" s="99" t="str">
        <f>LEFT($J$111,11)&amp;"-02"</f>
        <v>FG-240-7P7L-02</v>
      </c>
    </row>
    <row r="208" spans="1:24" ht="12.75" customHeight="1">
      <c r="B208" s="56"/>
      <c r="C208" s="56"/>
      <c r="D208" s="30"/>
      <c r="E208" s="17"/>
      <c r="F208" s="17"/>
      <c r="G208" s="17"/>
      <c r="H208" s="17"/>
      <c r="K208" s="7"/>
      <c r="L208" s="7"/>
      <c r="M208" s="2"/>
      <c r="N208" s="2"/>
    </row>
    <row r="209" spans="1:14" ht="30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279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279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/>
      <c r="C215"/>
      <c r="D215" s="81"/>
      <c r="E215"/>
      <c r="F215"/>
      <c r="G215"/>
      <c r="H215"/>
      <c r="I215" s="160"/>
      <c r="J215" s="116"/>
    </row>
    <row r="216" spans="1:14" s="1" customFormat="1" ht="15" customHeight="1">
      <c r="A216" s="17"/>
      <c r="B216" s="93"/>
      <c r="C216" s="56"/>
      <c r="D216" s="30"/>
      <c r="E216" s="29"/>
      <c r="F216" s="160"/>
      <c r="G216" s="160"/>
      <c r="H216" s="16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s="1" customFormat="1" ht="15.6">
      <c r="A218" s="109"/>
      <c r="B218" s="33"/>
      <c r="C218" s="437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378</v>
      </c>
      <c r="D220" s="30"/>
      <c r="E220" s="29"/>
      <c r="F220" s="30"/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89"/>
      <c r="J221" s="12"/>
    </row>
    <row r="222" spans="1:14" s="1" customFormat="1" ht="15" customHeight="1">
      <c r="A222" s="109"/>
      <c r="B222" s="33"/>
      <c r="C222" s="437" t="s">
        <v>273</v>
      </c>
      <c r="D222" s="161"/>
      <c r="E222" s="109"/>
      <c r="F222" s="161"/>
      <c r="J222" s="12"/>
    </row>
    <row r="223" spans="1:14" s="1" customFormat="1" ht="15" customHeight="1">
      <c r="A223" s="109"/>
      <c r="B223" s="33"/>
      <c r="C223" s="374">
        <f>$I$133</f>
        <v>4940</v>
      </c>
      <c r="D223" s="161"/>
      <c r="E223" s="35"/>
      <c r="F223" s="161"/>
      <c r="G223" s="68"/>
      <c r="J223" s="12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436"/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436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437"/>
      <c r="D229" s="161"/>
      <c r="E229" s="109"/>
      <c r="F229" s="161"/>
      <c r="H229" s="109"/>
      <c r="I229" s="328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328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328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328"/>
      <c r="J232" s="117"/>
    </row>
    <row r="233" spans="1:10" s="1" customFormat="1" ht="15.9" customHeight="1">
      <c r="A233" s="44"/>
      <c r="B233" s="44"/>
      <c r="C233" s="89" t="s">
        <v>369</v>
      </c>
      <c r="D233" s="84"/>
      <c r="E233" s="44"/>
      <c r="F233" s="44"/>
      <c r="G233" s="109"/>
      <c r="H233" s="109"/>
      <c r="I233" s="328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7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4914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328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328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109"/>
      <c r="J242" s="24"/>
    </row>
    <row r="243" spans="1:10" s="1" customFormat="1" ht="15.9" customHeight="1">
      <c r="A243" s="109"/>
      <c r="B243" s="33"/>
      <c r="C243" s="89" t="s">
        <v>370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.9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" customHeight="1">
      <c r="A245" s="109"/>
      <c r="B245" s="33"/>
      <c r="C245" s="437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4940</v>
      </c>
      <c r="D246" s="161"/>
      <c r="E246" s="109"/>
      <c r="F246" s="161"/>
      <c r="G246" s="109"/>
      <c r="H246" s="109"/>
      <c r="I246" s="44"/>
      <c r="J246" s="119"/>
    </row>
    <row r="247" spans="1:10" s="1" customFormat="1" ht="15.9" customHeight="1">
      <c r="A247" s="109"/>
      <c r="B247" s="33"/>
      <c r="C247" s="363">
        <f>$J$135</f>
        <v>1</v>
      </c>
      <c r="D247" s="161"/>
      <c r="E247" s="109"/>
      <c r="F247" s="161"/>
      <c r="G247" s="109"/>
      <c r="H247" s="109"/>
      <c r="I247" s="32"/>
      <c r="J247" s="40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0"/>
      <c r="H251" s="109"/>
      <c r="I251" s="24"/>
      <c r="J251" s="24"/>
    </row>
    <row r="252" spans="1:10" s="1" customFormat="1" ht="15.9" customHeight="1">
      <c r="A252" s="109"/>
      <c r="B252" s="33"/>
      <c r="C252" s="33"/>
      <c r="D252" s="161"/>
      <c r="E252" s="109"/>
      <c r="F252" s="109"/>
      <c r="G252" s="40"/>
      <c r="H252" s="109"/>
      <c r="I252" s="24"/>
      <c r="J252" s="24"/>
    </row>
    <row r="253" spans="1:10" s="1" customFormat="1" ht="15.9" customHeight="1">
      <c r="A253" s="109"/>
      <c r="B253" s="33"/>
      <c r="D253" s="161"/>
      <c r="E253" s="109"/>
      <c r="F253" s="109"/>
      <c r="G253" s="109"/>
      <c r="H253" s="109"/>
      <c r="I253" s="24"/>
      <c r="J253" s="24"/>
    </row>
    <row r="254" spans="1:10" s="1" customFormat="1" ht="15.9" customHeight="1">
      <c r="A254" s="44"/>
      <c r="B254" s="44"/>
      <c r="D254" s="84"/>
      <c r="E254" s="44"/>
      <c r="F254" s="44"/>
      <c r="G254" s="109"/>
      <c r="H254" s="109"/>
      <c r="I254" s="24"/>
      <c r="J254" s="24"/>
    </row>
    <row r="255" spans="1:10" s="1" customFormat="1" ht="15.9" customHeight="1">
      <c r="A255" s="40"/>
      <c r="B255" s="40"/>
      <c r="C255" s="89" t="s">
        <v>371</v>
      </c>
      <c r="D255" s="85"/>
      <c r="E255" s="40"/>
      <c r="F255" s="32"/>
      <c r="G255" s="109"/>
      <c r="I255" s="24"/>
      <c r="J255" s="24"/>
    </row>
    <row r="256" spans="1:10" s="1" customFormat="1" ht="15.9" customHeight="1">
      <c r="A256" s="27"/>
      <c r="B256" s="33"/>
      <c r="C256" s="328" t="s">
        <v>275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437" t="s">
        <v>273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74">
        <f>$I$136</f>
        <v>4940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63">
        <f>$J$136</f>
        <v>1</v>
      </c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33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46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161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33"/>
      <c r="D264" s="161"/>
      <c r="E264" s="109"/>
      <c r="F264" s="109"/>
      <c r="G264" s="109"/>
      <c r="I264" s="24"/>
      <c r="J264" s="24"/>
    </row>
    <row r="265" spans="1:10" s="1" customFormat="1" ht="15.9" customHeight="1">
      <c r="A265" s="27"/>
      <c r="B265" s="33"/>
      <c r="C265" s="89" t="s">
        <v>373</v>
      </c>
      <c r="D265" s="161"/>
      <c r="E265" s="109"/>
      <c r="F265" s="109"/>
      <c r="G265" s="109"/>
      <c r="H265" s="109"/>
      <c r="I265" s="24"/>
      <c r="J265" s="24"/>
    </row>
    <row r="266" spans="1:10" s="1" customFormat="1" ht="15.9" customHeight="1">
      <c r="A266" s="27"/>
      <c r="B266" s="33"/>
      <c r="C266" s="328" t="s">
        <v>379</v>
      </c>
      <c r="D266" s="328"/>
      <c r="E266" s="328"/>
      <c r="F266" s="109"/>
      <c r="G266" s="109"/>
      <c r="H266" s="109"/>
      <c r="I266" s="24"/>
      <c r="J266" s="24"/>
    </row>
    <row r="267" spans="1:10" s="1" customFormat="1" ht="15.9" customHeight="1">
      <c r="A267" s="27"/>
      <c r="B267" s="33"/>
      <c r="C267" s="437" t="s">
        <v>279</v>
      </c>
      <c r="D267" s="437"/>
      <c r="E267" s="437"/>
      <c r="F267" s="109"/>
      <c r="G267" s="109"/>
      <c r="H267" s="109"/>
      <c r="J267" s="12"/>
    </row>
    <row r="268" spans="1:10" s="1" customFormat="1" ht="15.9" customHeight="1">
      <c r="A268" s="27"/>
      <c r="B268" s="33"/>
      <c r="C268" s="374">
        <f>$I$137</f>
        <v>2500</v>
      </c>
      <c r="D268" s="161"/>
      <c r="E268" s="109"/>
      <c r="F268" s="109"/>
      <c r="G268" s="33"/>
      <c r="H268" s="33"/>
      <c r="J268" s="12"/>
    </row>
    <row r="269" spans="1:10" s="1" customFormat="1" ht="15.9" customHeight="1">
      <c r="A269" s="27"/>
      <c r="B269" s="33"/>
      <c r="C269" s="363">
        <f>$J$137+$J$138</f>
        <v>2</v>
      </c>
      <c r="D269" s="161"/>
      <c r="E269" s="10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B271" s="33"/>
      <c r="D271" s="89"/>
      <c r="E271" s="89"/>
      <c r="F271" s="109"/>
      <c r="G271" s="109"/>
      <c r="H271" s="109"/>
      <c r="J271" s="12"/>
    </row>
    <row r="272" spans="1:10" s="1" customFormat="1" ht="15.9" customHeight="1">
      <c r="A272" s="27"/>
      <c r="D272" s="328"/>
      <c r="E272" s="328"/>
      <c r="F272" s="109"/>
      <c r="G272" s="109"/>
      <c r="H272" s="109"/>
      <c r="J272" s="12"/>
    </row>
    <row r="273" spans="1:10" s="1" customFormat="1" ht="15.9" customHeight="1">
      <c r="A273" s="27"/>
      <c r="D273" s="328"/>
      <c r="E273" s="328"/>
      <c r="F273" s="109"/>
      <c r="G273" s="109"/>
      <c r="H273" s="109"/>
      <c r="J273" s="12"/>
    </row>
    <row r="274" spans="1:10" s="1" customFormat="1" ht="15.9" customHeight="1">
      <c r="A274" s="27"/>
      <c r="B274" s="33"/>
      <c r="D274" s="328"/>
      <c r="E274" s="328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33"/>
      <c r="D275" s="161"/>
      <c r="E275" s="109"/>
      <c r="F275" s="109"/>
      <c r="G275" s="109"/>
      <c r="I275" s="24"/>
      <c r="J275" s="24"/>
    </row>
    <row r="276" spans="1:10" s="1" customFormat="1" ht="15.9" customHeight="1">
      <c r="A276" s="27"/>
      <c r="B276" s="33"/>
      <c r="C276" s="89" t="s">
        <v>374</v>
      </c>
      <c r="D276" s="162"/>
      <c r="E276" s="24"/>
      <c r="F276" s="109"/>
      <c r="G276" s="109"/>
      <c r="I276" s="24"/>
      <c r="J276" s="24"/>
    </row>
    <row r="277" spans="1:10" s="1" customFormat="1" ht="15.9" customHeight="1">
      <c r="A277" s="27"/>
      <c r="B277" s="33"/>
      <c r="C277" s="328" t="s">
        <v>649</v>
      </c>
      <c r="D277" s="328"/>
      <c r="E277" s="328"/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437" t="s">
        <v>650</v>
      </c>
      <c r="D278" s="437"/>
      <c r="E278" s="437"/>
      <c r="F278" s="109"/>
      <c r="G278" s="109"/>
      <c r="I278" s="109"/>
      <c r="J278" s="24"/>
    </row>
    <row r="279" spans="1:10" s="1" customFormat="1" ht="15.9" customHeight="1">
      <c r="A279" s="27"/>
      <c r="B279" s="33"/>
      <c r="C279" s="374">
        <f>$I$139</f>
        <v>2404</v>
      </c>
      <c r="F279" s="109"/>
      <c r="G279" s="109"/>
      <c r="I279" s="109"/>
      <c r="J279" s="24"/>
    </row>
    <row r="280" spans="1:10" s="1" customFormat="1" ht="15.9" customHeight="1">
      <c r="A280" s="27"/>
      <c r="B280" s="33"/>
      <c r="C280" s="363">
        <f>$J$139+$J$140</f>
        <v>2</v>
      </c>
      <c r="F280" s="109"/>
      <c r="G280" s="109"/>
      <c r="I280" s="109"/>
      <c r="J280" s="24"/>
    </row>
    <row r="281" spans="1:10" s="1" customFormat="1" ht="15.9" customHeight="1">
      <c r="A281" s="27"/>
      <c r="B281" s="33"/>
      <c r="F281" s="109"/>
      <c r="G281" s="109"/>
      <c r="H281" s="109"/>
      <c r="J281" s="12"/>
    </row>
    <row r="282" spans="1:10" s="1" customFormat="1" ht="15.9" customHeight="1">
      <c r="A282" s="27"/>
      <c r="B282" s="33"/>
      <c r="C282" s="33"/>
      <c r="D282" s="161"/>
      <c r="E282" s="109"/>
      <c r="F282" s="109"/>
      <c r="G282" s="109"/>
      <c r="H282" s="109"/>
      <c r="J282" s="12"/>
    </row>
    <row r="283" spans="1:10" s="1" customFormat="1" ht="15.9" customHeight="1">
      <c r="A283" s="27"/>
      <c r="B283" s="33"/>
      <c r="F283" s="109"/>
      <c r="G283" s="109"/>
      <c r="H283" s="109"/>
      <c r="J283" s="12"/>
    </row>
    <row r="284" spans="1:10" s="1" customFormat="1" ht="15.9" customHeight="1">
      <c r="A284" s="27"/>
      <c r="B284" s="33"/>
      <c r="F284" s="109"/>
      <c r="G284" s="109"/>
      <c r="H284" s="109"/>
      <c r="I284" s="162"/>
      <c r="J284" s="24"/>
    </row>
    <row r="285" spans="1:10" s="1" customFormat="1" ht="15.9" customHeight="1">
      <c r="A285" s="27"/>
      <c r="B285" s="33"/>
      <c r="C285" s="89" t="s">
        <v>375</v>
      </c>
      <c r="F285" s="109"/>
      <c r="G285" s="109"/>
      <c r="H285" s="109"/>
      <c r="I285" s="109"/>
      <c r="J285" s="24"/>
    </row>
    <row r="286" spans="1:10" s="1" customFormat="1" ht="15.9" customHeight="1">
      <c r="A286" s="27"/>
      <c r="B286" s="33"/>
      <c r="C286" s="94" t="s">
        <v>444</v>
      </c>
      <c r="D286" s="161"/>
      <c r="E286" s="109"/>
      <c r="F286" s="109"/>
      <c r="G286" s="109"/>
      <c r="H286" s="109"/>
      <c r="I286" s="24"/>
      <c r="J286" s="24"/>
    </row>
    <row r="287" spans="1:10" s="1" customFormat="1" ht="15.9" customHeight="1">
      <c r="A287" s="27"/>
      <c r="B287" s="33"/>
      <c r="C287" s="437" t="s">
        <v>445</v>
      </c>
      <c r="D287" s="161"/>
      <c r="E287" s="109"/>
      <c r="F287" s="109"/>
      <c r="G287" s="109"/>
      <c r="H287" s="109"/>
      <c r="I287" s="24"/>
      <c r="J287" s="24"/>
    </row>
    <row r="288" spans="1:10" s="1" customFormat="1" ht="15.9" customHeight="1">
      <c r="A288" s="27"/>
      <c r="B288" s="33"/>
      <c r="C288" s="328" t="s">
        <v>281</v>
      </c>
      <c r="D288" s="328"/>
      <c r="E288" s="328"/>
      <c r="F288" s="109"/>
      <c r="G288" s="109"/>
      <c r="I288" s="24"/>
      <c r="J288" s="24"/>
    </row>
    <row r="289" spans="1:10" s="23" customFormat="1" ht="15.9" customHeight="1">
      <c r="A289" s="27"/>
      <c r="B289" s="33"/>
      <c r="C289" s="437" t="s">
        <v>282</v>
      </c>
      <c r="D289" s="437"/>
      <c r="E289" s="437"/>
      <c r="F289" s="109"/>
      <c r="G289" s="109"/>
      <c r="H289" s="1"/>
      <c r="I289" s="109"/>
      <c r="J289" s="109"/>
    </row>
    <row r="290" spans="1:10" s="1" customFormat="1" ht="15.9" customHeight="1">
      <c r="A290" s="27"/>
      <c r="B290" s="33"/>
      <c r="C290" s="374">
        <f>$I$141</f>
        <v>590.78571428571433</v>
      </c>
      <c r="F290" s="109"/>
      <c r="G290" s="109"/>
      <c r="I290" s="44"/>
      <c r="J290" s="119"/>
    </row>
    <row r="291" spans="1:10" s="1" customFormat="1" ht="15.9" customHeight="1">
      <c r="A291" s="27"/>
      <c r="B291" s="33"/>
      <c r="C291" s="363">
        <f>$J$141+$J$142</f>
        <v>14</v>
      </c>
      <c r="D291" s="161"/>
      <c r="E291" s="109"/>
      <c r="F291" s="109"/>
      <c r="G291" s="109"/>
      <c r="H291" s="161"/>
      <c r="I291" s="32"/>
      <c r="J291" s="40"/>
    </row>
    <row r="292" spans="1:10" s="1" customFormat="1" ht="15.9" customHeight="1">
      <c r="A292" s="27"/>
      <c r="B292" s="33"/>
      <c r="C292" s="374">
        <f>$I$143</f>
        <v>2408</v>
      </c>
      <c r="D292" s="161"/>
      <c r="E292" s="109"/>
      <c r="F292" s="109"/>
      <c r="G292" s="109"/>
      <c r="H292" s="109"/>
      <c r="I292" s="24"/>
      <c r="J292" s="24"/>
    </row>
    <row r="293" spans="1:10" s="1" customFormat="1" ht="15.9" customHeight="1">
      <c r="A293" s="27"/>
      <c r="B293" s="33"/>
      <c r="C293" s="363">
        <f>$J$143+$J$144+$J$145</f>
        <v>14</v>
      </c>
      <c r="D293" s="161"/>
      <c r="E293" s="109"/>
      <c r="F293" s="109"/>
      <c r="G293" s="109"/>
      <c r="H293" s="109"/>
      <c r="I293" s="24"/>
      <c r="J293" s="24"/>
    </row>
    <row r="294" spans="1:10" s="1" customFormat="1" ht="15.9" customHeight="1">
      <c r="A294" s="27"/>
      <c r="B294" s="33"/>
      <c r="D294" s="161"/>
      <c r="E294" s="109"/>
      <c r="F294" s="109"/>
      <c r="G294" s="109"/>
      <c r="H294" s="109"/>
      <c r="I294" s="24"/>
      <c r="J294" s="24"/>
    </row>
    <row r="295" spans="1:10" s="1" customFormat="1" ht="15.9" customHeight="1">
      <c r="A295" s="27"/>
      <c r="B295" s="33"/>
      <c r="C295" s="33"/>
      <c r="D295" s="161"/>
      <c r="E295" s="109"/>
      <c r="F295" s="109"/>
      <c r="G295" s="109"/>
      <c r="H295" s="109"/>
      <c r="I295" s="109"/>
      <c r="J295" s="24"/>
    </row>
    <row r="296" spans="1:10" s="1" customFormat="1" ht="15.9" customHeight="1">
      <c r="A296" s="27"/>
      <c r="B296" s="33"/>
      <c r="C296" s="23"/>
      <c r="D296" s="161"/>
      <c r="E296" s="109"/>
      <c r="F296" s="109"/>
      <c r="G296" s="109"/>
      <c r="H296" s="109"/>
      <c r="I296" s="109"/>
      <c r="J296" s="24"/>
    </row>
    <row r="297" spans="1:10" s="1" customFormat="1" ht="15.9" customHeight="1">
      <c r="A297" s="27"/>
      <c r="B297" s="33"/>
      <c r="C297" s="89" t="s">
        <v>376</v>
      </c>
      <c r="D297" s="161"/>
      <c r="E297" s="109"/>
      <c r="F297" s="109"/>
      <c r="G297" s="109"/>
      <c r="H297" s="109"/>
      <c r="I297" s="109"/>
      <c r="J297" s="24"/>
    </row>
    <row r="298" spans="1:10" s="1" customFormat="1" ht="15.9" customHeight="1">
      <c r="A298" s="27"/>
      <c r="B298" s="33"/>
      <c r="C298" s="94" t="s">
        <v>444</v>
      </c>
      <c r="D298" s="161"/>
      <c r="E298" s="109"/>
      <c r="F298" s="109"/>
      <c r="G298" s="44"/>
      <c r="H298" s="44"/>
      <c r="I298" s="109"/>
      <c r="J298" s="24"/>
    </row>
    <row r="299" spans="1:10" s="1" customFormat="1" ht="15.9" customHeight="1">
      <c r="A299" s="27"/>
      <c r="B299" s="33"/>
      <c r="C299" s="437" t="s">
        <v>445</v>
      </c>
      <c r="D299" s="328"/>
      <c r="E299" s="328"/>
      <c r="F299" s="109"/>
      <c r="G299" s="40"/>
      <c r="H299" s="32"/>
      <c r="I299" s="109"/>
      <c r="J299" s="24"/>
    </row>
    <row r="300" spans="1:10" s="1" customFormat="1" ht="15.9" customHeight="1">
      <c r="A300" s="41"/>
      <c r="B300" s="33"/>
      <c r="C300" s="328" t="s">
        <v>286</v>
      </c>
      <c r="D300" s="437"/>
      <c r="E300" s="437"/>
      <c r="F300" s="109"/>
      <c r="G300" s="109"/>
      <c r="H300" s="109"/>
      <c r="I300" s="109"/>
      <c r="J300" s="24"/>
    </row>
    <row r="301" spans="1:10" s="1" customFormat="1" ht="15.9" customHeight="1">
      <c r="A301" s="44"/>
      <c r="B301" s="44"/>
      <c r="C301" s="437" t="s">
        <v>285</v>
      </c>
      <c r="D301" s="86"/>
      <c r="E301" s="79"/>
      <c r="F301" s="44"/>
      <c r="G301" s="109"/>
      <c r="H301" s="109"/>
      <c r="I301" s="109"/>
      <c r="J301" s="24"/>
    </row>
    <row r="302" spans="1:10" s="1" customFormat="1" ht="15.9" customHeight="1">
      <c r="A302" s="40"/>
      <c r="B302" s="40"/>
      <c r="C302" s="374">
        <f>$I$146</f>
        <v>590.78571428571433</v>
      </c>
      <c r="D302" s="87"/>
      <c r="E302" s="80"/>
      <c r="F302" s="32"/>
      <c r="G302" s="109"/>
      <c r="H302" s="109"/>
      <c r="I302" s="109"/>
      <c r="J302" s="24"/>
    </row>
    <row r="303" spans="1:10" s="1" customFormat="1" ht="15.9" customHeight="1">
      <c r="A303" s="109"/>
      <c r="B303" s="33"/>
      <c r="C303" s="363">
        <f>$J$146</f>
        <v>14</v>
      </c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C304" s="374">
        <f>$I$147</f>
        <v>2258</v>
      </c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C305" s="363">
        <f>$J$147</f>
        <v>14</v>
      </c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D306" s="15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89"/>
      <c r="D307" s="161"/>
      <c r="E307" s="109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328"/>
      <c r="D308" s="328"/>
      <c r="E308" s="328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542"/>
      <c r="D309" s="542"/>
      <c r="E309" s="542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74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C311" s="363"/>
      <c r="D311" s="328"/>
      <c r="E311" s="328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33"/>
      <c r="D314" s="162"/>
      <c r="E314" s="24"/>
      <c r="F314" s="109"/>
      <c r="G314" s="109"/>
      <c r="H314" s="109"/>
      <c r="I314" s="27"/>
      <c r="J314" s="99" t="str">
        <f>LEFT($J$111,11)&amp;"-03"</f>
        <v>FG-240-7P7L-03</v>
      </c>
    </row>
    <row r="315" spans="1:14" ht="12.75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30" customHeight="1">
      <c r="A316" s="17"/>
      <c r="B316" s="26"/>
      <c r="C316" s="26"/>
      <c r="D316" s="83"/>
      <c r="E316" s="25"/>
      <c r="F316" s="25"/>
      <c r="G316" s="25"/>
      <c r="H316" s="25"/>
      <c r="I316" s="179"/>
      <c r="J316" s="90" t="str">
        <f>$J$2</f>
        <v>HOMELIFE</v>
      </c>
    </row>
    <row r="317" spans="1:14" ht="24.9" customHeight="1">
      <c r="B317" s="279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279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s="1" customFormat="1" ht="15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  <c r="K320" s="4"/>
      <c r="L320" s="4"/>
      <c r="M320" s="4"/>
      <c r="N320" s="4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436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436"/>
      <c r="I331" s="161"/>
      <c r="J331" s="109"/>
    </row>
    <row r="332" spans="1:10" s="1" customFormat="1" ht="15" customHeight="1">
      <c r="A332" s="64" t="str">
        <f>A18</f>
        <v>240-7 Panel (7L)</v>
      </c>
      <c r="B332" s="92"/>
      <c r="C332" s="161"/>
      <c r="D332" s="161"/>
      <c r="E332" s="109"/>
      <c r="F332" s="436"/>
      <c r="G332" s="436"/>
      <c r="H332" s="436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92"/>
      <c r="C333" s="161"/>
      <c r="D333" s="161"/>
      <c r="E333" s="109"/>
      <c r="F333" s="436"/>
      <c r="G333" s="436"/>
      <c r="H333" s="436"/>
      <c r="I333" s="109"/>
      <c r="J333" s="109"/>
    </row>
    <row r="334" spans="1:10" s="1" customFormat="1" ht="15.9" customHeight="1">
      <c r="A334" s="109"/>
      <c r="B334" s="45"/>
      <c r="C334" s="42"/>
      <c r="D334" s="161"/>
      <c r="E334" s="109"/>
      <c r="F334" s="507"/>
      <c r="G334" s="507"/>
      <c r="H334" s="436"/>
      <c r="I334" s="109"/>
      <c r="J334" s="109"/>
    </row>
    <row r="335" spans="1:10" s="1" customFormat="1" ht="15.9" customHeight="1">
      <c r="A335" s="39"/>
      <c r="B335" s="109"/>
      <c r="C335" s="161"/>
      <c r="D335" s="161"/>
      <c r="E335" s="109"/>
      <c r="F335" s="37"/>
      <c r="G335" s="38"/>
      <c r="H335" s="109"/>
      <c r="I335" s="109"/>
      <c r="J335" s="109"/>
    </row>
    <row r="336" spans="1:10" s="1" customFormat="1" ht="15.9" customHeight="1">
      <c r="A336" s="44"/>
      <c r="C336" s="43"/>
      <c r="D336" s="161"/>
      <c r="E336" s="109"/>
      <c r="F336" s="109"/>
      <c r="G336" s="109"/>
      <c r="H336" s="109"/>
      <c r="I336" s="44"/>
      <c r="J336" s="119"/>
    </row>
    <row r="337" spans="1:10" s="1" customFormat="1" ht="15.9" customHeight="1">
      <c r="A337" s="40"/>
      <c r="C337" s="44"/>
      <c r="D337" s="84"/>
      <c r="E337" s="44"/>
      <c r="F337" s="44"/>
      <c r="G337" s="44"/>
      <c r="H337" s="44"/>
      <c r="I337" s="32"/>
      <c r="J337" s="40"/>
    </row>
    <row r="338" spans="1:10" s="1" customFormat="1" ht="15.9" customHeight="1">
      <c r="A338" s="109"/>
      <c r="C338" s="161"/>
      <c r="D338" s="85"/>
      <c r="E338" s="40"/>
      <c r="F338" s="32"/>
      <c r="G338" s="40"/>
      <c r="H338" s="32"/>
      <c r="I338" s="24"/>
      <c r="J338" s="24"/>
    </row>
    <row r="339" spans="1:10" s="1" customFormat="1" ht="15.9" customHeight="1">
      <c r="A339" s="109"/>
      <c r="C339" s="163"/>
      <c r="D339" s="161"/>
      <c r="E339" s="109"/>
      <c r="F339" s="161"/>
      <c r="G339" s="109"/>
      <c r="H339" s="109"/>
      <c r="I339" s="24"/>
      <c r="J339" s="24"/>
    </row>
    <row r="340" spans="1:10" s="1" customFormat="1" ht="15.9" customHeight="1">
      <c r="A340" s="109"/>
      <c r="B340" s="33"/>
      <c r="C340" s="161"/>
      <c r="D340" s="161"/>
      <c r="E340" s="109"/>
      <c r="F340" s="161"/>
      <c r="G340" s="109"/>
      <c r="H340" s="109"/>
      <c r="I340" s="162"/>
      <c r="J340" s="162"/>
    </row>
    <row r="341" spans="1:10" s="1" customFormat="1" ht="15.9" customHeight="1">
      <c r="A341" s="109"/>
      <c r="B341" s="33"/>
      <c r="C341" s="44"/>
      <c r="D341" s="161"/>
      <c r="E341" s="109"/>
      <c r="F341" s="161"/>
      <c r="G341" s="109"/>
      <c r="H341" s="162"/>
      <c r="I341" s="161"/>
      <c r="J341" s="161"/>
    </row>
    <row r="342" spans="1:10" s="1" customFormat="1" ht="15.9" customHeight="1">
      <c r="A342" s="109"/>
      <c r="B342" s="33"/>
      <c r="C342" s="42"/>
      <c r="D342" s="161"/>
      <c r="E342" s="109"/>
      <c r="F342" s="161"/>
      <c r="G342" s="109"/>
      <c r="H342" s="161"/>
      <c r="I342" s="161"/>
      <c r="J342" s="161"/>
    </row>
    <row r="343" spans="1:10" s="1" customFormat="1" ht="15.9" customHeight="1">
      <c r="A343" s="109"/>
      <c r="B343" s="33"/>
      <c r="C343" s="163"/>
      <c r="D343" s="161"/>
      <c r="E343" s="109"/>
      <c r="F343" s="161"/>
      <c r="G343" s="109"/>
      <c r="H343" s="161"/>
      <c r="I343" s="109"/>
      <c r="J343" s="24"/>
    </row>
    <row r="344" spans="1:10" s="1" customFormat="1" ht="15.9" customHeight="1">
      <c r="A344" s="109"/>
      <c r="B344" s="33"/>
      <c r="C344" s="161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44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3"/>
      <c r="D350" s="161"/>
      <c r="E350" s="109"/>
      <c r="F350" s="161"/>
      <c r="G350" s="109"/>
      <c r="H350" s="109"/>
      <c r="I350" s="109"/>
      <c r="J350" s="24"/>
    </row>
    <row r="351" spans="1:10" s="1" customFormat="1" ht="15.9" customHeight="1">
      <c r="A351" s="109"/>
      <c r="B351" s="33"/>
      <c r="C351" s="161"/>
      <c r="D351" s="161"/>
      <c r="E351" s="109"/>
      <c r="F351" s="161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1" customFormat="1" ht="15" customHeight="1">
      <c r="A353" s="109"/>
      <c r="B353" s="33"/>
      <c r="C353" s="33"/>
      <c r="D353" s="161"/>
      <c r="E353" s="109"/>
      <c r="F353" s="109"/>
      <c r="G353" s="109"/>
      <c r="H353" s="107"/>
      <c r="I353" s="24"/>
      <c r="J353" s="24"/>
    </row>
    <row r="354" spans="1:10" s="23" customFormat="1" ht="15.9" customHeight="1">
      <c r="A354" s="109"/>
      <c r="B354" s="33"/>
      <c r="C354" s="33"/>
      <c r="D354" s="161"/>
      <c r="E354" s="109"/>
      <c r="F354" s="109"/>
      <c r="G354" s="109"/>
      <c r="H354" s="109"/>
      <c r="I354" s="109"/>
      <c r="J354" s="109"/>
    </row>
    <row r="355" spans="1:10" s="1" customFormat="1" ht="15.9" customHeight="1">
      <c r="A355" s="44"/>
      <c r="B355" s="33"/>
      <c r="C355" s="33"/>
      <c r="D355" s="161"/>
      <c r="E355" s="109"/>
      <c r="F355" s="109"/>
      <c r="G355" s="109"/>
      <c r="H355" s="109"/>
      <c r="I355" s="44"/>
      <c r="J355" s="119"/>
    </row>
    <row r="356" spans="1:10" s="1" customFormat="1" ht="15.9" customHeight="1">
      <c r="A356" s="40"/>
      <c r="B356" s="44"/>
      <c r="C356" s="44"/>
      <c r="D356" s="84"/>
      <c r="E356" s="44"/>
      <c r="F356" s="44"/>
      <c r="G356" s="44"/>
      <c r="H356" s="44"/>
      <c r="I356" s="32"/>
      <c r="J356" s="40"/>
    </row>
    <row r="357" spans="1:10" s="1" customFormat="1" ht="15.9" customHeight="1">
      <c r="A357" s="27"/>
      <c r="B357" s="40"/>
      <c r="C357" s="44"/>
      <c r="D357" s="85"/>
      <c r="E357" s="40"/>
      <c r="F357" s="32"/>
      <c r="G357" s="40"/>
      <c r="H357" s="32"/>
      <c r="I357" s="24"/>
      <c r="J357" s="24"/>
    </row>
    <row r="358" spans="1:10" s="1" customFormat="1" ht="15.9" customHeight="1">
      <c r="A358" s="27"/>
      <c r="B358" s="33"/>
      <c r="C358" s="42"/>
      <c r="D358" s="161"/>
      <c r="E358" s="109"/>
      <c r="F358" s="109"/>
      <c r="G358" s="109"/>
      <c r="H358" s="42"/>
      <c r="I358" s="163"/>
      <c r="J358" s="163"/>
    </row>
    <row r="359" spans="1:10" s="1" customFormat="1" ht="15.9" customHeight="1">
      <c r="A359" s="27"/>
      <c r="B359" s="33"/>
      <c r="C359" s="163"/>
      <c r="D359" s="161"/>
      <c r="E359" s="109"/>
      <c r="F359" s="109"/>
      <c r="G359" s="109"/>
      <c r="H359" s="163"/>
      <c r="I359" s="161"/>
      <c r="J359" s="161"/>
    </row>
    <row r="360" spans="1:10" s="1" customFormat="1" ht="15.9" customHeight="1">
      <c r="A360" s="27"/>
      <c r="B360" s="33"/>
      <c r="C360" s="161"/>
      <c r="D360" s="161"/>
      <c r="E360" s="109"/>
      <c r="F360" s="109"/>
      <c r="G360" s="109"/>
      <c r="H360" s="161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46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161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D372" s="161"/>
      <c r="E372" s="109"/>
      <c r="F372" s="109"/>
      <c r="G372" s="33"/>
      <c r="H372" s="33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42"/>
      <c r="I376" s="163"/>
      <c r="J376" s="163"/>
    </row>
    <row r="377" spans="1:10" s="1" customFormat="1" ht="15.9" customHeight="1">
      <c r="A377" s="27"/>
      <c r="B377" s="33"/>
      <c r="C377" s="47"/>
      <c r="D377" s="161"/>
      <c r="E377" s="109"/>
      <c r="F377" s="109"/>
      <c r="G377" s="109"/>
      <c r="H377" s="163"/>
      <c r="I377" s="161"/>
      <c r="J377" s="161"/>
    </row>
    <row r="378" spans="1:10" s="1" customFormat="1" ht="15.9" customHeight="1">
      <c r="A378" s="27"/>
      <c r="B378" s="33"/>
      <c r="C378" s="46"/>
      <c r="D378" s="161"/>
      <c r="E378" s="109"/>
      <c r="F378" s="109"/>
      <c r="G378" s="109"/>
      <c r="H378" s="161"/>
      <c r="I378" s="24"/>
      <c r="J378" s="24"/>
    </row>
    <row r="379" spans="1:10" s="1" customFormat="1" ht="15.9" customHeight="1">
      <c r="A379" s="27"/>
      <c r="B379" s="33"/>
      <c r="C379" s="161"/>
      <c r="D379" s="161"/>
      <c r="E379" s="109"/>
      <c r="F379" s="109"/>
      <c r="G379" s="109"/>
      <c r="H379" s="42"/>
      <c r="I379" s="163"/>
      <c r="J379" s="163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3"/>
      <c r="I380" s="161"/>
      <c r="J380" s="161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1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64"/>
      <c r="J388" s="16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4"/>
      <c r="I389" s="165"/>
      <c r="J389" s="165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5"/>
      <c r="I390" s="161"/>
      <c r="J390" s="161"/>
    </row>
    <row r="391" spans="1:10" s="1" customFormat="1" ht="15.9" customHeight="1">
      <c r="A391" s="27"/>
      <c r="B391" s="33"/>
      <c r="C391" s="47"/>
      <c r="D391" s="161"/>
      <c r="E391" s="109"/>
      <c r="F391" s="109"/>
      <c r="G391" s="109"/>
      <c r="H391" s="161"/>
      <c r="I391" s="24"/>
      <c r="J391" s="24"/>
    </row>
    <row r="392" spans="1:10" s="1" customFormat="1" ht="15.9" customHeight="1">
      <c r="A392" s="27"/>
      <c r="B392" s="33"/>
      <c r="C392" s="46"/>
      <c r="D392" s="161"/>
      <c r="E392" s="109"/>
      <c r="F392" s="109"/>
      <c r="G392" s="109"/>
      <c r="H392" s="109"/>
      <c r="I392" s="109"/>
      <c r="J392" s="24"/>
    </row>
    <row r="393" spans="1:10" s="1" customFormat="1" ht="15.9" customHeight="1">
      <c r="A393" s="27"/>
      <c r="B393" s="33"/>
      <c r="C393" s="161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23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1" customFormat="1" ht="15.9" customHeight="1">
      <c r="A405" s="44"/>
      <c r="B405" s="33"/>
      <c r="C405" s="33"/>
      <c r="D405" s="161"/>
      <c r="E405" s="109"/>
      <c r="F405" s="109"/>
      <c r="G405" s="109"/>
      <c r="H405" s="109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109"/>
      <c r="B419" s="44"/>
      <c r="C419" s="44"/>
      <c r="D419" s="84"/>
      <c r="E419" s="44"/>
      <c r="F419" s="44"/>
      <c r="G419" s="44"/>
      <c r="H419" s="44"/>
      <c r="I419" s="24"/>
      <c r="J419" s="24"/>
      <c r="K419" s="71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LEFT($J$111,11)&amp;"-04"</f>
        <v>FG-240-7P7L-04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A423" s="109"/>
      <c r="B423" s="33"/>
      <c r="C423" s="33"/>
      <c r="D423" s="161"/>
      <c r="E423" s="109"/>
      <c r="F423" s="109"/>
      <c r="G423" s="109"/>
      <c r="H423" s="109"/>
      <c r="I423" s="109"/>
      <c r="J423" s="90" t="str">
        <f>$J$2</f>
        <v>HOMELIFE</v>
      </c>
      <c r="K423" s="7"/>
      <c r="L423" s="7"/>
      <c r="M423" s="2"/>
      <c r="N423" s="2"/>
    </row>
    <row r="424" spans="1:14" ht="24.9" customHeight="1">
      <c r="A424" s="109"/>
      <c r="B424" s="33"/>
      <c r="C424" s="33"/>
      <c r="D424" s="161"/>
      <c r="E424" s="109"/>
      <c r="F424" s="109"/>
      <c r="G424" s="109"/>
      <c r="H424" s="109"/>
      <c r="I424" s="109"/>
      <c r="J424" s="91" t="str">
        <f>$J$3</f>
        <v>Fabricators Guide</v>
      </c>
      <c r="K424" s="7"/>
      <c r="L424" s="7"/>
      <c r="M424" s="2"/>
      <c r="N424" s="2"/>
    </row>
    <row r="425" spans="1:14" ht="24.9" customHeight="1">
      <c r="B425" s="279"/>
      <c r="C425" s="28"/>
      <c r="D425" s="28"/>
      <c r="E425" s="28"/>
      <c r="F425" s="28"/>
      <c r="G425" s="28"/>
      <c r="H425" s="28"/>
      <c r="I425" s="28"/>
      <c r="J425" s="91" t="str">
        <f>$J$4</f>
        <v xml:space="preserve">240 Series Bi Fold Door </v>
      </c>
      <c r="K425" s="48"/>
      <c r="L425" s="48"/>
      <c r="M425" s="4"/>
      <c r="N425" s="4"/>
    </row>
    <row r="426" spans="1:14" s="1" customFormat="1" ht="15" customHeight="1" thickBot="1">
      <c r="A426" s="78"/>
      <c r="B426" s="8"/>
      <c r="C426" s="28"/>
      <c r="D426" s="28"/>
      <c r="E426" s="28"/>
      <c r="F426" s="28"/>
      <c r="G426" s="28"/>
      <c r="H426" s="2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  <c r="K427" s="4"/>
      <c r="L427" s="4"/>
      <c r="M427" s="4"/>
      <c r="N427" s="4"/>
    </row>
    <row r="428" spans="1:14" s="1" customFormat="1" ht="15" customHeight="1">
      <c r="A428" s="193"/>
      <c r="B428" s="194"/>
      <c r="C428" s="194"/>
      <c r="D428" s="194"/>
      <c r="E428" s="194"/>
      <c r="F428" s="194"/>
      <c r="G428" s="194"/>
      <c r="H428" s="194"/>
      <c r="I428" s="193"/>
      <c r="K428" s="56"/>
      <c r="L428" s="56"/>
      <c r="M428" s="56"/>
      <c r="N428" s="56"/>
    </row>
    <row r="429" spans="1:14" s="1" customFormat="1" ht="15" customHeight="1">
      <c r="A429" s="45"/>
      <c r="B429" s="193"/>
      <c r="C429" s="193"/>
      <c r="D429" s="193"/>
      <c r="E429" s="193"/>
      <c r="F429" s="193"/>
      <c r="G429" s="193"/>
      <c r="H429" s="193"/>
      <c r="I429" s="44"/>
      <c r="J429" s="119"/>
    </row>
    <row r="430" spans="1:14" s="1" customFormat="1" ht="15" customHeight="1">
      <c r="A430" s="109"/>
      <c r="B430" s="39"/>
      <c r="C430" s="33"/>
      <c r="D430" s="161"/>
      <c r="E430" s="35"/>
      <c r="F430" s="39"/>
      <c r="G430" s="193"/>
      <c r="H430" s="44"/>
      <c r="I430" s="44"/>
      <c r="J430" s="119"/>
    </row>
    <row r="431" spans="1:14" s="1" customFormat="1" ht="15" customHeight="1">
      <c r="A431" s="109"/>
      <c r="B431" s="33"/>
      <c r="C431" s="33"/>
      <c r="D431" s="161"/>
      <c r="E431" s="35"/>
      <c r="F431" s="161"/>
      <c r="G431" s="193"/>
      <c r="H431" s="44"/>
      <c r="I431" s="44"/>
      <c r="J431" s="119"/>
    </row>
    <row r="432" spans="1:14" s="1" customFormat="1" ht="15" customHeight="1">
      <c r="A432" s="109"/>
      <c r="B432" s="56"/>
      <c r="C432" s="56"/>
      <c r="D432" s="30"/>
      <c r="E432" s="29"/>
      <c r="F432" s="30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109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3"/>
      <c r="H434" s="44"/>
      <c r="I434" s="44"/>
      <c r="J434" s="119"/>
    </row>
    <row r="435" spans="1:10" s="1" customFormat="1" ht="15" customHeight="1">
      <c r="A435" s="109"/>
      <c r="B435" s="33"/>
      <c r="C435" s="161"/>
      <c r="D435" s="161"/>
      <c r="E435" s="35"/>
      <c r="F435" s="161"/>
      <c r="H435" s="44"/>
      <c r="I435" s="44"/>
      <c r="J435" s="119"/>
    </row>
    <row r="436" spans="1:10" s="1" customFormat="1" ht="15" customHeight="1">
      <c r="A436" s="39"/>
      <c r="B436" s="33"/>
      <c r="C436" s="42"/>
      <c r="D436" s="161"/>
      <c r="E436" s="109"/>
      <c r="F436" s="69"/>
      <c r="H436" s="44"/>
      <c r="I436" s="44"/>
      <c r="J436" s="119"/>
    </row>
    <row r="437" spans="1:10" s="1" customFormat="1" ht="15" customHeight="1">
      <c r="A437" s="92"/>
      <c r="B437" s="39"/>
      <c r="C437" s="163"/>
      <c r="D437" s="161"/>
      <c r="E437" s="109"/>
      <c r="F437" s="68"/>
      <c r="H437" s="44"/>
      <c r="I437" s="44"/>
      <c r="J437" s="119"/>
    </row>
    <row r="438" spans="1:10" s="1" customFormat="1" ht="15" customHeight="1">
      <c r="B438" s="92"/>
      <c r="C438" s="161"/>
      <c r="D438" s="161"/>
      <c r="E438" s="109"/>
      <c r="F438" s="436"/>
      <c r="H438" s="44"/>
      <c r="I438" s="44"/>
      <c r="J438" s="119"/>
    </row>
    <row r="439" spans="1:10" s="1" customFormat="1" ht="15" customHeight="1">
      <c r="A439" s="64" t="str">
        <f>A18</f>
        <v>240-7 Panel (7L)</v>
      </c>
      <c r="B439" s="92"/>
      <c r="C439" s="161"/>
      <c r="D439" s="161"/>
      <c r="E439" s="109"/>
      <c r="F439" s="436"/>
      <c r="H439" s="44"/>
      <c r="I439" s="44"/>
      <c r="J439" s="119"/>
    </row>
    <row r="440" spans="1:10" s="1" customFormat="1" ht="15.9" customHeight="1">
      <c r="A440" s="76" t="str">
        <f>A19</f>
        <v xml:space="preserve">Outside Bi Fold Door </v>
      </c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44"/>
      <c r="B442" s="38"/>
      <c r="C442" s="43"/>
      <c r="D442" s="161"/>
      <c r="E442" s="109"/>
      <c r="F442" s="109"/>
      <c r="H442" s="44"/>
      <c r="I442" s="44"/>
      <c r="J442" s="119"/>
    </row>
    <row r="443" spans="1:10" s="1" customFormat="1" ht="15.9" customHeight="1">
      <c r="A443" s="40"/>
      <c r="C443" s="44"/>
      <c r="D443" s="84"/>
      <c r="E443" s="44"/>
      <c r="F443" s="44"/>
      <c r="H443" s="44"/>
      <c r="I443" s="44"/>
      <c r="J443" s="119"/>
    </row>
    <row r="444" spans="1:10" s="1" customFormat="1" ht="35.1" customHeight="1">
      <c r="A444" s="109"/>
      <c r="C444" s="161"/>
      <c r="D444" s="85"/>
      <c r="E444" s="40"/>
      <c r="F444" s="32"/>
      <c r="H444" s="44"/>
      <c r="I444" s="24"/>
      <c r="J444" s="24"/>
    </row>
    <row r="445" spans="1:10" ht="15.6">
      <c r="B445" s="64"/>
      <c r="C445" s="163"/>
      <c r="D445" s="161"/>
      <c r="E445" s="109"/>
      <c r="F445" s="161"/>
      <c r="G445" s="109"/>
      <c r="H445" s="109"/>
    </row>
    <row r="450" spans="1:10" s="1" customFormat="1" ht="15.9" customHeight="1">
      <c r="A450" s="109"/>
      <c r="B450"/>
      <c r="C450"/>
      <c r="D450" s="81"/>
      <c r="E450"/>
      <c r="F450"/>
      <c r="G450"/>
      <c r="H450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44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1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163"/>
      <c r="D456" s="161"/>
      <c r="E456" s="109"/>
      <c r="F456" s="161"/>
      <c r="G456" s="109"/>
      <c r="H456" s="109"/>
      <c r="I456" s="109"/>
      <c r="J456" s="24"/>
    </row>
    <row r="457" spans="1:10" s="1" customFormat="1" ht="15.9" customHeight="1">
      <c r="A457" s="109"/>
      <c r="B457" s="33"/>
      <c r="C457" s="161"/>
      <c r="D457" s="161"/>
      <c r="E457" s="109"/>
      <c r="F457" s="161"/>
      <c r="G457" s="109"/>
      <c r="H457" s="109"/>
      <c r="I457" s="24"/>
      <c r="J457" s="24"/>
    </row>
    <row r="458" spans="1:10" s="1" customFormat="1" ht="15.9" customHeight="1">
      <c r="A458" s="109"/>
      <c r="B458" s="33"/>
      <c r="C458" s="33"/>
      <c r="D458" s="161"/>
      <c r="E458" s="109"/>
      <c r="F458" s="109"/>
      <c r="G458" s="109"/>
      <c r="H458" s="109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7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" customHeight="1">
      <c r="A476" s="109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23" customFormat="1" ht="15.9" customHeight="1">
      <c r="A477" s="109"/>
      <c r="B477" s="33"/>
      <c r="C477" s="33"/>
      <c r="D477" s="161"/>
      <c r="E477" s="109"/>
      <c r="F477" s="109"/>
      <c r="G477" s="109"/>
      <c r="H477" s="109"/>
      <c r="I477" s="109"/>
      <c r="J477" s="109"/>
    </row>
    <row r="478" spans="1:10" s="1" customFormat="1" ht="15.9" customHeight="1">
      <c r="A478" s="44"/>
      <c r="B478" s="33"/>
      <c r="C478" s="33"/>
      <c r="D478" s="161"/>
      <c r="E478" s="109"/>
      <c r="F478" s="109"/>
      <c r="G478" s="109"/>
      <c r="H478" s="109"/>
      <c r="I478" s="44"/>
      <c r="J478" s="119"/>
    </row>
    <row r="479" spans="1:10" s="1" customFormat="1" ht="15.9" customHeight="1">
      <c r="A479" s="40"/>
      <c r="B479" s="44"/>
      <c r="C479" s="44"/>
      <c r="D479" s="84"/>
      <c r="E479" s="44"/>
      <c r="F479" s="44"/>
      <c r="G479" s="44"/>
      <c r="H479" s="44"/>
      <c r="I479" s="32"/>
      <c r="J479" s="40"/>
    </row>
    <row r="480" spans="1:10" s="1" customFormat="1" ht="15.9" customHeight="1">
      <c r="A480" s="27"/>
      <c r="B480" s="40"/>
      <c r="C480" s="44"/>
      <c r="D480" s="85"/>
      <c r="E480" s="40"/>
      <c r="F480" s="32"/>
      <c r="G480" s="40"/>
      <c r="H480" s="32"/>
      <c r="I480" s="24"/>
      <c r="J480" s="24"/>
    </row>
    <row r="481" spans="1:10" s="1" customFormat="1" ht="15.9" customHeight="1">
      <c r="A481" s="27"/>
      <c r="B481" s="33"/>
      <c r="C481" s="42"/>
      <c r="D481" s="161"/>
      <c r="E481" s="109"/>
      <c r="F481" s="109"/>
      <c r="G481" s="109"/>
      <c r="H481" s="42"/>
      <c r="I481" s="67"/>
      <c r="J481" s="165"/>
    </row>
    <row r="482" spans="1:10" s="1" customFormat="1" ht="15.9" customHeight="1">
      <c r="A482" s="27"/>
      <c r="B482" s="33"/>
      <c r="C482" s="163"/>
      <c r="D482" s="161"/>
      <c r="E482" s="109"/>
      <c r="F482" s="109"/>
      <c r="G482" s="109"/>
      <c r="H482" s="67"/>
      <c r="I482" s="38"/>
      <c r="J482" s="109"/>
    </row>
    <row r="483" spans="1:10" s="1" customFormat="1" ht="15.9" customHeight="1">
      <c r="A483" s="27"/>
      <c r="B483" s="33"/>
      <c r="C483" s="161"/>
      <c r="D483" s="161"/>
      <c r="E483" s="109"/>
      <c r="F483" s="109"/>
      <c r="G483" s="109"/>
      <c r="H483" s="38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46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161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D495" s="161"/>
      <c r="E495" s="109"/>
      <c r="F495" s="109"/>
      <c r="G495" s="33"/>
      <c r="H495" s="33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42"/>
      <c r="I499" s="67"/>
      <c r="J499" s="165"/>
    </row>
    <row r="500" spans="1:10" s="1" customFormat="1" ht="15.9" customHeight="1">
      <c r="A500" s="27"/>
      <c r="B500" s="33"/>
      <c r="C500" s="47"/>
      <c r="D500" s="161"/>
      <c r="E500" s="109"/>
      <c r="F500" s="109"/>
      <c r="G500" s="109"/>
      <c r="H500" s="67"/>
      <c r="I500" s="38"/>
      <c r="J500" s="109"/>
    </row>
    <row r="501" spans="1:10" s="1" customFormat="1" ht="15.9" customHeight="1">
      <c r="A501" s="27"/>
      <c r="B501" s="33"/>
      <c r="C501" s="46"/>
      <c r="D501" s="161"/>
      <c r="E501" s="109"/>
      <c r="F501" s="109"/>
      <c r="G501" s="109"/>
      <c r="H501" s="38"/>
      <c r="I501" s="24"/>
      <c r="J501" s="24"/>
    </row>
    <row r="502" spans="1:10" s="1" customFormat="1" ht="15.9" customHeight="1">
      <c r="A502" s="27"/>
      <c r="B502" s="33"/>
      <c r="C502" s="161"/>
      <c r="D502" s="161"/>
      <c r="E502" s="109"/>
      <c r="F502" s="109"/>
      <c r="G502" s="109"/>
      <c r="H502" s="42"/>
      <c r="I502" s="67"/>
      <c r="J502" s="165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67"/>
      <c r="I503" s="38"/>
      <c r="J503" s="109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38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109"/>
      <c r="J512" s="24"/>
    </row>
    <row r="513" spans="1:15" s="1" customFormat="1" ht="15.9" customHeight="1">
      <c r="A513" s="27"/>
      <c r="B513" s="33"/>
      <c r="C513" s="33"/>
      <c r="D513" s="161"/>
      <c r="E513" s="109"/>
      <c r="F513" s="109"/>
      <c r="G513" s="109"/>
      <c r="H513" s="109"/>
      <c r="I513" s="43"/>
      <c r="J513" s="107"/>
    </row>
    <row r="514" spans="1:15" s="1" customFormat="1" ht="15.9" customHeight="1">
      <c r="A514" s="27"/>
      <c r="B514" s="33"/>
      <c r="C514" s="33"/>
      <c r="D514" s="161"/>
      <c r="E514" s="109"/>
      <c r="F514" s="109"/>
      <c r="G514" s="109"/>
      <c r="H514" s="66"/>
      <c r="I514" s="38"/>
      <c r="J514" s="109"/>
    </row>
    <row r="515" spans="1:15" s="1" customFormat="1" ht="15.9" customHeight="1">
      <c r="A515" s="44"/>
      <c r="B515" s="44"/>
      <c r="C515" s="44"/>
      <c r="D515" s="84"/>
      <c r="E515" s="44"/>
      <c r="F515" s="44"/>
      <c r="G515" s="44"/>
      <c r="H515" s="44"/>
      <c r="I515" s="44"/>
      <c r="J515" s="119"/>
    </row>
    <row r="516" spans="1:15" s="1" customFormat="1" ht="15.9" customHeight="1">
      <c r="B516" s="44"/>
      <c r="C516" s="44"/>
      <c r="D516" s="84"/>
      <c r="E516" s="44"/>
      <c r="F516" s="44"/>
      <c r="G516" s="44"/>
      <c r="H516" s="44"/>
    </row>
    <row r="517" spans="1:15" s="1" customFormat="1" ht="15.9" customHeight="1" thickBot="1"/>
    <row r="518" spans="1:15" s="1" customFormat="1" ht="24.9" customHeight="1" thickBot="1">
      <c r="A518" s="502" t="s">
        <v>401</v>
      </c>
      <c r="B518" s="503"/>
      <c r="C518" s="503"/>
      <c r="D518" s="503"/>
      <c r="E518" s="503"/>
      <c r="F518" s="503"/>
      <c r="G518" s="503"/>
      <c r="H518" s="503"/>
      <c r="I518" s="503"/>
      <c r="J518" s="504"/>
    </row>
    <row r="519" spans="1:15" s="1" customFormat="1" ht="35.1" customHeight="1" thickBot="1">
      <c r="A519" s="102" t="s">
        <v>2</v>
      </c>
      <c r="B519" s="103" t="s">
        <v>3</v>
      </c>
      <c r="C519" s="103" t="s">
        <v>3</v>
      </c>
      <c r="D519" s="104" t="s">
        <v>35</v>
      </c>
      <c r="E519" s="103" t="s">
        <v>5</v>
      </c>
      <c r="F519" s="440" t="s">
        <v>27</v>
      </c>
      <c r="G519" s="305"/>
      <c r="H519" s="104" t="s">
        <v>27</v>
      </c>
      <c r="I519" s="104" t="s">
        <v>26</v>
      </c>
      <c r="J519" s="115" t="s">
        <v>6</v>
      </c>
      <c r="N519" s="249" t="s">
        <v>3</v>
      </c>
      <c r="O519" s="249" t="s">
        <v>3</v>
      </c>
    </row>
    <row r="520" spans="1:15" s="1" customFormat="1" ht="15.9" customHeight="1">
      <c r="A520" s="123">
        <f>IF(C520="","",1)</f>
        <v>1</v>
      </c>
      <c r="B520" s="121" t="str">
        <f>IF($D$127=5,N520,IF($D$127=6,N521,IF($D$127=8,N522,IF($D$127=10,N523,IF($D$127=12,N524,IF($D$127=14,N525,IF($D$127=18,N526,IF($D$127=20,N527,IF($D$127=22,N528,)))))))))</f>
        <v>กระจก 6 mm (สูง) (กว้าง)</v>
      </c>
      <c r="C520" s="121" t="str">
        <f>IF($D$127=5,O520,IF($D$127=6,O521,IF($D$127=8,O522,IF($D$127=10,O523,IF($D$127=12,O524,IF($D$127=14,O525,IF($D$127=18,O526,IF($D$127=20,O527,IF($D$127=22,O528,)))))))))</f>
        <v>GLASS thk.6 mm (H) (W)</v>
      </c>
      <c r="D520" s="124">
        <f>$J$123-215</f>
        <v>2285</v>
      </c>
      <c r="E520" s="123" t="s">
        <v>11</v>
      </c>
      <c r="F520" s="527" t="s">
        <v>271</v>
      </c>
      <c r="G520" s="528"/>
      <c r="H520" s="123" t="s">
        <v>409</v>
      </c>
      <c r="I520" s="124">
        <f>(($J$126-185-(113.25*6))/7)-13</f>
        <v>577.78571428571433</v>
      </c>
      <c r="J520" s="151">
        <f>$J$120*7</f>
        <v>7</v>
      </c>
      <c r="M520" s="1">
        <f>ROW()</f>
        <v>520</v>
      </c>
      <c r="N520" s="19" t="s">
        <v>194</v>
      </c>
      <c r="O520" s="19" t="s">
        <v>195</v>
      </c>
    </row>
    <row r="521" spans="1:15" s="1" customFormat="1" ht="15.9" customHeight="1">
      <c r="A521" s="346"/>
      <c r="B521" s="295"/>
      <c r="C521" s="295"/>
      <c r="D521" s="296"/>
      <c r="E521" s="238"/>
      <c r="F521" s="251"/>
      <c r="G521" s="297"/>
      <c r="H521" s="238"/>
      <c r="I521" s="298"/>
      <c r="J521" s="299"/>
      <c r="M521" s="1">
        <f>ROW()</f>
        <v>521</v>
      </c>
      <c r="N521" s="19" t="s">
        <v>53</v>
      </c>
      <c r="O521" s="19" t="s">
        <v>54</v>
      </c>
    </row>
    <row r="522" spans="1:15" s="1" customFormat="1" ht="15.9" customHeight="1">
      <c r="A522" s="346"/>
      <c r="B522" s="295"/>
      <c r="C522" s="295"/>
      <c r="D522" s="296"/>
      <c r="E522" s="238"/>
      <c r="F522" s="251"/>
      <c r="G522" s="297"/>
      <c r="H522" s="238"/>
      <c r="I522" s="298"/>
      <c r="J522" s="299"/>
      <c r="M522" s="1">
        <f>ROW()</f>
        <v>522</v>
      </c>
      <c r="N522" s="19" t="s">
        <v>257</v>
      </c>
      <c r="O522" s="19" t="s">
        <v>258</v>
      </c>
    </row>
    <row r="523" spans="1:15" s="1" customFormat="1" ht="15.9" customHeight="1">
      <c r="A523" s="129" t="str">
        <f>IF(B523="","",+#REF!+1)</f>
        <v/>
      </c>
      <c r="B523" s="127"/>
      <c r="C523" s="127"/>
      <c r="D523" s="128"/>
      <c r="E523" s="129"/>
      <c r="F523" s="155"/>
      <c r="G523" s="438"/>
      <c r="H523" s="129"/>
      <c r="I523" s="144"/>
      <c r="J523" s="130"/>
      <c r="M523" s="1">
        <f>ROW()</f>
        <v>523</v>
      </c>
      <c r="N523" s="19" t="s">
        <v>259</v>
      </c>
      <c r="O523" s="19" t="s">
        <v>265</v>
      </c>
    </row>
    <row r="524" spans="1:15" s="1" customFormat="1" ht="15.9" customHeight="1">
      <c r="A524" s="135" t="str">
        <f>IF(B524="","",+A523+1)</f>
        <v/>
      </c>
      <c r="B524" s="133"/>
      <c r="C524" s="133"/>
      <c r="D524" s="134"/>
      <c r="E524" s="135"/>
      <c r="F524" s="158"/>
      <c r="G524" s="159"/>
      <c r="H524" s="135"/>
      <c r="I524" s="145"/>
      <c r="J524" s="136"/>
      <c r="M524" s="1">
        <f>ROW()</f>
        <v>524</v>
      </c>
      <c r="N524" s="19" t="s">
        <v>260</v>
      </c>
      <c r="O524" s="19" t="s">
        <v>266</v>
      </c>
    </row>
    <row r="525" spans="1:15" s="1" customFormat="1" ht="15.9" customHeight="1">
      <c r="A525" s="17"/>
      <c r="B525" s="56"/>
      <c r="C525" s="56"/>
      <c r="D525" s="30"/>
      <c r="E525" s="17"/>
      <c r="F525" s="17"/>
      <c r="G525" s="17"/>
      <c r="H525" s="109"/>
      <c r="I525" s="109"/>
      <c r="J525" s="24"/>
      <c r="M525" s="1">
        <f>ROW()</f>
        <v>525</v>
      </c>
      <c r="N525" s="19" t="s">
        <v>261</v>
      </c>
      <c r="O525" s="19" t="s">
        <v>267</v>
      </c>
    </row>
    <row r="526" spans="1:15">
      <c r="H526" s="294"/>
      <c r="I526" s="294"/>
      <c r="J526" s="99" t="str">
        <f>LEFT($J$111,11)&amp;"-05"</f>
        <v>FG-240-7P7L-05</v>
      </c>
      <c r="M526" s="1">
        <f>ROW()</f>
        <v>526</v>
      </c>
      <c r="N526" s="19" t="s">
        <v>262</v>
      </c>
      <c r="O526" s="19" t="s">
        <v>268</v>
      </c>
    </row>
    <row r="527" spans="1:15">
      <c r="M527" s="1">
        <f>ROW()</f>
        <v>527</v>
      </c>
      <c r="N527" s="19" t="s">
        <v>263</v>
      </c>
      <c r="O527" s="19" t="s">
        <v>269</v>
      </c>
    </row>
    <row r="528" spans="1:15">
      <c r="M528" s="1">
        <f>ROW()</f>
        <v>528</v>
      </c>
      <c r="N528" s="19" t="s">
        <v>264</v>
      </c>
      <c r="O528" s="19" t="s">
        <v>270</v>
      </c>
    </row>
  </sheetData>
  <sheetProtection selectLockedCells="1" selectUnlockedCells="1"/>
  <dataConsolidate function="product">
    <dataRefs count="1">
      <dataRef ref="O154:O162" sheet="240_2Panel(L)" r:id="rId1"/>
    </dataRefs>
  </dataConsolidate>
  <mergeCells count="46">
    <mergeCell ref="F334:G334"/>
    <mergeCell ref="A427:J427"/>
    <mergeCell ref="A518:J518"/>
    <mergeCell ref="F520:G520"/>
    <mergeCell ref="A172:J172"/>
    <mergeCell ref="A213:J213"/>
    <mergeCell ref="C309:E309"/>
    <mergeCell ref="A320:J320"/>
    <mergeCell ref="F330:G330"/>
    <mergeCell ref="F331:G331"/>
    <mergeCell ref="D168:D169"/>
    <mergeCell ref="H168:H169"/>
    <mergeCell ref="I168:J168"/>
    <mergeCell ref="D170:D171"/>
    <mergeCell ref="H170:H171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7"/>
    <mergeCell ref="H163:H167"/>
    <mergeCell ref="I166:J167"/>
    <mergeCell ref="I157:J157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A6:J6"/>
    <mergeCell ref="A117:J117"/>
    <mergeCell ref="D119:G119"/>
    <mergeCell ref="H120:I121"/>
    <mergeCell ref="J120:J121"/>
    <mergeCell ref="D121:G121"/>
  </mergeCells>
  <dataValidations count="4">
    <dataValidation type="list" allowBlank="1" showInputMessage="1" showErrorMessage="1" sqref="C206">
      <formula1>$O$174:$O$192</formula1>
    </dataValidation>
    <dataValidation type="list" allowBlank="1" showInputMessage="1" showErrorMessage="1" sqref="D123:G123">
      <formula1>$P$118:$P$127</formula1>
    </dataValidation>
    <dataValidation type="list" allowBlank="1" showInputMessage="1" showErrorMessage="1" sqref="D127:G127">
      <formula1>$N$119:$N$127</formula1>
    </dataValidation>
    <dataValidation type="list" allowBlank="1" showInputMessage="1" showErrorMessage="1" sqref="D129:G129">
      <formula1>$O$119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4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16383" man="1"/>
    <brk id="421" max="9" man="1"/>
  </rowBreaks>
  <drawing r:id="rId3"/>
  <legacyDrawing r:id="rId4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-0.249977111117893"/>
  </sheetPr>
  <dimension ref="A1:X528"/>
  <sheetViews>
    <sheetView showGridLines="0" view="pageBreakPreview" zoomScale="75" zoomScaleNormal="75" zoomScaleSheetLayoutView="75" workbookViewId="0"/>
  </sheetViews>
  <sheetFormatPr defaultRowHeight="14.4" outlineLevelRow="1" outlineLevelCol="1"/>
  <cols>
    <col min="1" max="1" width="7" customWidth="1"/>
    <col min="2" max="2" width="40.6640625" customWidth="1"/>
    <col min="3" max="3" width="61.10937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6.6640625" customWidth="1"/>
    <col min="9" max="9" width="11.109375" bestFit="1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0.4414062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79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79"/>
      <c r="E3" s="279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655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/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>
      <c r="G55" s="10"/>
    </row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656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79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79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8">
      <c r="A118" s="12"/>
      <c r="C118" s="8"/>
      <c r="D118" s="15"/>
      <c r="E118" s="13"/>
      <c r="J118" s="434"/>
      <c r="K118" s="11"/>
      <c r="L118" s="56"/>
      <c r="M118" s="56"/>
      <c r="N118" s="243" t="s">
        <v>191</v>
      </c>
      <c r="O118" s="12" t="s">
        <v>227</v>
      </c>
      <c r="P118" s="247" t="s">
        <v>16</v>
      </c>
    </row>
    <row r="119" spans="1:16" s="1" customFormat="1" ht="15" customHeight="1">
      <c r="A119" s="12"/>
      <c r="C119" s="110" t="s">
        <v>635</v>
      </c>
      <c r="D119" s="524"/>
      <c r="E119" s="525"/>
      <c r="F119" s="525"/>
      <c r="G119" s="526"/>
      <c r="I119" s="16"/>
      <c r="J119" s="12"/>
      <c r="N119" s="244">
        <v>5</v>
      </c>
      <c r="O119" s="12" t="s">
        <v>243</v>
      </c>
      <c r="P119" s="335" t="s">
        <v>389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5">
        <v>6</v>
      </c>
      <c r="O120" s="12" t="s">
        <v>244</v>
      </c>
      <c r="P120" s="336" t="s">
        <v>390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8</v>
      </c>
      <c r="P121" s="336" t="s">
        <v>391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10</v>
      </c>
      <c r="P122" s="336" t="s">
        <v>392</v>
      </c>
    </row>
    <row r="123" spans="1:16" s="1" customFormat="1" ht="15" customHeight="1">
      <c r="A123" s="12"/>
      <c r="C123" s="110" t="s">
        <v>629</v>
      </c>
      <c r="D123" s="524" t="s">
        <v>15</v>
      </c>
      <c r="E123" s="525"/>
      <c r="F123" s="525"/>
      <c r="G123" s="526"/>
      <c r="H123" s="519" t="s">
        <v>638</v>
      </c>
      <c r="I123" s="520"/>
      <c r="J123" s="517">
        <v>2900</v>
      </c>
      <c r="N123" s="245">
        <v>12</v>
      </c>
      <c r="P123" s="335" t="s">
        <v>393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14</v>
      </c>
      <c r="P124" s="335" t="s">
        <v>394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436"/>
      <c r="L125" s="77"/>
      <c r="N125" s="245">
        <v>18</v>
      </c>
      <c r="P125" s="335" t="s">
        <v>395</v>
      </c>
    </row>
    <row r="126" spans="1:16" s="1" customFormat="1" ht="15" customHeight="1">
      <c r="A126" s="434"/>
      <c r="B126" s="434"/>
      <c r="C126" s="423" t="s">
        <v>631</v>
      </c>
      <c r="D126" s="15"/>
      <c r="H126" s="519" t="s">
        <v>639</v>
      </c>
      <c r="I126" s="520"/>
      <c r="J126" s="517">
        <v>5000</v>
      </c>
      <c r="K126" s="436"/>
      <c r="L126" s="77"/>
      <c r="N126" s="245">
        <v>20</v>
      </c>
      <c r="P126" s="335" t="s">
        <v>396</v>
      </c>
    </row>
    <row r="127" spans="1:16" s="1" customFormat="1" ht="15" customHeight="1">
      <c r="A127" s="434"/>
      <c r="B127" s="434"/>
      <c r="C127" s="110" t="s">
        <v>633</v>
      </c>
      <c r="D127" s="534">
        <v>8</v>
      </c>
      <c r="E127" s="535"/>
      <c r="F127" s="535"/>
      <c r="G127" s="536"/>
      <c r="H127" s="520"/>
      <c r="I127" s="520"/>
      <c r="J127" s="518"/>
      <c r="N127" s="245">
        <v>22</v>
      </c>
      <c r="P127" s="335" t="s">
        <v>397</v>
      </c>
    </row>
    <row r="128" spans="1:16" s="1" customFormat="1" ht="18.75" customHeight="1">
      <c r="C128" s="423" t="s">
        <v>632</v>
      </c>
      <c r="I128" s="12"/>
      <c r="J128" s="12"/>
    </row>
    <row r="129" spans="1:23" s="1" customFormat="1" ht="15" customHeight="1">
      <c r="A129" s="88" t="str">
        <f>A18</f>
        <v>240-7 Panel (7R)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4940</v>
      </c>
      <c r="J133" s="125">
        <f t="shared" ref="J133:J153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14</v>
      </c>
      <c r="U133" s="283" t="s">
        <v>300</v>
      </c>
      <c r="V133" s="285">
        <f>($J$126-185-(113.25*6))/7</f>
        <v>590.78571428571433</v>
      </c>
      <c r="W133" s="286">
        <f>$J$120*T133</f>
        <v>14</v>
      </c>
    </row>
    <row r="134" spans="1:23" s="1" customFormat="1" ht="18" customHeight="1">
      <c r="A134" s="143">
        <f t="shared" ref="A134:A153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4914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14</v>
      </c>
      <c r="U134" s="129" t="s">
        <v>300</v>
      </c>
      <c r="V134" s="144">
        <f t="shared" ref="V134:V135" si="2">($J$126-185-(113.25*6))/7</f>
        <v>590.78571428571433</v>
      </c>
      <c r="W134" s="131">
        <f t="shared" ref="W134:W135" si="3">$J$120*T134</f>
        <v>14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4940</v>
      </c>
      <c r="J135" s="131">
        <f t="shared" ref="J135:J147" si="4">$J$120*G135</f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14</v>
      </c>
      <c r="U135" s="135" t="s">
        <v>300</v>
      </c>
      <c r="V135" s="145">
        <f t="shared" si="2"/>
        <v>590.78571428571433</v>
      </c>
      <c r="W135" s="293">
        <f t="shared" si="3"/>
        <v>14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4940</v>
      </c>
      <c r="J136" s="131">
        <f t="shared" si="4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14</v>
      </c>
      <c r="U136" s="283" t="s">
        <v>64</v>
      </c>
      <c r="V136" s="288">
        <f>$J$123-242</f>
        <v>2658</v>
      </c>
      <c r="W136" s="286">
        <f>$J$120*T136</f>
        <v>14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2900</v>
      </c>
      <c r="J137" s="131">
        <f t="shared" si="4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14</v>
      </c>
      <c r="U137" s="129" t="s">
        <v>64</v>
      </c>
      <c r="V137" s="130">
        <f>$J$123-242</f>
        <v>2658</v>
      </c>
      <c r="W137" s="131">
        <f t="shared" ref="W137:W138" si="5">$J$120*T137</f>
        <v>14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2900</v>
      </c>
      <c r="J138" s="131">
        <f t="shared" si="4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14</v>
      </c>
      <c r="U138" s="135" t="s">
        <v>64</v>
      </c>
      <c r="V138" s="136">
        <f>$J$123-242</f>
        <v>2658</v>
      </c>
      <c r="W138" s="293">
        <f t="shared" si="5"/>
        <v>14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2804</v>
      </c>
      <c r="J139" s="131">
        <f t="shared" si="4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2804</v>
      </c>
      <c r="J140" s="131">
        <f t="shared" si="4"/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7</v>
      </c>
      <c r="H141" s="143" t="s">
        <v>300</v>
      </c>
      <c r="I141" s="178">
        <f>($J$126-185-(113.25*6))/7</f>
        <v>590.78571428571433</v>
      </c>
      <c r="J141" s="131">
        <f t="shared" si="4"/>
        <v>7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7</v>
      </c>
      <c r="H142" s="143" t="s">
        <v>300</v>
      </c>
      <c r="I142" s="178">
        <f>($J$126-185-(113.25*6))/7</f>
        <v>590.78571428571433</v>
      </c>
      <c r="J142" s="131">
        <f t="shared" si="4"/>
        <v>7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10</v>
      </c>
      <c r="H143" s="143" t="s">
        <v>63</v>
      </c>
      <c r="I143" s="130">
        <f>$J$123-92</f>
        <v>2808</v>
      </c>
      <c r="J143" s="131">
        <f t="shared" si="4"/>
        <v>10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496</v>
      </c>
      <c r="G144" s="143">
        <v>3</v>
      </c>
      <c r="H144" s="143" t="s">
        <v>63</v>
      </c>
      <c r="I144" s="130">
        <f t="shared" ref="I144:I145" si="6">$J$123-92</f>
        <v>2808</v>
      </c>
      <c r="J144" s="131">
        <f t="shared" si="4"/>
        <v>3</v>
      </c>
      <c r="N144" s="98"/>
    </row>
    <row r="145" spans="1:14" s="1" customFormat="1" ht="18" customHeight="1">
      <c r="A145" s="143">
        <f t="shared" si="1"/>
        <v>13</v>
      </c>
      <c r="B145" s="140" t="s">
        <v>116</v>
      </c>
      <c r="C145" s="140" t="s">
        <v>99</v>
      </c>
      <c r="D145" s="139" t="s">
        <v>50</v>
      </c>
      <c r="E145" s="143">
        <v>1.1060000000000001</v>
      </c>
      <c r="F145" s="139" t="s">
        <v>506</v>
      </c>
      <c r="G145" s="143">
        <v>1</v>
      </c>
      <c r="H145" s="143" t="s">
        <v>63</v>
      </c>
      <c r="I145" s="130">
        <f t="shared" si="6"/>
        <v>2808</v>
      </c>
      <c r="J145" s="131">
        <f t="shared" si="4"/>
        <v>1</v>
      </c>
      <c r="N145" s="98"/>
    </row>
    <row r="146" spans="1:14" s="1" customFormat="1" ht="18" customHeight="1">
      <c r="A146" s="143">
        <f t="shared" si="1"/>
        <v>14</v>
      </c>
      <c r="B146" s="140" t="str">
        <f t="shared" ref="B146:I146" si="7">IF($D$127=5,O133,IF($D$127=6,O133,IF($D$127=8,O134,IF($D$127=10,O134,IF($D$127=12,O134,IF($D$127=14,O135,IF($D$127=18,O135,IF($D$127=20,O135,IF($D$127=22,O135,)))))))))</f>
        <v>8-12mm คิ้วตบกระจกแนวนอน</v>
      </c>
      <c r="C146" s="140" t="str">
        <f t="shared" si="7"/>
        <v>8-12mm GLAZING BEAD HORIZONTAL</v>
      </c>
      <c r="D146" s="140" t="str">
        <f t="shared" si="7"/>
        <v>B24016</v>
      </c>
      <c r="E146" s="140">
        <f t="shared" si="7"/>
        <v>0.215</v>
      </c>
      <c r="F146" s="140" t="str">
        <f t="shared" si="7"/>
        <v>B24016-001</v>
      </c>
      <c r="G146" s="143">
        <f t="shared" si="7"/>
        <v>14</v>
      </c>
      <c r="H146" s="129" t="str">
        <f t="shared" si="7"/>
        <v>(W-185-(113.25 × 6))/7</v>
      </c>
      <c r="I146" s="178">
        <f t="shared" si="7"/>
        <v>590.78571428571433</v>
      </c>
      <c r="J146" s="131">
        <f t="shared" si="4"/>
        <v>14</v>
      </c>
      <c r="N146" s="98"/>
    </row>
    <row r="147" spans="1:14" s="1" customFormat="1" ht="18" customHeight="1">
      <c r="A147" s="143">
        <f t="shared" si="1"/>
        <v>15</v>
      </c>
      <c r="B147" s="140" t="str">
        <f t="shared" ref="B147:I147" si="8">IF($D$127=5,O136,IF($D$127=6,O136,IF($D$127=8,O137,IF($D$127=10,O137,IF($D$127=12,O137,IF($D$127=14,O138,IF($D$127=18,O138,IF($D$127=20,O138,IF($D$127=22,O138,)))))))))</f>
        <v>8-12mm คิ้วตบกระจกแนวตั้ง</v>
      </c>
      <c r="C147" s="140" t="str">
        <f t="shared" si="8"/>
        <v>8-12mm GLAZING BEAD VERTICAL</v>
      </c>
      <c r="D147" s="140" t="str">
        <f t="shared" si="8"/>
        <v>B24016</v>
      </c>
      <c r="E147" s="140">
        <f t="shared" si="8"/>
        <v>0.215</v>
      </c>
      <c r="F147" s="140" t="str">
        <f t="shared" si="8"/>
        <v>B24016-002</v>
      </c>
      <c r="G147" s="143">
        <f t="shared" si="8"/>
        <v>14</v>
      </c>
      <c r="H147" s="129" t="str">
        <f t="shared" si="8"/>
        <v>H-242</v>
      </c>
      <c r="I147" s="144">
        <f t="shared" si="8"/>
        <v>2658</v>
      </c>
      <c r="J147" s="131">
        <f t="shared" si="4"/>
        <v>14</v>
      </c>
      <c r="N147" s="98"/>
    </row>
    <row r="148" spans="1:14" s="1" customFormat="1" ht="18" customHeight="1">
      <c r="A148" s="143" t="str">
        <f t="shared" si="1"/>
        <v/>
      </c>
      <c r="B148" s="140"/>
      <c r="C148" s="140"/>
      <c r="D148" s="139"/>
      <c r="E148" s="143"/>
      <c r="F148" s="139"/>
      <c r="G148" s="143"/>
      <c r="H148" s="143"/>
      <c r="I148" s="130"/>
      <c r="J148" s="131"/>
      <c r="N148" s="98"/>
    </row>
    <row r="149" spans="1:14" s="1" customFormat="1" ht="18" customHeight="1">
      <c r="A149" s="143" t="str">
        <f t="shared" si="1"/>
        <v/>
      </c>
      <c r="B149" s="140"/>
      <c r="C149" s="140"/>
      <c r="D149" s="139"/>
      <c r="E149" s="143"/>
      <c r="F149" s="139"/>
      <c r="G149" s="143"/>
      <c r="H149" s="143"/>
      <c r="I149" s="130"/>
      <c r="J149" s="131"/>
      <c r="N149" s="98"/>
    </row>
    <row r="150" spans="1:14" s="1" customFormat="1" ht="18" customHeight="1">
      <c r="A150" s="143" t="str">
        <f t="shared" si="1"/>
        <v/>
      </c>
      <c r="B150" s="140"/>
      <c r="C150" s="140"/>
      <c r="D150" s="139"/>
      <c r="E150" s="143"/>
      <c r="F150" s="139"/>
      <c r="G150" s="143"/>
      <c r="H150" s="143"/>
      <c r="I150" s="130"/>
      <c r="J150" s="131"/>
      <c r="N150" s="98"/>
    </row>
    <row r="151" spans="1:14" s="1" customFormat="1" ht="18" customHeight="1">
      <c r="A151" s="143" t="str">
        <f t="shared" si="1"/>
        <v/>
      </c>
      <c r="B151" s="140"/>
      <c r="C151" s="140"/>
      <c r="D151" s="139"/>
      <c r="E151" s="143"/>
      <c r="F151" s="139"/>
      <c r="G151" s="143"/>
      <c r="H151" s="143"/>
      <c r="I151" s="130"/>
      <c r="J151" s="131"/>
      <c r="N151" s="98"/>
    </row>
    <row r="152" spans="1:14" s="1" customFormat="1" ht="18" customHeight="1">
      <c r="A152" s="143" t="str">
        <f t="shared" si="1"/>
        <v/>
      </c>
      <c r="B152" s="127"/>
      <c r="C152" s="127"/>
      <c r="D152" s="128"/>
      <c r="E152" s="129"/>
      <c r="F152" s="128"/>
      <c r="G152" s="129"/>
      <c r="H152" s="129"/>
      <c r="I152" s="144"/>
      <c r="J152" s="131">
        <f t="shared" si="0"/>
        <v>0</v>
      </c>
      <c r="N152" s="98"/>
    </row>
    <row r="153" spans="1:14" s="1" customFormat="1" ht="18" customHeight="1" thickBot="1">
      <c r="A153" s="143" t="str">
        <f t="shared" si="1"/>
        <v/>
      </c>
      <c r="B153" s="167"/>
      <c r="C153" s="167"/>
      <c r="D153" s="168"/>
      <c r="E153" s="166"/>
      <c r="F153" s="168"/>
      <c r="G153" s="166"/>
      <c r="H153" s="166"/>
      <c r="I153" s="171"/>
      <c r="J153" s="172">
        <f t="shared" si="0"/>
        <v>0</v>
      </c>
    </row>
    <row r="154" spans="1:14" s="1" customFormat="1" ht="27" outlineLevel="1" thickBot="1">
      <c r="A154" s="169" t="s">
        <v>2</v>
      </c>
      <c r="B154" s="169" t="s">
        <v>29</v>
      </c>
      <c r="C154" s="169" t="s">
        <v>3</v>
      </c>
      <c r="D154" s="169" t="s">
        <v>4</v>
      </c>
      <c r="E154" s="169" t="s">
        <v>5</v>
      </c>
      <c r="F154" s="177" t="s">
        <v>85</v>
      </c>
      <c r="G154" s="169" t="s">
        <v>22</v>
      </c>
      <c r="H154" s="170" t="s">
        <v>23</v>
      </c>
      <c r="I154" s="540"/>
      <c r="J154" s="541"/>
    </row>
    <row r="155" spans="1:14" s="1" customFormat="1" ht="15" customHeight="1" outlineLevel="1">
      <c r="A155" s="21">
        <f>IF(B155="","",1)</f>
        <v>1</v>
      </c>
      <c r="B155" s="173" t="str">
        <f t="shared" ref="B155:C170" si="9">B133</f>
        <v>เฟรมบน</v>
      </c>
      <c r="C155" s="173" t="str">
        <f t="shared" si="9"/>
        <v>HEAD</v>
      </c>
      <c r="D155" s="439" t="str">
        <f>VLOOKUP(C155,$C$133:$H$153,2,0)</f>
        <v>B24001</v>
      </c>
      <c r="E155" s="175">
        <f t="shared" ref="E155:E171" si="10">VLOOKUP(C155,$C$133:$H$153,3,0)</f>
        <v>1.603</v>
      </c>
      <c r="F155" s="353">
        <f>VLOOKUP(C155,$C$133:$J$153,7,0)</f>
        <v>4940</v>
      </c>
      <c r="G155" s="175">
        <f t="shared" ref="G155:G171" si="11">VLOOKUP(C155,$C$133:$J$153,8,0)</f>
        <v>1</v>
      </c>
      <c r="H155" s="191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ref="A156:A171" si="12">IF(B156="","",+A155+1)</f>
        <v>2</v>
      </c>
      <c r="B156" s="173" t="str">
        <f t="shared" si="9"/>
        <v>บังใบบน</v>
      </c>
      <c r="C156" s="173" t="str">
        <f t="shared" si="9"/>
        <v>DOOR STOP HEAD</v>
      </c>
      <c r="D156" s="439" t="str">
        <f>VLOOKUP(C156,$C$133:$H$153,2,0)</f>
        <v>B24002</v>
      </c>
      <c r="E156" s="175">
        <f t="shared" si="10"/>
        <v>0.27800000000000002</v>
      </c>
      <c r="F156" s="353">
        <f t="shared" ref="F156:F171" si="13">VLOOKUP(C156,$C$133:$I$153,7,0)</f>
        <v>4914</v>
      </c>
      <c r="G156" s="175">
        <f t="shared" si="11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si="12"/>
        <v>3</v>
      </c>
      <c r="B157" s="173" t="str">
        <f t="shared" si="9"/>
        <v xml:space="preserve">เฟรมล่าง </v>
      </c>
      <c r="C157" s="173" t="str">
        <f t="shared" si="9"/>
        <v>SILL</v>
      </c>
      <c r="D157" s="439" t="str">
        <f>VLOOKUP(C157,$C$133:$H$153,2,0)</f>
        <v>B24003</v>
      </c>
      <c r="E157" s="175">
        <f t="shared" si="10"/>
        <v>1.603</v>
      </c>
      <c r="F157" s="353">
        <f t="shared" si="13"/>
        <v>4940</v>
      </c>
      <c r="G157" s="175">
        <f t="shared" si="11"/>
        <v>1</v>
      </c>
      <c r="H157" s="192">
        <f t="shared" ref="H157:H158" si="14">ROUNDUP((F157*G157)/6400,0)</f>
        <v>1</v>
      </c>
      <c r="I157" s="501"/>
      <c r="J157" s="501"/>
    </row>
    <row r="158" spans="1:14" s="1" customFormat="1" ht="15" customHeight="1" outlineLevel="1">
      <c r="A158" s="18">
        <f t="shared" si="12"/>
        <v>4</v>
      </c>
      <c r="B158" s="173" t="str">
        <f t="shared" si="9"/>
        <v>ตัวตับธรณี</v>
      </c>
      <c r="C158" s="173" t="str">
        <f t="shared" si="9"/>
        <v>DOOR STOP SILL</v>
      </c>
      <c r="D158" s="439" t="str">
        <f>VLOOKUP(C158,$C$133:$H$153,2,0)</f>
        <v>B24004</v>
      </c>
      <c r="E158" s="175">
        <f t="shared" si="10"/>
        <v>0.51600000000000001</v>
      </c>
      <c r="F158" s="353">
        <f t="shared" si="13"/>
        <v>4940</v>
      </c>
      <c r="G158" s="175">
        <f t="shared" si="11"/>
        <v>1</v>
      </c>
      <c r="H158" s="192">
        <f t="shared" si="14"/>
        <v>1</v>
      </c>
      <c r="I158" s="501"/>
      <c r="J158" s="501"/>
    </row>
    <row r="159" spans="1:14" s="1" customFormat="1" ht="15" customHeight="1" outlineLevel="1">
      <c r="A159" s="18">
        <f t="shared" si="12"/>
        <v>5</v>
      </c>
      <c r="B159" s="173" t="str">
        <f t="shared" si="9"/>
        <v>เฟรมข้าง (ซ้าย)</v>
      </c>
      <c r="C159" s="173" t="str">
        <f t="shared" si="9"/>
        <v>JAMB (L)</v>
      </c>
      <c r="D159" s="508" t="str">
        <f>VLOOKUP(C159,$C$133:$H$153,2,0)</f>
        <v>B24005</v>
      </c>
      <c r="E159" s="175">
        <f t="shared" si="10"/>
        <v>0.89300000000000002</v>
      </c>
      <c r="F159" s="353">
        <f t="shared" si="13"/>
        <v>2900</v>
      </c>
      <c r="G159" s="175">
        <f t="shared" si="11"/>
        <v>1</v>
      </c>
      <c r="H159" s="516">
        <f>ROUNDUP(((F159*G159)+(F160*G160))/6400,0)</f>
        <v>1</v>
      </c>
      <c r="I159" s="506"/>
      <c r="J159" s="506"/>
    </row>
    <row r="160" spans="1:14" s="1" customFormat="1" ht="15" customHeight="1" outlineLevel="1">
      <c r="A160" s="18">
        <f t="shared" si="12"/>
        <v>6</v>
      </c>
      <c r="B160" s="173" t="str">
        <f t="shared" si="9"/>
        <v>เฟรมข้าง (ขวา)</v>
      </c>
      <c r="C160" s="173" t="str">
        <f t="shared" si="9"/>
        <v>JAMB (R)</v>
      </c>
      <c r="D160" s="509"/>
      <c r="E160" s="175">
        <f t="shared" si="10"/>
        <v>0.89300000000000002</v>
      </c>
      <c r="F160" s="353">
        <f t="shared" si="13"/>
        <v>2900</v>
      </c>
      <c r="G160" s="175">
        <f t="shared" si="11"/>
        <v>1</v>
      </c>
      <c r="H160" s="516"/>
      <c r="I160" s="506"/>
      <c r="J160" s="506"/>
    </row>
    <row r="161" spans="1:23" s="1" customFormat="1" ht="15" customHeight="1" outlineLevel="1">
      <c r="A161" s="18">
        <f t="shared" si="12"/>
        <v>7</v>
      </c>
      <c r="B161" s="173" t="str">
        <f t="shared" si="9"/>
        <v>บังใบข้าง (ซ้าย)</v>
      </c>
      <c r="C161" s="173" t="str">
        <f t="shared" si="9"/>
        <v>DOOR STOP JAMB (L)</v>
      </c>
      <c r="D161" s="508" t="str">
        <f>VLOOKUP(C161,$C$133:$H$153,2,0)</f>
        <v>B24006</v>
      </c>
      <c r="E161" s="175">
        <f t="shared" si="10"/>
        <v>0.23499999999999999</v>
      </c>
      <c r="F161" s="353">
        <f t="shared" si="13"/>
        <v>2804</v>
      </c>
      <c r="G161" s="175">
        <f t="shared" si="11"/>
        <v>1</v>
      </c>
      <c r="H161" s="516">
        <f>ROUNDUP(((F161*G161)+(F162*G162))/6400,0)</f>
        <v>1</v>
      </c>
      <c r="I161" s="501"/>
      <c r="J161" s="501"/>
    </row>
    <row r="162" spans="1:23" s="1" customFormat="1" ht="15" customHeight="1" outlineLevel="1">
      <c r="A162" s="18">
        <f t="shared" si="12"/>
        <v>8</v>
      </c>
      <c r="B162" s="173" t="str">
        <f t="shared" si="9"/>
        <v>บังใบข้าง (ขวา)</v>
      </c>
      <c r="C162" s="173" t="str">
        <f t="shared" si="9"/>
        <v>DOOR STOP JAMB (R)</v>
      </c>
      <c r="D162" s="509"/>
      <c r="E162" s="175">
        <f t="shared" si="10"/>
        <v>0.23499999999999999</v>
      </c>
      <c r="F162" s="353">
        <f t="shared" si="13"/>
        <v>2804</v>
      </c>
      <c r="G162" s="175">
        <f t="shared" si="11"/>
        <v>1</v>
      </c>
      <c r="H162" s="516"/>
      <c r="I162" s="506"/>
      <c r="J162" s="506"/>
    </row>
    <row r="163" spans="1:23" s="1" customFormat="1" ht="13.8" outlineLevel="1">
      <c r="A163" s="18">
        <f t="shared" si="12"/>
        <v>9</v>
      </c>
      <c r="B163" s="173" t="str">
        <f t="shared" si="9"/>
        <v>ขวางบน</v>
      </c>
      <c r="C163" s="173" t="str">
        <f t="shared" si="9"/>
        <v>SASH (Hor) (T)</v>
      </c>
      <c r="D163" s="508" t="str">
        <f t="shared" ref="D163:D170" si="15">VLOOKUP(C163,$C$133:$H$153,2,0)</f>
        <v>B24007</v>
      </c>
      <c r="E163" s="175">
        <f t="shared" si="10"/>
        <v>1.1060000000000001</v>
      </c>
      <c r="F163" s="353">
        <f t="shared" si="13"/>
        <v>590.78571428571433</v>
      </c>
      <c r="G163" s="175">
        <f t="shared" si="11"/>
        <v>7</v>
      </c>
      <c r="H163" s="512">
        <f>ROUNDUP(((F163*G163)+(F164*G164)+(F165*G165)+(F166*G166)+(F167*G167))/6400,0)</f>
        <v>8</v>
      </c>
      <c r="I163" s="506"/>
      <c r="J163" s="506"/>
    </row>
    <row r="164" spans="1:23" s="1" customFormat="1" ht="13.8" outlineLevel="1">
      <c r="A164" s="18">
        <f t="shared" si="12"/>
        <v>10</v>
      </c>
      <c r="B164" s="173" t="str">
        <f t="shared" si="9"/>
        <v>ขวางล่าง</v>
      </c>
      <c r="C164" s="173" t="str">
        <f t="shared" si="9"/>
        <v>SASH (Hor) (B)</v>
      </c>
      <c r="D164" s="510"/>
      <c r="E164" s="175">
        <f t="shared" si="10"/>
        <v>1.1060000000000001</v>
      </c>
      <c r="F164" s="353">
        <f t="shared" si="13"/>
        <v>590.78571428571433</v>
      </c>
      <c r="G164" s="175">
        <f t="shared" si="11"/>
        <v>7</v>
      </c>
      <c r="H164" s="514"/>
      <c r="I164" s="506"/>
      <c r="J164" s="506"/>
    </row>
    <row r="165" spans="1:23" s="1" customFormat="1" ht="13.8" outlineLevel="1">
      <c r="A165" s="18">
        <f t="shared" si="12"/>
        <v>11</v>
      </c>
      <c r="B165" s="173" t="str">
        <f t="shared" si="9"/>
        <v>เสา</v>
      </c>
      <c r="C165" s="173" t="str">
        <f t="shared" si="9"/>
        <v xml:space="preserve">SASH (Ver) </v>
      </c>
      <c r="D165" s="510"/>
      <c r="E165" s="175">
        <f t="shared" si="10"/>
        <v>1.1060000000000001</v>
      </c>
      <c r="F165" s="353">
        <f t="shared" si="13"/>
        <v>2808</v>
      </c>
      <c r="G165" s="175">
        <f t="shared" si="11"/>
        <v>10</v>
      </c>
      <c r="H165" s="514"/>
      <c r="I165" s="506"/>
      <c r="J165" s="506"/>
    </row>
    <row r="166" spans="1:23" s="1" customFormat="1" ht="13.8" outlineLevel="1">
      <c r="A166" s="18">
        <f t="shared" si="12"/>
        <v>12</v>
      </c>
      <c r="B166" s="173" t="str">
        <f t="shared" si="9"/>
        <v>เสากุญแจ</v>
      </c>
      <c r="C166" s="173" t="str">
        <f t="shared" si="9"/>
        <v xml:space="preserve">SASH (Ver) LOCK </v>
      </c>
      <c r="D166" s="510"/>
      <c r="E166" s="175">
        <f t="shared" si="10"/>
        <v>1.1060000000000001</v>
      </c>
      <c r="F166" s="353">
        <f t="shared" si="13"/>
        <v>2808</v>
      </c>
      <c r="G166" s="175">
        <f t="shared" si="11"/>
        <v>3</v>
      </c>
      <c r="H166" s="514"/>
      <c r="I166" s="506"/>
      <c r="J166" s="506"/>
    </row>
    <row r="167" spans="1:23" s="1" customFormat="1" ht="15" customHeight="1" outlineLevel="1">
      <c r="A167" s="18">
        <f t="shared" si="12"/>
        <v>13</v>
      </c>
      <c r="B167" s="173" t="str">
        <f t="shared" si="9"/>
        <v>เสากุญแจมือจับ</v>
      </c>
      <c r="C167" s="173" t="str">
        <f t="shared" si="9"/>
        <v>SASH (Ver) LOCK HANDLE</v>
      </c>
      <c r="D167" s="509"/>
      <c r="E167" s="175">
        <f t="shared" si="10"/>
        <v>1.1060000000000001</v>
      </c>
      <c r="F167" s="353">
        <f t="shared" si="13"/>
        <v>2808</v>
      </c>
      <c r="G167" s="175">
        <f t="shared" si="11"/>
        <v>1</v>
      </c>
      <c r="H167" s="515"/>
      <c r="I167" s="506"/>
      <c r="J167" s="506"/>
    </row>
    <row r="168" spans="1:23" s="1" customFormat="1" ht="13.8" outlineLevel="1">
      <c r="A168" s="18">
        <f t="shared" si="12"/>
        <v>14</v>
      </c>
      <c r="B168" s="173" t="str">
        <f t="shared" si="9"/>
        <v>8-12mm คิ้วตบกระจกแนวนอน</v>
      </c>
      <c r="C168" s="173" t="str">
        <f t="shared" si="9"/>
        <v>8-12mm GLAZING BEAD HORIZONTAL</v>
      </c>
      <c r="D168" s="508" t="str">
        <f t="shared" si="15"/>
        <v>B24016</v>
      </c>
      <c r="E168" s="175">
        <f t="shared" si="10"/>
        <v>0.215</v>
      </c>
      <c r="F168" s="353">
        <f t="shared" si="13"/>
        <v>590.78571428571433</v>
      </c>
      <c r="G168" s="175">
        <f t="shared" si="11"/>
        <v>14</v>
      </c>
      <c r="H168" s="516">
        <f>ROUNDUP(((F168*G168)+(F169*G169))/6400,0)</f>
        <v>8</v>
      </c>
      <c r="I168" s="501"/>
      <c r="J168" s="501"/>
    </row>
    <row r="169" spans="1:23" s="1" customFormat="1" ht="15" customHeight="1" outlineLevel="1">
      <c r="A169" s="18">
        <f t="shared" si="12"/>
        <v>15</v>
      </c>
      <c r="B169" s="173" t="str">
        <f t="shared" si="9"/>
        <v>8-12mm คิ้วตบกระจกแนวตั้ง</v>
      </c>
      <c r="C169" s="173" t="str">
        <f t="shared" si="9"/>
        <v>8-12mm GLAZING BEAD VERTICAL</v>
      </c>
      <c r="D169" s="509"/>
      <c r="E169" s="175">
        <f t="shared" si="10"/>
        <v>0.215</v>
      </c>
      <c r="F169" s="353">
        <f t="shared" si="13"/>
        <v>2658</v>
      </c>
      <c r="G169" s="175">
        <f t="shared" si="11"/>
        <v>14</v>
      </c>
      <c r="H169" s="516"/>
      <c r="I169" s="435"/>
      <c r="J169" s="435"/>
    </row>
    <row r="170" spans="1:23" s="1" customFormat="1" ht="13.8" outlineLevel="1">
      <c r="A170" s="18">
        <f t="shared" si="12"/>
        <v>16</v>
      </c>
      <c r="B170" s="173">
        <f t="shared" si="9"/>
        <v>0</v>
      </c>
      <c r="C170" s="173">
        <f t="shared" si="9"/>
        <v>0</v>
      </c>
      <c r="D170" s="508" t="e">
        <f t="shared" si="15"/>
        <v>#N/A</v>
      </c>
      <c r="E170" s="175" t="e">
        <f t="shared" si="10"/>
        <v>#N/A</v>
      </c>
      <c r="F170" s="353" t="e">
        <f t="shared" si="13"/>
        <v>#N/A</v>
      </c>
      <c r="G170" s="175" t="e">
        <f t="shared" si="11"/>
        <v>#N/A</v>
      </c>
      <c r="H170" s="516" t="e">
        <f>ROUNDUP(((F170*G170)+(F171*G171))/6400,0)</f>
        <v>#N/A</v>
      </c>
      <c r="I170" s="435"/>
      <c r="J170" s="435"/>
    </row>
    <row r="171" spans="1:23" s="1" customFormat="1" outlineLevel="1" thickBot="1">
      <c r="A171" s="18">
        <f t="shared" si="12"/>
        <v>17</v>
      </c>
      <c r="B171" s="173">
        <f t="shared" ref="B171:C171" si="16">B149</f>
        <v>0</v>
      </c>
      <c r="C171" s="173">
        <f t="shared" si="16"/>
        <v>0</v>
      </c>
      <c r="D171" s="511"/>
      <c r="E171" s="175" t="e">
        <f t="shared" si="10"/>
        <v>#N/A</v>
      </c>
      <c r="F171" s="353" t="e">
        <f t="shared" si="13"/>
        <v>#N/A</v>
      </c>
      <c r="G171" s="175" t="e">
        <f t="shared" si="11"/>
        <v>#N/A</v>
      </c>
      <c r="H171" s="516"/>
      <c r="I171" s="435"/>
      <c r="J171" s="435"/>
    </row>
    <row r="172" spans="1:23" s="1" customFormat="1" ht="24.9" customHeight="1" thickBot="1">
      <c r="A172" s="529" t="s">
        <v>9</v>
      </c>
      <c r="B172" s="530"/>
      <c r="C172" s="530"/>
      <c r="D172" s="530"/>
      <c r="E172" s="530"/>
      <c r="F172" s="530"/>
      <c r="G172" s="530"/>
      <c r="H172" s="530"/>
      <c r="I172" s="530"/>
      <c r="J172" s="531"/>
    </row>
    <row r="173" spans="1:23" s="1" customFormat="1" ht="35.1" customHeight="1" thickBot="1">
      <c r="A173" s="102" t="s">
        <v>2</v>
      </c>
      <c r="B173" s="103" t="s">
        <v>29</v>
      </c>
      <c r="C173" s="103" t="s">
        <v>3</v>
      </c>
      <c r="D173" s="103" t="s">
        <v>199</v>
      </c>
      <c r="E173" s="103" t="s">
        <v>5</v>
      </c>
      <c r="F173" s="104" t="s">
        <v>28</v>
      </c>
      <c r="G173" s="103" t="s">
        <v>19</v>
      </c>
      <c r="H173" s="104" t="s">
        <v>200</v>
      </c>
      <c r="I173" s="104" t="s">
        <v>20</v>
      </c>
      <c r="J173" s="115" t="s">
        <v>201</v>
      </c>
      <c r="N173" s="101" t="s">
        <v>191</v>
      </c>
      <c r="O173" s="246" t="s">
        <v>29</v>
      </c>
      <c r="P173" s="246" t="s">
        <v>3</v>
      </c>
      <c r="Q173" s="246" t="s">
        <v>199</v>
      </c>
      <c r="R173" s="246" t="s">
        <v>5</v>
      </c>
      <c r="S173" s="246" t="s">
        <v>28</v>
      </c>
      <c r="T173" s="246" t="s">
        <v>19</v>
      </c>
      <c r="U173" s="246" t="s">
        <v>200</v>
      </c>
      <c r="V173" s="246" t="s">
        <v>20</v>
      </c>
      <c r="W173" s="246" t="s">
        <v>201</v>
      </c>
    </row>
    <row r="174" spans="1:23" s="1" customFormat="1" ht="18" customHeight="1">
      <c r="A174" s="200">
        <f>IF(B174="","",1)</f>
        <v>1</v>
      </c>
      <c r="B174" s="140" t="s">
        <v>111</v>
      </c>
      <c r="C174" s="140" t="s">
        <v>67</v>
      </c>
      <c r="D174" s="139" t="s">
        <v>74</v>
      </c>
      <c r="E174" s="143"/>
      <c r="F174" s="143" t="s">
        <v>74</v>
      </c>
      <c r="G174" s="143" t="s">
        <v>202</v>
      </c>
      <c r="H174" s="143">
        <v>14</v>
      </c>
      <c r="I174" s="130"/>
      <c r="J174" s="131">
        <f>$J$120*H174</f>
        <v>14</v>
      </c>
      <c r="N174" s="101" t="s">
        <v>226</v>
      </c>
      <c r="O174" s="280" t="s">
        <v>252</v>
      </c>
      <c r="P174" s="290" t="s">
        <v>248</v>
      </c>
      <c r="Q174" s="280" t="s">
        <v>69</v>
      </c>
      <c r="R174" s="213"/>
      <c r="S174" s="213" t="s">
        <v>69</v>
      </c>
      <c r="T174" s="213" t="s">
        <v>198</v>
      </c>
      <c r="U174" s="291">
        <f>((($I$141*$G$141)+($I$142*$G$142)+($I$143*$G$143)+($I$144*$G$144)+($I$145*$G$145))/1000)*$J$120</f>
        <v>47.582999999999998</v>
      </c>
      <c r="V174" s="291">
        <v>100</v>
      </c>
      <c r="W174" s="292" t="e">
        <f>ROUNDUP((#REF!)/100,0)</f>
        <v>#REF!</v>
      </c>
    </row>
    <row r="175" spans="1:23" s="1" customFormat="1" ht="18" customHeight="1">
      <c r="A175" s="201">
        <f>IF(B175="","",+A174+1)</f>
        <v>2</v>
      </c>
      <c r="B175" s="140" t="s">
        <v>106</v>
      </c>
      <c r="C175" s="140" t="s">
        <v>503</v>
      </c>
      <c r="D175" s="139" t="s">
        <v>75</v>
      </c>
      <c r="E175" s="143"/>
      <c r="F175" s="143" t="s">
        <v>75</v>
      </c>
      <c r="G175" s="143" t="s">
        <v>202</v>
      </c>
      <c r="H175" s="143">
        <v>2</v>
      </c>
      <c r="I175" s="130"/>
      <c r="J175" s="131">
        <f t="shared" ref="J175:J204" si="17">$J$120*H175</f>
        <v>2</v>
      </c>
      <c r="N175" s="101" t="s">
        <v>230</v>
      </c>
      <c r="O175" s="280" t="s">
        <v>253</v>
      </c>
      <c r="P175" s="290" t="s">
        <v>249</v>
      </c>
      <c r="Q175" s="280" t="s">
        <v>188</v>
      </c>
      <c r="R175" s="213"/>
      <c r="S175" s="213" t="s">
        <v>188</v>
      </c>
      <c r="T175" s="213" t="s">
        <v>198</v>
      </c>
      <c r="U175" s="291">
        <f>((($I$141*$G$141)+($I$142*$G$142)+($I$143*$G$143)+($I$144*$G$144)+($I$145*$G$145))/1000)*$J$120</f>
        <v>47.582999999999998</v>
      </c>
      <c r="V175" s="291">
        <v>100</v>
      </c>
      <c r="W175" s="292" t="e">
        <f>ROUNDUP((#REF!)/100,0)</f>
        <v>#REF!</v>
      </c>
    </row>
    <row r="176" spans="1:23" s="1" customFormat="1" ht="18" customHeight="1">
      <c r="A176" s="201">
        <f t="shared" ref="A176:A204" si="18">IF(B176="","",+A175+1)</f>
        <v>3</v>
      </c>
      <c r="B176" s="140" t="s">
        <v>107</v>
      </c>
      <c r="C176" s="140" t="s">
        <v>504</v>
      </c>
      <c r="D176" s="139" t="s">
        <v>76</v>
      </c>
      <c r="E176" s="143"/>
      <c r="F176" s="143" t="s">
        <v>76</v>
      </c>
      <c r="G176" s="143" t="s">
        <v>202</v>
      </c>
      <c r="H176" s="143">
        <v>2</v>
      </c>
      <c r="I176" s="130"/>
      <c r="J176" s="131">
        <f t="shared" si="17"/>
        <v>2</v>
      </c>
      <c r="N176" s="101" t="s">
        <v>229</v>
      </c>
      <c r="O176" s="290" t="s">
        <v>254</v>
      </c>
      <c r="P176" s="290" t="s">
        <v>250</v>
      </c>
      <c r="Q176" s="280" t="s">
        <v>70</v>
      </c>
      <c r="R176" s="213"/>
      <c r="S176" s="213" t="s">
        <v>70</v>
      </c>
      <c r="T176" s="213" t="s">
        <v>198</v>
      </c>
      <c r="U176" s="291">
        <f>((($I$141*$G$141)+($I$142*$G$142)+($I$143*$G$143)+($I$144*$G$144)+($I$145*$G$145))/1000)*$J$120</f>
        <v>47.582999999999998</v>
      </c>
      <c r="V176" s="291">
        <v>100</v>
      </c>
      <c r="W176" s="292" t="e">
        <f>ROUNDUP((#REF!)/100,0)</f>
        <v>#REF!</v>
      </c>
    </row>
    <row r="177" spans="1:23" s="1" customFormat="1" ht="18" customHeight="1">
      <c r="A177" s="201">
        <f t="shared" si="18"/>
        <v>4</v>
      </c>
      <c r="B177" s="140" t="s">
        <v>108</v>
      </c>
      <c r="C177" s="140" t="s">
        <v>10</v>
      </c>
      <c r="D177" s="139">
        <v>9</v>
      </c>
      <c r="E177" s="143"/>
      <c r="F177" s="143">
        <v>9</v>
      </c>
      <c r="G177" s="143" t="s">
        <v>202</v>
      </c>
      <c r="H177" s="143">
        <v>8</v>
      </c>
      <c r="I177" s="130"/>
      <c r="J177" s="131">
        <f t="shared" si="17"/>
        <v>8</v>
      </c>
      <c r="N177" s="101" t="s">
        <v>231</v>
      </c>
      <c r="O177" s="290" t="s">
        <v>255</v>
      </c>
      <c r="P177" s="290" t="s">
        <v>251</v>
      </c>
      <c r="Q177" s="280" t="s">
        <v>189</v>
      </c>
      <c r="R177" s="213"/>
      <c r="S177" s="213" t="s">
        <v>189</v>
      </c>
      <c r="T177" s="213" t="s">
        <v>198</v>
      </c>
      <c r="U177" s="291">
        <f>((($I$141*$G$141)+($I$142*$G$142)+($I$143*$G$143)+($I$144*$G$144)+($I$145*$G$145))/1000)*$J$120</f>
        <v>47.582999999999998</v>
      </c>
      <c r="V177" s="291">
        <v>100</v>
      </c>
      <c r="W177" s="292" t="e">
        <f>ROUNDUP((#REF!)/100,0)</f>
        <v>#REF!</v>
      </c>
    </row>
    <row r="178" spans="1:23" s="1" customFormat="1" ht="18" customHeight="1">
      <c r="A178" s="201">
        <f t="shared" si="18"/>
        <v>5</v>
      </c>
      <c r="B178" s="140" t="s">
        <v>109</v>
      </c>
      <c r="C178" s="140" t="s">
        <v>68</v>
      </c>
      <c r="D178" s="139">
        <v>9</v>
      </c>
      <c r="E178" s="143"/>
      <c r="F178" s="143">
        <v>9</v>
      </c>
      <c r="G178" s="143" t="s">
        <v>202</v>
      </c>
      <c r="H178" s="143">
        <v>110</v>
      </c>
      <c r="I178" s="130"/>
      <c r="J178" s="131">
        <f t="shared" si="17"/>
        <v>110</v>
      </c>
      <c r="N178" s="101" t="s">
        <v>232</v>
      </c>
      <c r="O178" s="290" t="s">
        <v>256</v>
      </c>
      <c r="P178" s="290" t="s">
        <v>247</v>
      </c>
      <c r="Q178" s="280" t="s">
        <v>233</v>
      </c>
      <c r="R178" s="213"/>
      <c r="S178" s="213" t="s">
        <v>233</v>
      </c>
      <c r="T178" s="213" t="s">
        <v>198</v>
      </c>
      <c r="U178" s="291">
        <f>((($I$141*$G$141)+($I$142*$G$142)+($I$143*$G$143)+($I$144*$G$144)+($I$145*$G$145))/1000)*$J$120</f>
        <v>47.582999999999998</v>
      </c>
      <c r="V178" s="291">
        <v>100</v>
      </c>
      <c r="W178" s="292">
        <f>ROUNDUP((U178)/100,0)</f>
        <v>1</v>
      </c>
    </row>
    <row r="179" spans="1:23" s="1" customFormat="1" ht="18" customHeight="1">
      <c r="A179" s="201">
        <f t="shared" si="18"/>
        <v>6</v>
      </c>
      <c r="B179" s="140" t="s">
        <v>132</v>
      </c>
      <c r="C179" s="140" t="s">
        <v>79</v>
      </c>
      <c r="D179" s="139" t="s">
        <v>82</v>
      </c>
      <c r="E179" s="143"/>
      <c r="F179" s="143" t="s">
        <v>82</v>
      </c>
      <c r="G179" s="143" t="s">
        <v>185</v>
      </c>
      <c r="H179" s="143">
        <v>2</v>
      </c>
      <c r="I179" s="130"/>
      <c r="J179" s="131">
        <f t="shared" si="17"/>
        <v>2</v>
      </c>
    </row>
    <row r="180" spans="1:23" s="1" customFormat="1" ht="18" customHeight="1">
      <c r="A180" s="201">
        <f t="shared" si="18"/>
        <v>7</v>
      </c>
      <c r="B180" s="140" t="s">
        <v>143</v>
      </c>
      <c r="C180" s="140" t="s">
        <v>121</v>
      </c>
      <c r="D180" s="139" t="s">
        <v>103</v>
      </c>
      <c r="E180" s="143"/>
      <c r="F180" s="143" t="s">
        <v>103</v>
      </c>
      <c r="G180" s="143" t="s">
        <v>185</v>
      </c>
      <c r="H180" s="143">
        <v>1</v>
      </c>
      <c r="I180" s="130"/>
      <c r="J180" s="131">
        <f t="shared" si="17"/>
        <v>1</v>
      </c>
    </row>
    <row r="181" spans="1:23" s="1" customFormat="1" ht="18" customHeight="1">
      <c r="A181" s="201">
        <f t="shared" si="18"/>
        <v>8</v>
      </c>
      <c r="B181" s="140" t="s">
        <v>120</v>
      </c>
      <c r="C181" s="140" t="s">
        <v>94</v>
      </c>
      <c r="D181" s="139" t="s">
        <v>96</v>
      </c>
      <c r="E181" s="143"/>
      <c r="F181" s="143" t="s">
        <v>96</v>
      </c>
      <c r="G181" s="143" t="s">
        <v>185</v>
      </c>
      <c r="H181" s="143">
        <v>1</v>
      </c>
      <c r="I181" s="130"/>
      <c r="J181" s="131">
        <f t="shared" si="17"/>
        <v>1</v>
      </c>
    </row>
    <row r="182" spans="1:23" s="1" customFormat="1" ht="18" customHeight="1">
      <c r="A182" s="201">
        <f t="shared" si="18"/>
        <v>9</v>
      </c>
      <c r="B182" s="140" t="s">
        <v>131</v>
      </c>
      <c r="C182" s="140" t="s">
        <v>100</v>
      </c>
      <c r="D182" s="139" t="s">
        <v>102</v>
      </c>
      <c r="E182" s="143"/>
      <c r="F182" s="143" t="s">
        <v>102</v>
      </c>
      <c r="G182" s="143" t="s">
        <v>185</v>
      </c>
      <c r="H182" s="143">
        <v>3</v>
      </c>
      <c r="I182" s="144"/>
      <c r="J182" s="131">
        <f t="shared" si="17"/>
        <v>3</v>
      </c>
    </row>
    <row r="183" spans="1:23" s="1" customFormat="1" ht="18" customHeight="1">
      <c r="A183" s="201">
        <f t="shared" si="18"/>
        <v>10</v>
      </c>
      <c r="B183" s="140" t="s">
        <v>113</v>
      </c>
      <c r="C183" s="140" t="s">
        <v>502</v>
      </c>
      <c r="D183" s="139" t="s">
        <v>83</v>
      </c>
      <c r="E183" s="143"/>
      <c r="F183" s="143" t="s">
        <v>83</v>
      </c>
      <c r="G183" s="143" t="s">
        <v>185</v>
      </c>
      <c r="H183" s="143">
        <v>3</v>
      </c>
      <c r="I183" s="144"/>
      <c r="J183" s="131">
        <f t="shared" si="17"/>
        <v>3</v>
      </c>
      <c r="N183" s="56"/>
      <c r="O183" s="56"/>
      <c r="P183" s="56"/>
      <c r="Q183" s="289"/>
      <c r="R183" s="289"/>
      <c r="S183" s="289"/>
      <c r="T183" s="17"/>
      <c r="U183" s="17"/>
      <c r="V183" s="17"/>
      <c r="W183" s="56"/>
    </row>
    <row r="184" spans="1:23" s="1" customFormat="1" ht="18" customHeight="1">
      <c r="A184" s="201">
        <f t="shared" si="18"/>
        <v>11</v>
      </c>
      <c r="B184" s="140" t="s">
        <v>122</v>
      </c>
      <c r="C184" s="140" t="s">
        <v>101</v>
      </c>
      <c r="D184" s="139" t="s">
        <v>104</v>
      </c>
      <c r="E184" s="143"/>
      <c r="F184" s="143" t="s">
        <v>104</v>
      </c>
      <c r="G184" s="143" t="s">
        <v>185</v>
      </c>
      <c r="H184" s="143">
        <v>1</v>
      </c>
      <c r="I184" s="130"/>
      <c r="J184" s="131">
        <f t="shared" si="17"/>
        <v>1</v>
      </c>
      <c r="N184" s="101" t="s">
        <v>227</v>
      </c>
      <c r="O184" s="246" t="s">
        <v>29</v>
      </c>
      <c r="P184" s="246" t="s">
        <v>3</v>
      </c>
      <c r="Q184" s="246" t="s">
        <v>199</v>
      </c>
      <c r="R184" s="246" t="s">
        <v>5</v>
      </c>
      <c r="S184" s="246" t="s">
        <v>28</v>
      </c>
      <c r="T184" s="246" t="s">
        <v>19</v>
      </c>
      <c r="U184" s="246" t="s">
        <v>200</v>
      </c>
      <c r="V184" s="246" t="s">
        <v>20</v>
      </c>
      <c r="W184" s="246" t="s">
        <v>201</v>
      </c>
    </row>
    <row r="185" spans="1:23" s="1" customFormat="1" ht="18" customHeight="1">
      <c r="A185" s="201">
        <f t="shared" si="18"/>
        <v>12</v>
      </c>
      <c r="B185" s="140" t="s">
        <v>112</v>
      </c>
      <c r="C185" s="140" t="s">
        <v>114</v>
      </c>
      <c r="D185" s="128" t="s">
        <v>520</v>
      </c>
      <c r="E185" s="129"/>
      <c r="F185" s="129" t="s">
        <v>520</v>
      </c>
      <c r="G185" s="143" t="s">
        <v>202</v>
      </c>
      <c r="H185" s="143">
        <v>6</v>
      </c>
      <c r="I185" s="130"/>
      <c r="J185" s="131">
        <f t="shared" si="17"/>
        <v>6</v>
      </c>
      <c r="N185" s="101" t="s">
        <v>240</v>
      </c>
      <c r="O185" s="290" t="s">
        <v>234</v>
      </c>
      <c r="P185" s="290" t="s">
        <v>236</v>
      </c>
      <c r="Q185" s="280" t="s">
        <v>190</v>
      </c>
      <c r="R185" s="213"/>
      <c r="S185" s="213" t="s">
        <v>190</v>
      </c>
      <c r="T185" s="213" t="s">
        <v>198</v>
      </c>
      <c r="U185" s="291">
        <f>((($I$134*$G$134)+($I$136*$G$136)+($I$139*$G$139))/1000)*$J$120</f>
        <v>12.657999999999999</v>
      </c>
      <c r="V185" s="291">
        <v>300</v>
      </c>
      <c r="W185" s="292">
        <f>ROUNDUP((U185)/V185,0)</f>
        <v>1</v>
      </c>
    </row>
    <row r="186" spans="1:23" s="1" customFormat="1" ht="18" customHeight="1">
      <c r="A186" s="201">
        <f t="shared" si="18"/>
        <v>13</v>
      </c>
      <c r="B186" s="140" t="s">
        <v>115</v>
      </c>
      <c r="C186" s="140" t="s">
        <v>45</v>
      </c>
      <c r="D186" s="139" t="s">
        <v>84</v>
      </c>
      <c r="E186" s="143"/>
      <c r="F186" s="143" t="s">
        <v>84</v>
      </c>
      <c r="G186" s="143" t="s">
        <v>202</v>
      </c>
      <c r="H186" s="143">
        <v>1</v>
      </c>
      <c r="I186" s="130"/>
      <c r="J186" s="131">
        <f t="shared" si="17"/>
        <v>1</v>
      </c>
      <c r="N186" s="101" t="s">
        <v>241</v>
      </c>
      <c r="O186" s="290" t="s">
        <v>235</v>
      </c>
      <c r="P186" s="290" t="s">
        <v>238</v>
      </c>
      <c r="Q186" s="280" t="s">
        <v>71</v>
      </c>
      <c r="R186" s="213"/>
      <c r="S186" s="213" t="s">
        <v>71</v>
      </c>
      <c r="T186" s="213" t="s">
        <v>198</v>
      </c>
      <c r="U186" s="291">
        <f>((($I$134*$G$134)+($I$136*$G$136)+($I$139*$G$139))/1000)*$J$120</f>
        <v>12.657999999999999</v>
      </c>
      <c r="V186" s="291">
        <v>100</v>
      </c>
      <c r="W186" s="292">
        <f t="shared" ref="W186:W188" si="19">ROUNDUP((U186)/V186,0)</f>
        <v>1</v>
      </c>
    </row>
    <row r="187" spans="1:23" s="1" customFormat="1" ht="18" customHeight="1">
      <c r="A187" s="201">
        <f t="shared" si="18"/>
        <v>14</v>
      </c>
      <c r="B187" s="140" t="s">
        <v>110</v>
      </c>
      <c r="C187" s="140" t="s">
        <v>66</v>
      </c>
      <c r="D187" s="139" t="s">
        <v>73</v>
      </c>
      <c r="E187" s="143"/>
      <c r="F187" s="143" t="s">
        <v>73</v>
      </c>
      <c r="G187" s="143" t="s">
        <v>202</v>
      </c>
      <c r="H187" s="143">
        <v>3</v>
      </c>
      <c r="I187" s="130"/>
      <c r="J187" s="131">
        <f t="shared" si="17"/>
        <v>3</v>
      </c>
      <c r="N187" s="101" t="s">
        <v>240</v>
      </c>
      <c r="O187" s="290" t="s">
        <v>245</v>
      </c>
      <c r="P187" s="290" t="s">
        <v>237</v>
      </c>
      <c r="Q187" s="280" t="s">
        <v>72</v>
      </c>
      <c r="R187" s="213"/>
      <c r="S187" s="213" t="s">
        <v>72</v>
      </c>
      <c r="T187" s="213" t="s">
        <v>198</v>
      </c>
      <c r="U187" s="291">
        <f>((($I$141*$G$141*2)+($I$143*$G$143*2)+(($I$144*($G$144-1))*2))/1000)*$J$120</f>
        <v>75.662999999999997</v>
      </c>
      <c r="V187" s="291">
        <v>350</v>
      </c>
      <c r="W187" s="292">
        <f t="shared" si="19"/>
        <v>1</v>
      </c>
    </row>
    <row r="188" spans="1:23" s="1" customFormat="1" ht="18" customHeight="1">
      <c r="A188" s="201">
        <f t="shared" si="18"/>
        <v>15</v>
      </c>
      <c r="B188" s="140" t="s">
        <v>512</v>
      </c>
      <c r="C188" s="140" t="s">
        <v>135</v>
      </c>
      <c r="D188" s="139" t="s">
        <v>137</v>
      </c>
      <c r="E188" s="143"/>
      <c r="F188" s="143" t="s">
        <v>137</v>
      </c>
      <c r="G188" s="143" t="s">
        <v>198</v>
      </c>
      <c r="H188" s="261">
        <f>((($I$148*$G$148)+($I$149*$G$149))/1000)*$J$120</f>
        <v>0</v>
      </c>
      <c r="I188" s="258">
        <v>100</v>
      </c>
      <c r="J188" s="267">
        <f>ROUNDUP((H188)/100,0)</f>
        <v>0</v>
      </c>
      <c r="N188" s="101" t="s">
        <v>241</v>
      </c>
      <c r="O188" s="290" t="s">
        <v>246</v>
      </c>
      <c r="P188" s="290" t="s">
        <v>239</v>
      </c>
      <c r="Q188" s="280" t="s">
        <v>193</v>
      </c>
      <c r="R188" s="213"/>
      <c r="S188" s="213" t="s">
        <v>193</v>
      </c>
      <c r="T188" s="213" t="s">
        <v>198</v>
      </c>
      <c r="U188" s="291">
        <f>((($I$141*$G$141*2)+($I$143*$G$143*2)+(($I$144*($G$144-1))*2))/1000)*$J$120</f>
        <v>75.662999999999997</v>
      </c>
      <c r="V188" s="291">
        <v>100</v>
      </c>
      <c r="W188" s="292">
        <f t="shared" si="19"/>
        <v>1</v>
      </c>
    </row>
    <row r="189" spans="1:23" s="1" customFormat="1" ht="18" customHeight="1">
      <c r="A189" s="201">
        <f t="shared" si="18"/>
        <v>16</v>
      </c>
      <c r="B189" s="140" t="s">
        <v>513</v>
      </c>
      <c r="C189" s="140" t="s">
        <v>136</v>
      </c>
      <c r="D189" s="139" t="s">
        <v>138</v>
      </c>
      <c r="E189" s="143"/>
      <c r="F189" s="143" t="s">
        <v>138</v>
      </c>
      <c r="G189" s="143" t="s">
        <v>198</v>
      </c>
      <c r="H189" s="261">
        <f>((($I$144*$G$144)+($I$145*$G$145))/1000)*$J$120</f>
        <v>11.231999999999999</v>
      </c>
      <c r="I189" s="258">
        <v>100</v>
      </c>
      <c r="J189" s="267">
        <f>ROUNDUP((H189)/100,0)</f>
        <v>1</v>
      </c>
    </row>
    <row r="190" spans="1:23" s="1" customFormat="1" ht="18" customHeight="1">
      <c r="A190" s="201">
        <f t="shared" si="18"/>
        <v>17</v>
      </c>
      <c r="B190" s="139" t="str">
        <f t="shared" ref="B190:I190" si="20">IF($D$129="Standard",O185,IF($D$129="Soumdproof",O186,))</f>
        <v>ยางเฟรมกันน้ำ (ธรรมดา)</v>
      </c>
      <c r="C190" s="139" t="str">
        <f t="shared" si="20"/>
        <v>FRAME SEAL (Standard)</v>
      </c>
      <c r="D190" s="139" t="str">
        <f t="shared" si="20"/>
        <v>02-026</v>
      </c>
      <c r="E190" s="139">
        <f t="shared" si="20"/>
        <v>0</v>
      </c>
      <c r="F190" s="143" t="str">
        <f t="shared" si="20"/>
        <v>02-026</v>
      </c>
      <c r="G190" s="143" t="str">
        <f t="shared" si="20"/>
        <v>M</v>
      </c>
      <c r="H190" s="261">
        <f t="shared" si="20"/>
        <v>12.657999999999999</v>
      </c>
      <c r="I190" s="258">
        <f t="shared" si="20"/>
        <v>300</v>
      </c>
      <c r="J190" s="267">
        <f>ROUNDUP((H190)/100,0)</f>
        <v>1</v>
      </c>
    </row>
    <row r="191" spans="1:23" s="1" customFormat="1" ht="18" customHeight="1">
      <c r="A191" s="201">
        <f t="shared" si="18"/>
        <v>18</v>
      </c>
      <c r="B191" s="139" t="str">
        <f t="shared" ref="B191:I191" si="21">IF($D$129="Standard",O187,IF($D$129="Soumdproof",O188,))</f>
        <v>ยางแซชกันน้ำ (ธรรมดา)</v>
      </c>
      <c r="C191" s="139" t="str">
        <f t="shared" si="21"/>
        <v>SASH SEAL FOAM (Standard)</v>
      </c>
      <c r="D191" s="139" t="str">
        <f t="shared" si="21"/>
        <v>02-031</v>
      </c>
      <c r="E191" s="139">
        <f t="shared" si="21"/>
        <v>0</v>
      </c>
      <c r="F191" s="143" t="str">
        <f t="shared" si="21"/>
        <v>02-031</v>
      </c>
      <c r="G191" s="143" t="str">
        <f t="shared" si="21"/>
        <v>M</v>
      </c>
      <c r="H191" s="261">
        <f t="shared" si="21"/>
        <v>75.662999999999997</v>
      </c>
      <c r="I191" s="258">
        <f t="shared" si="21"/>
        <v>350</v>
      </c>
      <c r="J191" s="267">
        <f>ROUNDUP((H191)/100,0)</f>
        <v>1</v>
      </c>
    </row>
    <row r="192" spans="1:23" s="1" customFormat="1" ht="18" customHeight="1">
      <c r="A192" s="201">
        <f t="shared" si="18"/>
        <v>19</v>
      </c>
      <c r="B192" s="241" t="str">
        <f>IF($D$127=5,$O$176,IF($D$127=6,$O$177,IF($D$127=8,$O$178,IF($D$127=10,$O$176,IF($D$127=12,$O$176,IF($D$127=14,$O$178,IF($D$127=18,$O$176,IF($D$127=20,$O$177,IF($D$127=22,"")))))))))</f>
        <v>8,14 mm ยางอัดกระจก</v>
      </c>
      <c r="C192" s="241" t="str">
        <f>IF($D$127=5,$P$176,IF($D$127=6,$P$177,IF($D$127=8,$P$178,IF($D$127=10,$P$176,IF($D$127=12,$P$176,IF($D$127=14,$P$178,IF($D$127=18,$P$176,IF($D$127=20,$P$177,IF($D$127=22,"")))))))))</f>
        <v>8,14 mm ROLL IN WEDGE</v>
      </c>
      <c r="D192" s="241" t="str">
        <f>IF($D$127=5,$Q$176,IF($D$127=6,$Q$177,IF($D$127=8,$Q$178,IF($D$127=10,$Q$176,IF($D$127=12,$Q$176,IF($D$127=14,$Q$178,IF($D$127=18,$Q$176,IF($D$127=20,$Q$177,IF($D$127=22,"")))))))))</f>
        <v>02-045</v>
      </c>
      <c r="E192" s="241">
        <f>IF($D$129=5,R181,IF($D$129=6,R182,IF($D$129=8,R183,IF($D$129=10,R181,IF($D$129=12,R181,IF($D$129=14,R183,IF($D$129=18,R181,IF($D$129=20,R182,IF($D$129=22,"",)))))))))</f>
        <v>0</v>
      </c>
      <c r="F192" s="242" t="str">
        <f>IF($D$127=5,$S$176,IF($D$127=6,$S$177,IF($D$127=8,$S$178,IF($D$127=10,$S$176,IF($D$127=12,$S$176,IF($D$127=14,$S$178,IF($D$127=18,$S$176,IF($D$127=20,$S$177,IF($D$127=22,"")))))))))</f>
        <v>02-045</v>
      </c>
      <c r="G192" s="242" t="str">
        <f>IF($D$127=5,$T$176,IF($D$127=6,$T$177,IF($D$127=8,$T$178,IF($D$127=10,$T$176,IF($D$127=12,$T$176,IF($D$127=14,$T$178,IF($D$127=18,$T$176,IF($D$127=20,$T$177,IF($D$127=22,"")))))))))</f>
        <v>M</v>
      </c>
      <c r="H192" s="261">
        <f>IF($D$127=5,$U$176,IF($D$127=6,$U$177,IF($D$127=8,$U$178,IF($D$127=10,$U$176*2,IF($D$127=12,$U$176,IF($D$127=14,$U$178*2,IF($D$127=18,$U$176,IF($D$127=20,$U$177,IF($D$127=22,"")))))))))</f>
        <v>47.582999999999998</v>
      </c>
      <c r="I192" s="258">
        <f>IF($D$127=5,$V$176,IF($D$127=6,$V$177,IF($D$127=8,$V$178,IF($D$127=10,$V$176,IF($D$127=12,$V$176,IF($D$127=14,$V$178,IF($D$127=18,$V$176,IF($D$127=20,$V$177,IF($D$127=22,"")))))))))</f>
        <v>100</v>
      </c>
      <c r="J192" s="260">
        <f t="shared" ref="J192:J193" si="22">ROUNDUP((H192)/100,0)</f>
        <v>1</v>
      </c>
    </row>
    <row r="193" spans="1:24" s="1" customFormat="1" ht="18" customHeight="1">
      <c r="A193" s="201">
        <f t="shared" si="18"/>
        <v>20</v>
      </c>
      <c r="B193" s="241" t="str">
        <f>IF($D$127=5,$O$174,IF($D$127=6,$O$174,IF($D$127=8,$O$176,IF($D$127=10,"",IF($D$127=12,$O$175,IF($D$127=14,"",IF($D$127=18,$O$174,IF($D$127=20,$O$175,IF($D$127=22,"",)))))))))</f>
        <v>5,8,10,12,18 mmยางอัดกระจก</v>
      </c>
      <c r="C193" s="241" t="str">
        <f>IF($D$127=5,$P$174,IF($D$127=6,$P$174,IF($D$127=8,$P$176,IF($D$127=10,"",IF($D$127=12,$P$175,IF($D$127=14,"",IF($D$127=18,$P$174,IF($D$127=20,$P$175,IF($D$127=22,"",)))))))))</f>
        <v>5,8,10,12,18 mm ROLL IN WEDGE</v>
      </c>
      <c r="D193" s="241" t="str">
        <f>IF($D$127=5,$Q$174,IF($D$127=6,$Q$174,IF($D$127=8,$Q$176,IF($D$127=10,"",IF($D$127=12,$Q$175,IF($D$127=14,"",IF($D$127=18,$Q$174,IF($D$127=20,$Q$175,IF($D$127=22,"",)))))))))</f>
        <v>02-033</v>
      </c>
      <c r="E193" s="241">
        <f>IF($D$129=5,R179,IF($D$129=6,R179,IF($D$129=8,R181,IF($D$129=10,"",IF($D$129=12,R180,IF($D$129=14,"",IF($D$129=18,R179,IF($D$129=20,R180,IF($D$129=22,"",)))))))))</f>
        <v>0</v>
      </c>
      <c r="F193" s="242" t="str">
        <f>IF($D$127=5,$S$174,IF($D$127=6,$S$174,IF($D$127=8,$S$176,IF($D$127=10,"",IF($D$127=12,$S$175,IF($D$127=14,"",IF($D$127=18,$S$174,IF($D$127=20,$S$175,IF($D$127=22,"",)))))))))</f>
        <v>02-033</v>
      </c>
      <c r="G193" s="242" t="str">
        <f>IF($D$127=5,$T$174,IF($D$127=6,$T$174,IF($D$127=8,$T$176,IF($D$127=10,"",IF($D$127=12,$T$175,IF($D$127=14,"",IF($D$127=18,$T$174,IF($D$127=20,$T$175,IF($D$127=22,"",)))))))))</f>
        <v>M</v>
      </c>
      <c r="H193" s="261">
        <f>IF($D$127=5,$U$174,IF($D$127=6,$U$174,IF($D$127=8,$U$176,IF($D$127=10,"",IF($D$127=12,$U$175,IF($D$127=14,"",IF($D$127=18,$U$174,IF($D$127=20,$U$175,IF($D$127=22,"")))))))))</f>
        <v>47.582999999999998</v>
      </c>
      <c r="I193" s="258">
        <f>IF($D$127=5,$V$174,IF($D$127=6,$V$174,IF($D$127=8,$V$176,IF($D$127=10,"",IF($D$127=12,$V$175,IF($D$127=14,"",IF($D$127=18,$V$174,IF($D$127=20,$V$175,IF($D$127=22,"",)))))))))</f>
        <v>100</v>
      </c>
      <c r="J193" s="260">
        <f t="shared" si="22"/>
        <v>1</v>
      </c>
    </row>
    <row r="194" spans="1:24" ht="18" customHeight="1">
      <c r="A194" s="201" t="str">
        <f t="shared" si="18"/>
        <v/>
      </c>
      <c r="B194" s="140"/>
      <c r="C194" s="140"/>
      <c r="D194" s="139"/>
      <c r="E194" s="143"/>
      <c r="F194" s="143"/>
      <c r="G194" s="143"/>
      <c r="H194" s="143"/>
      <c r="I194" s="130"/>
      <c r="J194" s="13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s="1" customFormat="1" ht="18" customHeight="1">
      <c r="A195" s="201" t="str">
        <f t="shared" si="18"/>
        <v/>
      </c>
      <c r="B195" s="140"/>
      <c r="C195" s="140"/>
      <c r="D195" s="139"/>
      <c r="E195" s="143"/>
      <c r="F195" s="143"/>
      <c r="G195" s="143"/>
      <c r="H195" s="143"/>
      <c r="I195" s="130"/>
      <c r="J195" s="131">
        <f t="shared" si="17"/>
        <v>0</v>
      </c>
    </row>
    <row r="196" spans="1:24" s="1" customFormat="1" ht="18" customHeight="1">
      <c r="A196" s="201" t="str">
        <f t="shared" ref="A196:A201" si="23">IF(B196="","",+A195+1)</f>
        <v/>
      </c>
      <c r="B196" s="140"/>
      <c r="C196" s="140"/>
      <c r="D196" s="139"/>
      <c r="E196" s="143"/>
      <c r="F196" s="143"/>
      <c r="G196" s="143"/>
      <c r="H196" s="143"/>
      <c r="I196" s="130"/>
      <c r="J196" s="131">
        <f t="shared" ref="J196:J201" si="24">$J$120*H196</f>
        <v>0</v>
      </c>
    </row>
    <row r="197" spans="1:24" s="1" customFormat="1" ht="18" customHeight="1">
      <c r="A197" s="201" t="str">
        <f t="shared" si="23"/>
        <v/>
      </c>
      <c r="B197" s="140"/>
      <c r="C197" s="140"/>
      <c r="D197" s="139"/>
      <c r="E197" s="143"/>
      <c r="F197" s="143"/>
      <c r="G197" s="143"/>
      <c r="H197" s="143"/>
      <c r="I197" s="130"/>
      <c r="J197" s="131">
        <f t="shared" si="24"/>
        <v>0</v>
      </c>
    </row>
    <row r="198" spans="1:24" s="1" customFormat="1" ht="18" customHeight="1">
      <c r="A198" s="201" t="str">
        <f t="shared" si="23"/>
        <v/>
      </c>
      <c r="B198" s="140"/>
      <c r="C198" s="140"/>
      <c r="D198" s="139"/>
      <c r="E198" s="143"/>
      <c r="F198" s="143"/>
      <c r="G198" s="143"/>
      <c r="H198" s="143"/>
      <c r="I198" s="130"/>
      <c r="J198" s="131">
        <f t="shared" si="24"/>
        <v>0</v>
      </c>
    </row>
    <row r="199" spans="1:24" s="1" customFormat="1" ht="18" customHeight="1">
      <c r="A199" s="201" t="str">
        <f t="shared" si="23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 t="shared" si="24"/>
        <v>0</v>
      </c>
    </row>
    <row r="200" spans="1:24" s="1" customFormat="1" ht="18" customHeight="1">
      <c r="A200" s="201" t="str">
        <f t="shared" si="23"/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si="24"/>
        <v>0</v>
      </c>
    </row>
    <row r="201" spans="1:24" s="1" customFormat="1" ht="18" customHeight="1">
      <c r="A201" s="201" t="str">
        <f t="shared" si="23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si="24"/>
        <v>0</v>
      </c>
    </row>
    <row r="202" spans="1:24" s="1" customFormat="1" ht="18" customHeight="1">
      <c r="A202" s="201" t="str">
        <f t="shared" si="18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si="17"/>
        <v>0</v>
      </c>
    </row>
    <row r="203" spans="1:24" s="1" customFormat="1" ht="18" customHeight="1">
      <c r="A203" s="201" t="str">
        <f t="shared" si="18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si="17"/>
        <v>0</v>
      </c>
    </row>
    <row r="204" spans="1:24" s="1" customFormat="1" ht="18" customHeight="1">
      <c r="A204" s="201" t="str">
        <f t="shared" si="18"/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 t="shared" si="17"/>
        <v>0</v>
      </c>
    </row>
    <row r="205" spans="1:24" s="1" customFormat="1" ht="18" customHeight="1">
      <c r="A205" s="317" t="str">
        <f>IF(B205="","",+#REF!+1)</f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>$J$120*H205</f>
        <v>0</v>
      </c>
    </row>
    <row r="206" spans="1:24" s="1" customFormat="1" ht="18" customHeight="1">
      <c r="A206" s="25"/>
      <c r="B206" s="161"/>
      <c r="C206" s="33"/>
      <c r="D206" s="30"/>
      <c r="E206" s="17"/>
      <c r="F206" s="30"/>
      <c r="G206" s="30"/>
      <c r="H206" s="161"/>
      <c r="I206" s="24"/>
      <c r="J206" s="24"/>
    </row>
    <row r="207" spans="1:24" ht="18" customHeight="1">
      <c r="A207" s="17"/>
      <c r="J207" s="99" t="str">
        <f>LEFT($J$111,11)&amp;"-02"</f>
        <v>FG-240-7P7R-02</v>
      </c>
    </row>
    <row r="208" spans="1:24" ht="12.75" customHeight="1">
      <c r="B208" s="56"/>
      <c r="C208" s="56"/>
      <c r="D208" s="30"/>
      <c r="E208" s="17"/>
      <c r="F208" s="17"/>
      <c r="G208" s="17"/>
      <c r="H208" s="17"/>
      <c r="K208" s="7"/>
      <c r="L208" s="7"/>
      <c r="M208" s="2"/>
      <c r="N208" s="2"/>
    </row>
    <row r="209" spans="1:14" ht="30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279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279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/>
      <c r="C215"/>
      <c r="D215" s="81"/>
      <c r="E215"/>
      <c r="F215"/>
      <c r="G215"/>
      <c r="H215"/>
      <c r="I215" s="160"/>
      <c r="J215" s="116"/>
    </row>
    <row r="216" spans="1:14" s="1" customFormat="1" ht="15" customHeight="1">
      <c r="A216" s="17"/>
      <c r="B216" s="93"/>
      <c r="C216" s="56"/>
      <c r="D216" s="30"/>
      <c r="E216" s="29"/>
      <c r="F216" s="160"/>
      <c r="G216" s="160"/>
      <c r="H216" s="16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s="1" customFormat="1" ht="15.6">
      <c r="A218" s="109"/>
      <c r="B218" s="33"/>
      <c r="C218" s="437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378</v>
      </c>
      <c r="D220" s="30"/>
      <c r="E220" s="29"/>
      <c r="F220" s="30"/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89"/>
      <c r="J221" s="12"/>
    </row>
    <row r="222" spans="1:14" s="1" customFormat="1" ht="15" customHeight="1">
      <c r="A222" s="109"/>
      <c r="B222" s="33"/>
      <c r="C222" s="437" t="s">
        <v>273</v>
      </c>
      <c r="D222" s="161"/>
      <c r="E222" s="109"/>
      <c r="F222" s="161"/>
      <c r="J222" s="12"/>
    </row>
    <row r="223" spans="1:14" s="1" customFormat="1" ht="15" customHeight="1">
      <c r="A223" s="109"/>
      <c r="B223" s="33"/>
      <c r="C223" s="374">
        <f>$I$133</f>
        <v>4940</v>
      </c>
      <c r="D223" s="161"/>
      <c r="E223" s="35"/>
      <c r="F223" s="161"/>
      <c r="G223" s="68"/>
      <c r="J223" s="12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436"/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436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437"/>
      <c r="D229" s="161"/>
      <c r="E229" s="109"/>
      <c r="F229" s="161"/>
      <c r="H229" s="109"/>
      <c r="I229" s="328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328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328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328"/>
      <c r="J232" s="117"/>
    </row>
    <row r="233" spans="1:10" s="1" customFormat="1" ht="15.9" customHeight="1">
      <c r="A233" s="44"/>
      <c r="B233" s="44"/>
      <c r="C233" s="89" t="s">
        <v>369</v>
      </c>
      <c r="D233" s="84"/>
      <c r="E233" s="44"/>
      <c r="F233" s="44"/>
      <c r="G233" s="109"/>
      <c r="H233" s="109"/>
      <c r="I233" s="328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7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4914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328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328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109"/>
      <c r="J242" s="24"/>
    </row>
    <row r="243" spans="1:10" s="1" customFormat="1" ht="15.9" customHeight="1">
      <c r="A243" s="109"/>
      <c r="B243" s="33"/>
      <c r="C243" s="89" t="s">
        <v>370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.9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" customHeight="1">
      <c r="A245" s="109"/>
      <c r="B245" s="33"/>
      <c r="C245" s="437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4940</v>
      </c>
      <c r="D246" s="161"/>
      <c r="E246" s="109"/>
      <c r="F246" s="161"/>
      <c r="G246" s="109"/>
      <c r="H246" s="109"/>
      <c r="I246" s="44"/>
      <c r="J246" s="119"/>
    </row>
    <row r="247" spans="1:10" s="1" customFormat="1" ht="15.9" customHeight="1">
      <c r="A247" s="109"/>
      <c r="B247" s="33"/>
      <c r="C247" s="363">
        <f>$J$135</f>
        <v>1</v>
      </c>
      <c r="D247" s="161"/>
      <c r="E247" s="109"/>
      <c r="F247" s="161"/>
      <c r="G247" s="109"/>
      <c r="H247" s="109"/>
      <c r="I247" s="32"/>
      <c r="J247" s="40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0"/>
      <c r="H251" s="109"/>
      <c r="I251" s="24"/>
      <c r="J251" s="24"/>
    </row>
    <row r="252" spans="1:10" s="1" customFormat="1" ht="15.9" customHeight="1">
      <c r="A252" s="109"/>
      <c r="B252" s="33"/>
      <c r="C252" s="33"/>
      <c r="D252" s="161"/>
      <c r="E252" s="109"/>
      <c r="F252" s="109"/>
      <c r="G252" s="40"/>
      <c r="H252" s="109"/>
      <c r="I252" s="24"/>
      <c r="J252" s="24"/>
    </row>
    <row r="253" spans="1:10" s="1" customFormat="1" ht="15.9" customHeight="1">
      <c r="A253" s="109"/>
      <c r="B253" s="33"/>
      <c r="D253" s="161"/>
      <c r="E253" s="109"/>
      <c r="F253" s="109"/>
      <c r="G253" s="109"/>
      <c r="H253" s="109"/>
      <c r="I253" s="24"/>
      <c r="J253" s="24"/>
    </row>
    <row r="254" spans="1:10" s="1" customFormat="1" ht="15.9" customHeight="1">
      <c r="A254" s="44"/>
      <c r="B254" s="44"/>
      <c r="D254" s="84"/>
      <c r="E254" s="44"/>
      <c r="F254" s="44"/>
      <c r="G254" s="109"/>
      <c r="H254" s="109"/>
      <c r="I254" s="24"/>
      <c r="J254" s="24"/>
    </row>
    <row r="255" spans="1:10" s="1" customFormat="1" ht="15.9" customHeight="1">
      <c r="A255" s="40"/>
      <c r="B255" s="40"/>
      <c r="C255" s="89" t="s">
        <v>371</v>
      </c>
      <c r="D255" s="85"/>
      <c r="E255" s="40"/>
      <c r="F255" s="32"/>
      <c r="G255" s="109"/>
      <c r="I255" s="24"/>
      <c r="J255" s="24"/>
    </row>
    <row r="256" spans="1:10" s="1" customFormat="1" ht="15.9" customHeight="1">
      <c r="A256" s="27"/>
      <c r="B256" s="33"/>
      <c r="C256" s="328" t="s">
        <v>275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437" t="s">
        <v>273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74">
        <f>$I$136</f>
        <v>4940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63">
        <f>$J$136</f>
        <v>1</v>
      </c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33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46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161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33"/>
      <c r="D264" s="161"/>
      <c r="E264" s="109"/>
      <c r="F264" s="109"/>
      <c r="G264" s="109"/>
      <c r="I264" s="24"/>
      <c r="J264" s="24"/>
    </row>
    <row r="265" spans="1:10" s="1" customFormat="1" ht="15.9" customHeight="1">
      <c r="A265" s="27"/>
      <c r="B265" s="33"/>
      <c r="C265" s="89" t="s">
        <v>373</v>
      </c>
      <c r="D265" s="161"/>
      <c r="E265" s="109"/>
      <c r="F265" s="109"/>
      <c r="G265" s="109"/>
      <c r="H265" s="109"/>
      <c r="I265" s="24"/>
      <c r="J265" s="24"/>
    </row>
    <row r="266" spans="1:10" s="1" customFormat="1" ht="15.9" customHeight="1">
      <c r="A266" s="27"/>
      <c r="B266" s="33"/>
      <c r="C266" s="328" t="s">
        <v>379</v>
      </c>
      <c r="D266" s="328"/>
      <c r="E266" s="328"/>
      <c r="F266" s="109"/>
      <c r="G266" s="109"/>
      <c r="H266" s="109"/>
      <c r="I266" s="24"/>
      <c r="J266" s="24"/>
    </row>
    <row r="267" spans="1:10" s="1" customFormat="1" ht="15.9" customHeight="1">
      <c r="A267" s="27"/>
      <c r="B267" s="33"/>
      <c r="C267" s="437" t="s">
        <v>279</v>
      </c>
      <c r="D267" s="437"/>
      <c r="E267" s="437"/>
      <c r="F267" s="109"/>
      <c r="G267" s="109"/>
      <c r="H267" s="109"/>
      <c r="J267" s="12"/>
    </row>
    <row r="268" spans="1:10" s="1" customFormat="1" ht="15.9" customHeight="1">
      <c r="A268" s="27"/>
      <c r="B268" s="33"/>
      <c r="C268" s="374">
        <f>$I$137</f>
        <v>2900</v>
      </c>
      <c r="D268" s="161"/>
      <c r="E268" s="109"/>
      <c r="F268" s="109"/>
      <c r="G268" s="33"/>
      <c r="H268" s="33"/>
      <c r="J268" s="12"/>
    </row>
    <row r="269" spans="1:10" s="1" customFormat="1" ht="15.9" customHeight="1">
      <c r="A269" s="27"/>
      <c r="B269" s="33"/>
      <c r="C269" s="363">
        <f>$J$137+$J$138</f>
        <v>2</v>
      </c>
      <c r="D269" s="161"/>
      <c r="E269" s="10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B271" s="33"/>
      <c r="D271" s="89"/>
      <c r="E271" s="89"/>
      <c r="F271" s="109"/>
      <c r="G271" s="109"/>
      <c r="H271" s="109"/>
      <c r="J271" s="12"/>
    </row>
    <row r="272" spans="1:10" s="1" customFormat="1" ht="15.9" customHeight="1">
      <c r="A272" s="27"/>
      <c r="D272" s="328"/>
      <c r="E272" s="328"/>
      <c r="F272" s="109"/>
      <c r="G272" s="109"/>
      <c r="H272" s="109"/>
      <c r="J272" s="12"/>
    </row>
    <row r="273" spans="1:10" s="1" customFormat="1" ht="15.9" customHeight="1">
      <c r="A273" s="27"/>
      <c r="D273" s="328"/>
      <c r="E273" s="328"/>
      <c r="F273" s="109"/>
      <c r="G273" s="109"/>
      <c r="H273" s="109"/>
      <c r="J273" s="12"/>
    </row>
    <row r="274" spans="1:10" s="1" customFormat="1" ht="15.9" customHeight="1">
      <c r="A274" s="27"/>
      <c r="B274" s="33"/>
      <c r="D274" s="328"/>
      <c r="E274" s="328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33"/>
      <c r="D275" s="161"/>
      <c r="E275" s="109"/>
      <c r="F275" s="109"/>
      <c r="G275" s="109"/>
      <c r="I275" s="24"/>
      <c r="J275" s="24"/>
    </row>
    <row r="276" spans="1:10" s="1" customFormat="1" ht="15.9" customHeight="1">
      <c r="A276" s="27"/>
      <c r="B276" s="33"/>
      <c r="C276" s="89" t="s">
        <v>374</v>
      </c>
      <c r="D276" s="162"/>
      <c r="E276" s="24"/>
      <c r="F276" s="109"/>
      <c r="G276" s="109"/>
      <c r="I276" s="24"/>
      <c r="J276" s="24"/>
    </row>
    <row r="277" spans="1:10" s="1" customFormat="1" ht="15.9" customHeight="1">
      <c r="A277" s="27"/>
      <c r="B277" s="33"/>
      <c r="C277" s="328" t="s">
        <v>649</v>
      </c>
      <c r="D277" s="328"/>
      <c r="E277" s="328"/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437" t="s">
        <v>650</v>
      </c>
      <c r="D278" s="437"/>
      <c r="E278" s="437"/>
      <c r="F278" s="109"/>
      <c r="G278" s="109"/>
      <c r="I278" s="109"/>
      <c r="J278" s="24"/>
    </row>
    <row r="279" spans="1:10" s="1" customFormat="1" ht="15.9" customHeight="1">
      <c r="A279" s="27"/>
      <c r="B279" s="33"/>
      <c r="C279" s="374">
        <f>$I$139</f>
        <v>2804</v>
      </c>
      <c r="F279" s="109"/>
      <c r="G279" s="109"/>
      <c r="I279" s="109"/>
      <c r="J279" s="24"/>
    </row>
    <row r="280" spans="1:10" s="1" customFormat="1" ht="15.9" customHeight="1">
      <c r="A280" s="27"/>
      <c r="B280" s="33"/>
      <c r="C280" s="363">
        <f>$J$139+$J$140</f>
        <v>2</v>
      </c>
      <c r="F280" s="109"/>
      <c r="G280" s="109"/>
      <c r="I280" s="109"/>
      <c r="J280" s="24"/>
    </row>
    <row r="281" spans="1:10" s="1" customFormat="1" ht="15.9" customHeight="1">
      <c r="A281" s="27"/>
      <c r="B281" s="33"/>
      <c r="F281" s="109"/>
      <c r="G281" s="109"/>
      <c r="H281" s="109"/>
      <c r="J281" s="12"/>
    </row>
    <row r="282" spans="1:10" s="1" customFormat="1" ht="15.9" customHeight="1">
      <c r="A282" s="27"/>
      <c r="B282" s="33"/>
      <c r="C282" s="33"/>
      <c r="D282" s="161"/>
      <c r="E282" s="109"/>
      <c r="F282" s="109"/>
      <c r="G282" s="109"/>
      <c r="H282" s="109"/>
      <c r="J282" s="12"/>
    </row>
    <row r="283" spans="1:10" s="1" customFormat="1" ht="15.9" customHeight="1">
      <c r="A283" s="27"/>
      <c r="B283" s="33"/>
      <c r="F283" s="109"/>
      <c r="G283" s="109"/>
      <c r="H283" s="109"/>
      <c r="J283" s="12"/>
    </row>
    <row r="284" spans="1:10" s="1" customFormat="1" ht="15.9" customHeight="1">
      <c r="A284" s="27"/>
      <c r="B284" s="33"/>
      <c r="F284" s="109"/>
      <c r="G284" s="109"/>
      <c r="H284" s="109"/>
      <c r="I284" s="162"/>
      <c r="J284" s="24"/>
    </row>
    <row r="285" spans="1:10" s="1" customFormat="1" ht="15.9" customHeight="1">
      <c r="A285" s="27"/>
      <c r="B285" s="33"/>
      <c r="C285" s="89" t="s">
        <v>375</v>
      </c>
      <c r="F285" s="109"/>
      <c r="G285" s="109"/>
      <c r="H285" s="109"/>
      <c r="I285" s="109"/>
      <c r="J285" s="24"/>
    </row>
    <row r="286" spans="1:10" s="1" customFormat="1" ht="15.9" customHeight="1">
      <c r="A286" s="27"/>
      <c r="B286" s="33"/>
      <c r="C286" s="94" t="s">
        <v>444</v>
      </c>
      <c r="D286" s="161"/>
      <c r="E286" s="109"/>
      <c r="F286" s="109"/>
      <c r="G286" s="109"/>
      <c r="H286" s="109"/>
      <c r="I286" s="24"/>
      <c r="J286" s="24"/>
    </row>
    <row r="287" spans="1:10" s="1" customFormat="1" ht="15.9" customHeight="1">
      <c r="A287" s="27"/>
      <c r="B287" s="33"/>
      <c r="C287" s="437" t="s">
        <v>445</v>
      </c>
      <c r="D287" s="161"/>
      <c r="E287" s="109"/>
      <c r="F287" s="109"/>
      <c r="G287" s="109"/>
      <c r="H287" s="109"/>
      <c r="I287" s="24"/>
      <c r="J287" s="24"/>
    </row>
    <row r="288" spans="1:10" s="1" customFormat="1" ht="15.9" customHeight="1">
      <c r="A288" s="27"/>
      <c r="B288" s="33"/>
      <c r="C288" s="328" t="s">
        <v>281</v>
      </c>
      <c r="D288" s="328"/>
      <c r="E288" s="328"/>
      <c r="F288" s="109"/>
      <c r="G288" s="109"/>
      <c r="I288" s="24"/>
      <c r="J288" s="24"/>
    </row>
    <row r="289" spans="1:10" s="23" customFormat="1" ht="15.9" customHeight="1">
      <c r="A289" s="27"/>
      <c r="B289" s="33"/>
      <c r="C289" s="437" t="s">
        <v>282</v>
      </c>
      <c r="D289" s="437"/>
      <c r="E289" s="437"/>
      <c r="F289" s="109"/>
      <c r="G289" s="109"/>
      <c r="H289" s="1"/>
      <c r="I289" s="109"/>
      <c r="J289" s="109"/>
    </row>
    <row r="290" spans="1:10" s="1" customFormat="1" ht="15.9" customHeight="1">
      <c r="A290" s="27"/>
      <c r="B290" s="33"/>
      <c r="C290" s="374">
        <f>$I$141</f>
        <v>590.78571428571433</v>
      </c>
      <c r="F290" s="109"/>
      <c r="G290" s="109"/>
      <c r="I290" s="44"/>
      <c r="J290" s="119"/>
    </row>
    <row r="291" spans="1:10" s="1" customFormat="1" ht="15.9" customHeight="1">
      <c r="A291" s="27"/>
      <c r="B291" s="33"/>
      <c r="C291" s="363">
        <f>$J$141+$J$142</f>
        <v>14</v>
      </c>
      <c r="D291" s="161"/>
      <c r="E291" s="109"/>
      <c r="F291" s="109"/>
      <c r="G291" s="109"/>
      <c r="H291" s="161"/>
      <c r="I291" s="32"/>
      <c r="J291" s="40"/>
    </row>
    <row r="292" spans="1:10" s="1" customFormat="1" ht="15.9" customHeight="1">
      <c r="A292" s="27"/>
      <c r="B292" s="33"/>
      <c r="C292" s="374">
        <f>$I$143</f>
        <v>2808</v>
      </c>
      <c r="D292" s="161"/>
      <c r="E292" s="109"/>
      <c r="F292" s="109"/>
      <c r="G292" s="109"/>
      <c r="H292" s="109"/>
      <c r="I292" s="24"/>
      <c r="J292" s="24"/>
    </row>
    <row r="293" spans="1:10" s="1" customFormat="1" ht="15.9" customHeight="1">
      <c r="A293" s="27"/>
      <c r="B293" s="33"/>
      <c r="C293" s="363">
        <f>$J$143+$J$144+$J$145</f>
        <v>14</v>
      </c>
      <c r="D293" s="161"/>
      <c r="E293" s="109"/>
      <c r="F293" s="109"/>
      <c r="G293" s="109"/>
      <c r="H293" s="109"/>
      <c r="I293" s="24"/>
      <c r="J293" s="24"/>
    </row>
    <row r="294" spans="1:10" s="1" customFormat="1" ht="15.9" customHeight="1">
      <c r="A294" s="27"/>
      <c r="B294" s="33"/>
      <c r="D294" s="161"/>
      <c r="E294" s="109"/>
      <c r="F294" s="109"/>
      <c r="G294" s="109"/>
      <c r="H294" s="109"/>
      <c r="I294" s="24"/>
      <c r="J294" s="24"/>
    </row>
    <row r="295" spans="1:10" s="1" customFormat="1" ht="15.9" customHeight="1">
      <c r="A295" s="27"/>
      <c r="B295" s="33"/>
      <c r="C295" s="33"/>
      <c r="D295" s="161"/>
      <c r="E295" s="109"/>
      <c r="F295" s="109"/>
      <c r="G295" s="109"/>
      <c r="H295" s="109"/>
      <c r="I295" s="109"/>
      <c r="J295" s="24"/>
    </row>
    <row r="296" spans="1:10" s="1" customFormat="1" ht="15.9" customHeight="1">
      <c r="A296" s="27"/>
      <c r="B296" s="33"/>
      <c r="C296" s="23"/>
      <c r="D296" s="161"/>
      <c r="E296" s="109"/>
      <c r="F296" s="109"/>
      <c r="G296" s="109"/>
      <c r="H296" s="109"/>
      <c r="I296" s="109"/>
      <c r="J296" s="24"/>
    </row>
    <row r="297" spans="1:10" s="1" customFormat="1" ht="15.9" customHeight="1">
      <c r="A297" s="27"/>
      <c r="B297" s="33"/>
      <c r="C297" s="89" t="s">
        <v>376</v>
      </c>
      <c r="D297" s="161"/>
      <c r="E297" s="109"/>
      <c r="F297" s="109"/>
      <c r="G297" s="109"/>
      <c r="H297" s="109"/>
      <c r="I297" s="109"/>
      <c r="J297" s="24"/>
    </row>
    <row r="298" spans="1:10" s="1" customFormat="1" ht="15.9" customHeight="1">
      <c r="A298" s="27"/>
      <c r="B298" s="33"/>
      <c r="C298" s="94" t="s">
        <v>444</v>
      </c>
      <c r="D298" s="161"/>
      <c r="E298" s="109"/>
      <c r="F298" s="109"/>
      <c r="G298" s="44"/>
      <c r="H298" s="44"/>
      <c r="I298" s="109"/>
      <c r="J298" s="24"/>
    </row>
    <row r="299" spans="1:10" s="1" customFormat="1" ht="15.9" customHeight="1">
      <c r="A299" s="27"/>
      <c r="B299" s="33"/>
      <c r="C299" s="437" t="s">
        <v>445</v>
      </c>
      <c r="D299" s="328"/>
      <c r="E299" s="328"/>
      <c r="F299" s="109"/>
      <c r="G299" s="40"/>
      <c r="H299" s="32"/>
      <c r="I299" s="109"/>
      <c r="J299" s="24"/>
    </row>
    <row r="300" spans="1:10" s="1" customFormat="1" ht="15.9" customHeight="1">
      <c r="A300" s="41"/>
      <c r="B300" s="33"/>
      <c r="C300" s="328" t="s">
        <v>286</v>
      </c>
      <c r="D300" s="437"/>
      <c r="E300" s="437"/>
      <c r="F300" s="109"/>
      <c r="G300" s="109"/>
      <c r="H300" s="109"/>
      <c r="I300" s="109"/>
      <c r="J300" s="24"/>
    </row>
    <row r="301" spans="1:10" s="1" customFormat="1" ht="15.9" customHeight="1">
      <c r="A301" s="44"/>
      <c r="B301" s="44"/>
      <c r="C301" s="437" t="s">
        <v>285</v>
      </c>
      <c r="D301" s="86"/>
      <c r="E301" s="79"/>
      <c r="F301" s="44"/>
      <c r="G301" s="109"/>
      <c r="H301" s="109"/>
      <c r="I301" s="109"/>
      <c r="J301" s="24"/>
    </row>
    <row r="302" spans="1:10" s="1" customFormat="1" ht="15.9" customHeight="1">
      <c r="A302" s="40"/>
      <c r="B302" s="40"/>
      <c r="C302" s="374">
        <f>$I$146</f>
        <v>590.78571428571433</v>
      </c>
      <c r="D302" s="87"/>
      <c r="E302" s="80"/>
      <c r="F302" s="32"/>
      <c r="G302" s="109"/>
      <c r="H302" s="109"/>
      <c r="I302" s="109"/>
      <c r="J302" s="24"/>
    </row>
    <row r="303" spans="1:10" s="1" customFormat="1" ht="15.9" customHeight="1">
      <c r="A303" s="109"/>
      <c r="B303" s="33"/>
      <c r="C303" s="363">
        <f>$J$146</f>
        <v>14</v>
      </c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C304" s="374">
        <f>$I$147</f>
        <v>2658</v>
      </c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C305" s="363">
        <f>$J$147</f>
        <v>14</v>
      </c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D306" s="15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89"/>
      <c r="D307" s="161"/>
      <c r="E307" s="109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328"/>
      <c r="D308" s="328"/>
      <c r="E308" s="328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542"/>
      <c r="D309" s="542"/>
      <c r="E309" s="542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74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C311" s="363"/>
      <c r="D311" s="328"/>
      <c r="E311" s="328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33"/>
      <c r="D314" s="162"/>
      <c r="E314" s="24"/>
      <c r="F314" s="109"/>
      <c r="G314" s="109"/>
      <c r="H314" s="109"/>
      <c r="I314" s="27"/>
      <c r="J314" s="99" t="str">
        <f>LEFT($J$111,11)&amp;"-03"</f>
        <v>FG-240-7P7R-03</v>
      </c>
    </row>
    <row r="315" spans="1:14" ht="12.75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30" customHeight="1">
      <c r="A316" s="17"/>
      <c r="B316" s="26"/>
      <c r="C316" s="26"/>
      <c r="D316" s="83"/>
      <c r="E316" s="25"/>
      <c r="F316" s="25"/>
      <c r="G316" s="25"/>
      <c r="H316" s="25"/>
      <c r="I316" s="179"/>
      <c r="J316" s="90" t="str">
        <f>$J$2</f>
        <v>HOMELIFE</v>
      </c>
    </row>
    <row r="317" spans="1:14" ht="24.9" customHeight="1">
      <c r="B317" s="279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279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s="1" customFormat="1" ht="15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  <c r="K320" s="4"/>
      <c r="L320" s="4"/>
      <c r="M320" s="4"/>
      <c r="N320" s="4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436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436"/>
      <c r="I331" s="161"/>
      <c r="J331" s="109"/>
    </row>
    <row r="332" spans="1:10" s="1" customFormat="1" ht="15" customHeight="1">
      <c r="A332" s="64" t="str">
        <f>A18</f>
        <v>240-7 Panel (7R)</v>
      </c>
      <c r="B332" s="92"/>
      <c r="C332" s="161"/>
      <c r="D332" s="161"/>
      <c r="E332" s="109"/>
      <c r="F332" s="436"/>
      <c r="G332" s="436"/>
      <c r="H332" s="436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92"/>
      <c r="C333" s="161"/>
      <c r="D333" s="161"/>
      <c r="E333" s="109"/>
      <c r="F333" s="436"/>
      <c r="G333" s="436"/>
      <c r="H333" s="436"/>
      <c r="I333" s="109"/>
      <c r="J333" s="109"/>
    </row>
    <row r="334" spans="1:10" s="1" customFormat="1" ht="15.9" customHeight="1">
      <c r="A334" s="109"/>
      <c r="B334" s="45"/>
      <c r="C334" s="42"/>
      <c r="D334" s="161"/>
      <c r="E334" s="109"/>
      <c r="F334" s="507"/>
      <c r="G334" s="507"/>
      <c r="H334" s="436"/>
      <c r="I334" s="109"/>
      <c r="J334" s="109"/>
    </row>
    <row r="335" spans="1:10" s="1" customFormat="1" ht="15.9" customHeight="1">
      <c r="A335" s="39"/>
      <c r="B335" s="109"/>
      <c r="C335" s="161"/>
      <c r="D335" s="161"/>
      <c r="E335" s="109"/>
      <c r="F335" s="37"/>
      <c r="G335" s="38"/>
      <c r="H335" s="109"/>
      <c r="I335" s="109"/>
      <c r="J335" s="109"/>
    </row>
    <row r="336" spans="1:10" s="1" customFormat="1" ht="15.9" customHeight="1">
      <c r="A336" s="44"/>
      <c r="C336" s="43"/>
      <c r="D336" s="161"/>
      <c r="E336" s="109"/>
      <c r="F336" s="109"/>
      <c r="G336" s="109"/>
      <c r="H336" s="109"/>
      <c r="I336" s="44"/>
      <c r="J336" s="119"/>
    </row>
    <row r="337" spans="1:10" s="1" customFormat="1" ht="15.9" customHeight="1">
      <c r="A337" s="40"/>
      <c r="C337" s="44"/>
      <c r="D337" s="84"/>
      <c r="E337" s="44"/>
      <c r="F337" s="44"/>
      <c r="G337" s="44"/>
      <c r="H337" s="44"/>
      <c r="I337" s="32"/>
      <c r="J337" s="40"/>
    </row>
    <row r="338" spans="1:10" s="1" customFormat="1" ht="15.9" customHeight="1">
      <c r="A338" s="109"/>
      <c r="C338" s="161"/>
      <c r="D338" s="85"/>
      <c r="E338" s="40"/>
      <c r="F338" s="32"/>
      <c r="G338" s="40"/>
      <c r="H338" s="32"/>
      <c r="I338" s="24"/>
      <c r="J338" s="24"/>
    </row>
    <row r="339" spans="1:10" s="1" customFormat="1" ht="15.9" customHeight="1">
      <c r="A339" s="109"/>
      <c r="C339" s="163"/>
      <c r="D339" s="161"/>
      <c r="E339" s="109"/>
      <c r="F339" s="161"/>
      <c r="G339" s="109"/>
      <c r="H339" s="109"/>
      <c r="I339" s="24"/>
      <c r="J339" s="24"/>
    </row>
    <row r="340" spans="1:10" s="1" customFormat="1" ht="15.9" customHeight="1">
      <c r="A340" s="109"/>
      <c r="B340" s="33"/>
      <c r="C340" s="161"/>
      <c r="D340" s="161"/>
      <c r="E340" s="109"/>
      <c r="F340" s="161"/>
      <c r="G340" s="109"/>
      <c r="H340" s="109"/>
      <c r="I340" s="162"/>
      <c r="J340" s="162"/>
    </row>
    <row r="341" spans="1:10" s="1" customFormat="1" ht="15.9" customHeight="1">
      <c r="A341" s="109"/>
      <c r="B341" s="33"/>
      <c r="C341" s="44"/>
      <c r="D341" s="161"/>
      <c r="E341" s="109"/>
      <c r="F341" s="161"/>
      <c r="G341" s="109"/>
      <c r="H341" s="162"/>
      <c r="I341" s="161"/>
      <c r="J341" s="161"/>
    </row>
    <row r="342" spans="1:10" s="1" customFormat="1" ht="15.9" customHeight="1">
      <c r="A342" s="109"/>
      <c r="B342" s="33"/>
      <c r="C342" s="42"/>
      <c r="D342" s="161"/>
      <c r="E342" s="109"/>
      <c r="F342" s="161"/>
      <c r="G342" s="109"/>
      <c r="H342" s="161"/>
      <c r="I342" s="161"/>
      <c r="J342" s="161"/>
    </row>
    <row r="343" spans="1:10" s="1" customFormat="1" ht="15.9" customHeight="1">
      <c r="A343" s="109"/>
      <c r="B343" s="33"/>
      <c r="C343" s="163"/>
      <c r="D343" s="161"/>
      <c r="E343" s="109"/>
      <c r="F343" s="161"/>
      <c r="G343" s="109"/>
      <c r="H343" s="161"/>
      <c r="I343" s="109"/>
      <c r="J343" s="24"/>
    </row>
    <row r="344" spans="1:10" s="1" customFormat="1" ht="15.9" customHeight="1">
      <c r="A344" s="109"/>
      <c r="B344" s="33"/>
      <c r="C344" s="161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44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3"/>
      <c r="D350" s="161"/>
      <c r="E350" s="109"/>
      <c r="F350" s="161"/>
      <c r="G350" s="109"/>
      <c r="H350" s="109"/>
      <c r="I350" s="109"/>
      <c r="J350" s="24"/>
    </row>
    <row r="351" spans="1:10" s="1" customFormat="1" ht="15.9" customHeight="1">
      <c r="A351" s="109"/>
      <c r="B351" s="33"/>
      <c r="C351" s="161"/>
      <c r="D351" s="161"/>
      <c r="E351" s="109"/>
      <c r="F351" s="161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1" customFormat="1" ht="15" customHeight="1">
      <c r="A353" s="109"/>
      <c r="B353" s="33"/>
      <c r="C353" s="33"/>
      <c r="D353" s="161"/>
      <c r="E353" s="109"/>
      <c r="F353" s="109"/>
      <c r="G353" s="109"/>
      <c r="H353" s="107"/>
      <c r="I353" s="24"/>
      <c r="J353" s="24"/>
    </row>
    <row r="354" spans="1:10" s="23" customFormat="1" ht="15.9" customHeight="1">
      <c r="A354" s="109"/>
      <c r="B354" s="33"/>
      <c r="C354" s="33"/>
      <c r="D354" s="161"/>
      <c r="E354" s="109"/>
      <c r="F354" s="109"/>
      <c r="G354" s="109"/>
      <c r="H354" s="109"/>
      <c r="I354" s="109"/>
      <c r="J354" s="109"/>
    </row>
    <row r="355" spans="1:10" s="1" customFormat="1" ht="15.9" customHeight="1">
      <c r="A355" s="44"/>
      <c r="B355" s="33"/>
      <c r="C355" s="33"/>
      <c r="D355" s="161"/>
      <c r="E355" s="109"/>
      <c r="F355" s="109"/>
      <c r="G355" s="109"/>
      <c r="H355" s="109"/>
      <c r="I355" s="44"/>
      <c r="J355" s="119"/>
    </row>
    <row r="356" spans="1:10" s="1" customFormat="1" ht="15.9" customHeight="1">
      <c r="A356" s="40"/>
      <c r="B356" s="44"/>
      <c r="C356" s="44"/>
      <c r="D356" s="84"/>
      <c r="E356" s="44"/>
      <c r="F356" s="44"/>
      <c r="G356" s="44"/>
      <c r="H356" s="44"/>
      <c r="I356" s="32"/>
      <c r="J356" s="40"/>
    </row>
    <row r="357" spans="1:10" s="1" customFormat="1" ht="15.9" customHeight="1">
      <c r="A357" s="27"/>
      <c r="B357" s="40"/>
      <c r="C357" s="44"/>
      <c r="D357" s="85"/>
      <c r="E357" s="40"/>
      <c r="F357" s="32"/>
      <c r="G357" s="40"/>
      <c r="H357" s="32"/>
      <c r="I357" s="24"/>
      <c r="J357" s="24"/>
    </row>
    <row r="358" spans="1:10" s="1" customFormat="1" ht="15.9" customHeight="1">
      <c r="A358" s="27"/>
      <c r="B358" s="33"/>
      <c r="C358" s="42"/>
      <c r="D358" s="161"/>
      <c r="E358" s="109"/>
      <c r="F358" s="109"/>
      <c r="G358" s="109"/>
      <c r="H358" s="42"/>
      <c r="I358" s="163"/>
      <c r="J358" s="163"/>
    </row>
    <row r="359" spans="1:10" s="1" customFormat="1" ht="15.9" customHeight="1">
      <c r="A359" s="27"/>
      <c r="B359" s="33"/>
      <c r="C359" s="163"/>
      <c r="D359" s="161"/>
      <c r="E359" s="109"/>
      <c r="F359" s="109"/>
      <c r="G359" s="109"/>
      <c r="H359" s="163"/>
      <c r="I359" s="161"/>
      <c r="J359" s="161"/>
    </row>
    <row r="360" spans="1:10" s="1" customFormat="1" ht="15.9" customHeight="1">
      <c r="A360" s="27"/>
      <c r="B360" s="33"/>
      <c r="C360" s="161"/>
      <c r="D360" s="161"/>
      <c r="E360" s="109"/>
      <c r="F360" s="109"/>
      <c r="G360" s="109"/>
      <c r="H360" s="161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46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161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D372" s="161"/>
      <c r="E372" s="109"/>
      <c r="F372" s="109"/>
      <c r="G372" s="33"/>
      <c r="H372" s="33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42"/>
      <c r="I376" s="163"/>
      <c r="J376" s="163"/>
    </row>
    <row r="377" spans="1:10" s="1" customFormat="1" ht="15.9" customHeight="1">
      <c r="A377" s="27"/>
      <c r="B377" s="33"/>
      <c r="C377" s="47"/>
      <c r="D377" s="161"/>
      <c r="E377" s="109"/>
      <c r="F377" s="109"/>
      <c r="G377" s="109"/>
      <c r="H377" s="163"/>
      <c r="I377" s="161"/>
      <c r="J377" s="161"/>
    </row>
    <row r="378" spans="1:10" s="1" customFormat="1" ht="15.9" customHeight="1">
      <c r="A378" s="27"/>
      <c r="B378" s="33"/>
      <c r="C378" s="46"/>
      <c r="D378" s="161"/>
      <c r="E378" s="109"/>
      <c r="F378" s="109"/>
      <c r="G378" s="109"/>
      <c r="H378" s="161"/>
      <c r="I378" s="24"/>
      <c r="J378" s="24"/>
    </row>
    <row r="379" spans="1:10" s="1" customFormat="1" ht="15.9" customHeight="1">
      <c r="A379" s="27"/>
      <c r="B379" s="33"/>
      <c r="C379" s="161"/>
      <c r="D379" s="161"/>
      <c r="E379" s="109"/>
      <c r="F379" s="109"/>
      <c r="G379" s="109"/>
      <c r="H379" s="42"/>
      <c r="I379" s="163"/>
      <c r="J379" s="163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3"/>
      <c r="I380" s="161"/>
      <c r="J380" s="161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1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64"/>
      <c r="J388" s="16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4"/>
      <c r="I389" s="165"/>
      <c r="J389" s="165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5"/>
      <c r="I390" s="161"/>
      <c r="J390" s="161"/>
    </row>
    <row r="391" spans="1:10" s="1" customFormat="1" ht="15.9" customHeight="1">
      <c r="A391" s="27"/>
      <c r="B391" s="33"/>
      <c r="C391" s="47"/>
      <c r="D391" s="161"/>
      <c r="E391" s="109"/>
      <c r="F391" s="109"/>
      <c r="G391" s="109"/>
      <c r="H391" s="161"/>
      <c r="I391" s="24"/>
      <c r="J391" s="24"/>
    </row>
    <row r="392" spans="1:10" s="1" customFormat="1" ht="15.9" customHeight="1">
      <c r="A392" s="27"/>
      <c r="B392" s="33"/>
      <c r="C392" s="46"/>
      <c r="D392" s="161"/>
      <c r="E392" s="109"/>
      <c r="F392" s="109"/>
      <c r="G392" s="109"/>
      <c r="H392" s="109"/>
      <c r="I392" s="109"/>
      <c r="J392" s="24"/>
    </row>
    <row r="393" spans="1:10" s="1" customFormat="1" ht="15.9" customHeight="1">
      <c r="A393" s="27"/>
      <c r="B393" s="33"/>
      <c r="C393" s="161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23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1" customFormat="1" ht="15.9" customHeight="1">
      <c r="A405" s="44"/>
      <c r="B405" s="33"/>
      <c r="C405" s="33"/>
      <c r="D405" s="161"/>
      <c r="E405" s="109"/>
      <c r="F405" s="109"/>
      <c r="G405" s="109"/>
      <c r="H405" s="109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109"/>
      <c r="B419" s="44"/>
      <c r="C419" s="44"/>
      <c r="D419" s="84"/>
      <c r="E419" s="44"/>
      <c r="F419" s="44"/>
      <c r="G419" s="44"/>
      <c r="H419" s="44"/>
      <c r="I419" s="24"/>
      <c r="J419" s="24"/>
      <c r="K419" s="71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LEFT($J$111,11)&amp;"-04"</f>
        <v>FG-240-7P7R-04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A423" s="109"/>
      <c r="B423" s="33"/>
      <c r="C423" s="33"/>
      <c r="D423" s="161"/>
      <c r="E423" s="109"/>
      <c r="F423" s="109"/>
      <c r="G423" s="109"/>
      <c r="H423" s="109"/>
      <c r="I423" s="109"/>
      <c r="J423" s="90" t="str">
        <f>$J$2</f>
        <v>HOMELIFE</v>
      </c>
      <c r="K423" s="7"/>
      <c r="L423" s="7"/>
      <c r="M423" s="2"/>
      <c r="N423" s="2"/>
    </row>
    <row r="424" spans="1:14" ht="24.9" customHeight="1">
      <c r="A424" s="109"/>
      <c r="B424" s="33"/>
      <c r="C424" s="33"/>
      <c r="D424" s="161"/>
      <c r="E424" s="109"/>
      <c r="F424" s="109"/>
      <c r="G424" s="109"/>
      <c r="H424" s="109"/>
      <c r="I424" s="109"/>
      <c r="J424" s="91" t="str">
        <f>$J$3</f>
        <v>Fabricators Guide</v>
      </c>
      <c r="K424" s="7"/>
      <c r="L424" s="7"/>
      <c r="M424" s="2"/>
      <c r="N424" s="2"/>
    </row>
    <row r="425" spans="1:14" ht="24.9" customHeight="1">
      <c r="B425" s="279"/>
      <c r="C425" s="28"/>
      <c r="D425" s="28"/>
      <c r="E425" s="28"/>
      <c r="F425" s="28"/>
      <c r="G425" s="28"/>
      <c r="H425" s="28"/>
      <c r="I425" s="28"/>
      <c r="J425" s="91" t="str">
        <f>$J$4</f>
        <v xml:space="preserve">240 Series Bi Fold Door </v>
      </c>
      <c r="K425" s="48"/>
      <c r="L425" s="48"/>
      <c r="M425" s="4"/>
      <c r="N425" s="4"/>
    </row>
    <row r="426" spans="1:14" s="1" customFormat="1" ht="15" customHeight="1" thickBot="1">
      <c r="A426" s="78"/>
      <c r="B426" s="8"/>
      <c r="C426" s="28"/>
      <c r="D426" s="28"/>
      <c r="E426" s="28"/>
      <c r="F426" s="28"/>
      <c r="G426" s="28"/>
      <c r="H426" s="2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  <c r="K427" s="4"/>
      <c r="L427" s="4"/>
      <c r="M427" s="4"/>
      <c r="N427" s="4"/>
    </row>
    <row r="428" spans="1:14" s="1" customFormat="1" ht="15" customHeight="1">
      <c r="A428" s="193"/>
      <c r="B428" s="194"/>
      <c r="C428" s="194"/>
      <c r="D428" s="194"/>
      <c r="E428" s="194"/>
      <c r="F428" s="194"/>
      <c r="G428" s="194"/>
      <c r="H428" s="194"/>
      <c r="I428" s="193"/>
      <c r="K428" s="56"/>
      <c r="L428" s="56"/>
      <c r="M428" s="56"/>
      <c r="N428" s="56"/>
    </row>
    <row r="429" spans="1:14" s="1" customFormat="1" ht="15" customHeight="1">
      <c r="A429" s="45"/>
      <c r="B429" s="193"/>
      <c r="C429" s="193"/>
      <c r="D429" s="193"/>
      <c r="E429" s="193"/>
      <c r="F429" s="193"/>
      <c r="G429" s="193"/>
      <c r="H429" s="193"/>
      <c r="I429" s="44"/>
      <c r="J429" s="119"/>
    </row>
    <row r="430" spans="1:14" s="1" customFormat="1" ht="15" customHeight="1">
      <c r="A430" s="109"/>
      <c r="B430" s="39"/>
      <c r="C430" s="33"/>
      <c r="D430" s="161"/>
      <c r="E430" s="35"/>
      <c r="F430" s="39"/>
      <c r="G430" s="193"/>
      <c r="H430" s="44"/>
      <c r="I430" s="44"/>
      <c r="J430" s="119"/>
    </row>
    <row r="431" spans="1:14" s="1" customFormat="1" ht="15" customHeight="1">
      <c r="A431" s="109"/>
      <c r="B431" s="33"/>
      <c r="C431" s="33"/>
      <c r="D431" s="161"/>
      <c r="E431" s="35"/>
      <c r="F431" s="161"/>
      <c r="G431" s="193"/>
      <c r="H431" s="44"/>
      <c r="I431" s="44"/>
      <c r="J431" s="119"/>
    </row>
    <row r="432" spans="1:14" s="1" customFormat="1" ht="15" customHeight="1">
      <c r="A432" s="109"/>
      <c r="B432" s="56"/>
      <c r="C432" s="56"/>
      <c r="D432" s="30"/>
      <c r="E432" s="29"/>
      <c r="F432" s="30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109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3"/>
      <c r="H434" s="44"/>
      <c r="I434" s="44"/>
      <c r="J434" s="119"/>
    </row>
    <row r="435" spans="1:10" s="1" customFormat="1" ht="15" customHeight="1">
      <c r="A435" s="109"/>
      <c r="B435" s="33"/>
      <c r="C435" s="161"/>
      <c r="D435" s="161"/>
      <c r="E435" s="35"/>
      <c r="F435" s="161"/>
      <c r="H435" s="44"/>
      <c r="I435" s="44"/>
      <c r="J435" s="119"/>
    </row>
    <row r="436" spans="1:10" s="1" customFormat="1" ht="15" customHeight="1">
      <c r="A436" s="39"/>
      <c r="B436" s="33"/>
      <c r="C436" s="42"/>
      <c r="D436" s="161"/>
      <c r="E436" s="109"/>
      <c r="F436" s="69"/>
      <c r="H436" s="44"/>
      <c r="I436" s="44"/>
      <c r="J436" s="119"/>
    </row>
    <row r="437" spans="1:10" s="1" customFormat="1" ht="15" customHeight="1">
      <c r="A437" s="92"/>
      <c r="B437" s="39"/>
      <c r="C437" s="163"/>
      <c r="D437" s="161"/>
      <c r="E437" s="109"/>
      <c r="F437" s="68"/>
      <c r="H437" s="44"/>
      <c r="I437" s="44"/>
      <c r="J437" s="119"/>
    </row>
    <row r="438" spans="1:10" s="1" customFormat="1" ht="15" customHeight="1">
      <c r="B438" s="92"/>
      <c r="C438" s="161"/>
      <c r="D438" s="161"/>
      <c r="E438" s="109"/>
      <c r="F438" s="436"/>
      <c r="H438" s="44"/>
      <c r="I438" s="44"/>
      <c r="J438" s="119"/>
    </row>
    <row r="439" spans="1:10" s="1" customFormat="1" ht="15" customHeight="1">
      <c r="A439" s="64" t="str">
        <f>A18</f>
        <v>240-7 Panel (7R)</v>
      </c>
      <c r="B439" s="92"/>
      <c r="C439" s="161"/>
      <c r="D439" s="161"/>
      <c r="E439" s="109"/>
      <c r="F439" s="436"/>
      <c r="H439" s="44"/>
      <c r="I439" s="44"/>
      <c r="J439" s="119"/>
    </row>
    <row r="440" spans="1:10" s="1" customFormat="1" ht="15.9" customHeight="1">
      <c r="A440" s="76" t="str">
        <f>A19</f>
        <v xml:space="preserve">Outside Bi Fold Door </v>
      </c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44"/>
      <c r="B442" s="38"/>
      <c r="C442" s="43"/>
      <c r="D442" s="161"/>
      <c r="E442" s="109"/>
      <c r="F442" s="109"/>
      <c r="H442" s="44"/>
      <c r="I442" s="44"/>
      <c r="J442" s="119"/>
    </row>
    <row r="443" spans="1:10" s="1" customFormat="1" ht="15.9" customHeight="1">
      <c r="A443" s="40"/>
      <c r="C443" s="44"/>
      <c r="D443" s="84"/>
      <c r="E443" s="44"/>
      <c r="F443" s="44"/>
      <c r="H443" s="44"/>
      <c r="I443" s="44"/>
      <c r="J443" s="119"/>
    </row>
    <row r="444" spans="1:10" s="1" customFormat="1" ht="35.1" customHeight="1">
      <c r="A444" s="109"/>
      <c r="C444" s="161"/>
      <c r="D444" s="85"/>
      <c r="E444" s="40"/>
      <c r="F444" s="32"/>
      <c r="H444" s="44"/>
      <c r="I444" s="24"/>
      <c r="J444" s="24"/>
    </row>
    <row r="445" spans="1:10" ht="15.6">
      <c r="B445" s="64"/>
      <c r="C445" s="163"/>
      <c r="D445" s="161"/>
      <c r="E445" s="109"/>
      <c r="F445" s="161"/>
      <c r="G445" s="109"/>
      <c r="H445" s="109"/>
    </row>
    <row r="450" spans="1:10" s="1" customFormat="1" ht="15.9" customHeight="1">
      <c r="A450" s="109"/>
      <c r="B450"/>
      <c r="C450"/>
      <c r="D450" s="81"/>
      <c r="E450"/>
      <c r="F450"/>
      <c r="G450"/>
      <c r="H450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44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1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163"/>
      <c r="D456" s="161"/>
      <c r="E456" s="109"/>
      <c r="F456" s="161"/>
      <c r="G456" s="109"/>
      <c r="H456" s="109"/>
      <c r="I456" s="109"/>
      <c r="J456" s="24"/>
    </row>
    <row r="457" spans="1:10" s="1" customFormat="1" ht="15.9" customHeight="1">
      <c r="A457" s="109"/>
      <c r="B457" s="33"/>
      <c r="C457" s="161"/>
      <c r="D457" s="161"/>
      <c r="E457" s="109"/>
      <c r="F457" s="161"/>
      <c r="G457" s="109"/>
      <c r="H457" s="109"/>
      <c r="I457" s="24"/>
      <c r="J457" s="24"/>
    </row>
    <row r="458" spans="1:10" s="1" customFormat="1" ht="15.9" customHeight="1">
      <c r="A458" s="109"/>
      <c r="B458" s="33"/>
      <c r="C458" s="33"/>
      <c r="D458" s="161"/>
      <c r="E458" s="109"/>
      <c r="F458" s="109"/>
      <c r="G458" s="109"/>
      <c r="H458" s="109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7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" customHeight="1">
      <c r="A476" s="109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23" customFormat="1" ht="15.9" customHeight="1">
      <c r="A477" s="109"/>
      <c r="B477" s="33"/>
      <c r="C477" s="33"/>
      <c r="D477" s="161"/>
      <c r="E477" s="109"/>
      <c r="F477" s="109"/>
      <c r="G477" s="109"/>
      <c r="H477" s="109"/>
      <c r="I477" s="109"/>
      <c r="J477" s="109"/>
    </row>
    <row r="478" spans="1:10" s="1" customFormat="1" ht="15.9" customHeight="1">
      <c r="A478" s="44"/>
      <c r="B478" s="33"/>
      <c r="C478" s="33"/>
      <c r="D478" s="161"/>
      <c r="E478" s="109"/>
      <c r="F478" s="109"/>
      <c r="G478" s="109"/>
      <c r="H478" s="109"/>
      <c r="I478" s="44"/>
      <c r="J478" s="119"/>
    </row>
    <row r="479" spans="1:10" s="1" customFormat="1" ht="15.9" customHeight="1">
      <c r="A479" s="40"/>
      <c r="B479" s="44"/>
      <c r="C479" s="44"/>
      <c r="D479" s="84"/>
      <c r="E479" s="44"/>
      <c r="F479" s="44"/>
      <c r="G479" s="44"/>
      <c r="H479" s="44"/>
      <c r="I479" s="32"/>
      <c r="J479" s="40"/>
    </row>
    <row r="480" spans="1:10" s="1" customFormat="1" ht="15.9" customHeight="1">
      <c r="A480" s="27"/>
      <c r="B480" s="40"/>
      <c r="C480" s="44"/>
      <c r="D480" s="85"/>
      <c r="E480" s="40"/>
      <c r="F480" s="32"/>
      <c r="G480" s="40"/>
      <c r="H480" s="32"/>
      <c r="I480" s="24"/>
      <c r="J480" s="24"/>
    </row>
    <row r="481" spans="1:10" s="1" customFormat="1" ht="15.9" customHeight="1">
      <c r="A481" s="27"/>
      <c r="B481" s="33"/>
      <c r="C481" s="42"/>
      <c r="D481" s="161"/>
      <c r="E481" s="109"/>
      <c r="F481" s="109"/>
      <c r="G481" s="109"/>
      <c r="H481" s="42"/>
      <c r="I481" s="67"/>
      <c r="J481" s="165"/>
    </row>
    <row r="482" spans="1:10" s="1" customFormat="1" ht="15.9" customHeight="1">
      <c r="A482" s="27"/>
      <c r="B482" s="33"/>
      <c r="C482" s="163"/>
      <c r="D482" s="161"/>
      <c r="E482" s="109"/>
      <c r="F482" s="109"/>
      <c r="G482" s="109"/>
      <c r="H482" s="67"/>
      <c r="I482" s="38"/>
      <c r="J482" s="109"/>
    </row>
    <row r="483" spans="1:10" s="1" customFormat="1" ht="15.9" customHeight="1">
      <c r="A483" s="27"/>
      <c r="B483" s="33"/>
      <c r="C483" s="161"/>
      <c r="D483" s="161"/>
      <c r="E483" s="109"/>
      <c r="F483" s="109"/>
      <c r="G483" s="109"/>
      <c r="H483" s="38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46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161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D495" s="161"/>
      <c r="E495" s="109"/>
      <c r="F495" s="109"/>
      <c r="G495" s="33"/>
      <c r="H495" s="33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42"/>
      <c r="I499" s="67"/>
      <c r="J499" s="165"/>
    </row>
    <row r="500" spans="1:10" s="1" customFormat="1" ht="15.9" customHeight="1">
      <c r="A500" s="27"/>
      <c r="B500" s="33"/>
      <c r="C500" s="47"/>
      <c r="D500" s="161"/>
      <c r="E500" s="109"/>
      <c r="F500" s="109"/>
      <c r="G500" s="109"/>
      <c r="H500" s="67"/>
      <c r="I500" s="38"/>
      <c r="J500" s="109"/>
    </row>
    <row r="501" spans="1:10" s="1" customFormat="1" ht="15.9" customHeight="1">
      <c r="A501" s="27"/>
      <c r="B501" s="33"/>
      <c r="C501" s="46"/>
      <c r="D501" s="161"/>
      <c r="E501" s="109"/>
      <c r="F501" s="109"/>
      <c r="G501" s="109"/>
      <c r="H501" s="38"/>
      <c r="I501" s="24"/>
      <c r="J501" s="24"/>
    </row>
    <row r="502" spans="1:10" s="1" customFormat="1" ht="15.9" customHeight="1">
      <c r="A502" s="27"/>
      <c r="B502" s="33"/>
      <c r="C502" s="161"/>
      <c r="D502" s="161"/>
      <c r="E502" s="109"/>
      <c r="F502" s="109"/>
      <c r="G502" s="109"/>
      <c r="H502" s="42"/>
      <c r="I502" s="67"/>
      <c r="J502" s="165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67"/>
      <c r="I503" s="38"/>
      <c r="J503" s="109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38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109"/>
      <c r="J512" s="24"/>
    </row>
    <row r="513" spans="1:15" s="1" customFormat="1" ht="15.9" customHeight="1">
      <c r="A513" s="27"/>
      <c r="B513" s="33"/>
      <c r="C513" s="33"/>
      <c r="D513" s="161"/>
      <c r="E513" s="109"/>
      <c r="F513" s="109"/>
      <c r="G513" s="109"/>
      <c r="H513" s="109"/>
      <c r="I513" s="43"/>
      <c r="J513" s="107"/>
    </row>
    <row r="514" spans="1:15" s="1" customFormat="1" ht="15.9" customHeight="1">
      <c r="A514" s="27"/>
      <c r="B514" s="33"/>
      <c r="C514" s="33"/>
      <c r="D514" s="161"/>
      <c r="E514" s="109"/>
      <c r="F514" s="109"/>
      <c r="G514" s="109"/>
      <c r="H514" s="66"/>
      <c r="I514" s="38"/>
      <c r="J514" s="109"/>
    </row>
    <row r="515" spans="1:15" s="1" customFormat="1" ht="15.9" customHeight="1">
      <c r="A515" s="44"/>
      <c r="B515" s="44"/>
      <c r="C515" s="44"/>
      <c r="D515" s="84"/>
      <c r="E515" s="44"/>
      <c r="F515" s="44"/>
      <c r="G515" s="44"/>
      <c r="H515" s="44"/>
      <c r="I515" s="44"/>
      <c r="J515" s="119"/>
    </row>
    <row r="516" spans="1:15" s="1" customFormat="1" ht="15.9" customHeight="1">
      <c r="B516" s="44"/>
      <c r="C516" s="44"/>
      <c r="D516" s="84"/>
      <c r="E516" s="44"/>
      <c r="F516" s="44"/>
      <c r="G516" s="44"/>
      <c r="H516" s="44"/>
    </row>
    <row r="517" spans="1:15" s="1" customFormat="1" ht="15.9" customHeight="1" thickBot="1"/>
    <row r="518" spans="1:15" s="1" customFormat="1" ht="24.9" customHeight="1" thickBot="1">
      <c r="A518" s="502" t="s">
        <v>401</v>
      </c>
      <c r="B518" s="503"/>
      <c r="C518" s="503"/>
      <c r="D518" s="503"/>
      <c r="E518" s="503"/>
      <c r="F518" s="503"/>
      <c r="G518" s="503"/>
      <c r="H518" s="503"/>
      <c r="I518" s="503"/>
      <c r="J518" s="504"/>
    </row>
    <row r="519" spans="1:15" s="1" customFormat="1" ht="35.1" customHeight="1" thickBot="1">
      <c r="A519" s="102" t="s">
        <v>2</v>
      </c>
      <c r="B519" s="103" t="s">
        <v>3</v>
      </c>
      <c r="C519" s="103" t="s">
        <v>3</v>
      </c>
      <c r="D519" s="104" t="s">
        <v>35</v>
      </c>
      <c r="E519" s="103" t="s">
        <v>5</v>
      </c>
      <c r="F519" s="440" t="s">
        <v>27</v>
      </c>
      <c r="G519" s="305"/>
      <c r="H519" s="104" t="s">
        <v>27</v>
      </c>
      <c r="I519" s="104" t="s">
        <v>26</v>
      </c>
      <c r="J519" s="115" t="s">
        <v>6</v>
      </c>
      <c r="N519" s="249" t="s">
        <v>3</v>
      </c>
      <c r="O519" s="249" t="s">
        <v>3</v>
      </c>
    </row>
    <row r="520" spans="1:15" s="1" customFormat="1" ht="15.9" customHeight="1">
      <c r="A520" s="123">
        <f>IF(C520="","",1)</f>
        <v>1</v>
      </c>
      <c r="B520" s="121" t="str">
        <f>IF($D$127=5,N520,IF($D$127=6,N521,IF($D$127=8,N522,IF($D$127=10,N523,IF($D$127=12,N524,IF($D$127=14,N525,IF($D$127=18,N526,IF($D$127=20,N527,IF($D$127=22,N528,)))))))))</f>
        <v>กระจก 8 mm (สูง) (กว้าง)</v>
      </c>
      <c r="C520" s="121" t="str">
        <f>IF($D$127=5,O520,IF($D$127=6,O521,IF($D$127=8,O522,IF($D$127=10,O523,IF($D$127=12,O524,IF($D$127=14,O525,IF($D$127=18,O526,IF($D$127=20,O527,IF($D$127=22,O528,)))))))))</f>
        <v>GLASS thk.8 mm (H) (W)</v>
      </c>
      <c r="D520" s="124">
        <f>$J$123-215</f>
        <v>2685</v>
      </c>
      <c r="E520" s="123" t="s">
        <v>11</v>
      </c>
      <c r="F520" s="527" t="s">
        <v>271</v>
      </c>
      <c r="G520" s="528"/>
      <c r="H520" s="123" t="s">
        <v>409</v>
      </c>
      <c r="I520" s="124">
        <f>(($J$126-185-(113.25*6))/7)-13</f>
        <v>577.78571428571433</v>
      </c>
      <c r="J520" s="151">
        <f>$J$120*7</f>
        <v>7</v>
      </c>
      <c r="M520" s="1">
        <f>ROW()</f>
        <v>520</v>
      </c>
      <c r="N520" s="19" t="s">
        <v>194</v>
      </c>
      <c r="O520" s="19" t="s">
        <v>195</v>
      </c>
    </row>
    <row r="521" spans="1:15" s="1" customFormat="1" ht="15.9" customHeight="1">
      <c r="A521" s="346"/>
      <c r="B521" s="295"/>
      <c r="C521" s="295"/>
      <c r="D521" s="296"/>
      <c r="E521" s="238"/>
      <c r="F521" s="251"/>
      <c r="G521" s="297"/>
      <c r="H521" s="238"/>
      <c r="I521" s="298"/>
      <c r="J521" s="299"/>
      <c r="M521" s="1">
        <f>ROW()</f>
        <v>521</v>
      </c>
      <c r="N521" s="19" t="s">
        <v>53</v>
      </c>
      <c r="O521" s="19" t="s">
        <v>54</v>
      </c>
    </row>
    <row r="522" spans="1:15" s="1" customFormat="1" ht="15.9" customHeight="1">
      <c r="A522" s="346"/>
      <c r="B522" s="295"/>
      <c r="C522" s="295"/>
      <c r="D522" s="296"/>
      <c r="E522" s="238"/>
      <c r="F522" s="251"/>
      <c r="G522" s="297"/>
      <c r="H522" s="238"/>
      <c r="I522" s="298"/>
      <c r="J522" s="299"/>
      <c r="M522" s="1">
        <f>ROW()</f>
        <v>522</v>
      </c>
      <c r="N522" s="19" t="s">
        <v>257</v>
      </c>
      <c r="O522" s="19" t="s">
        <v>258</v>
      </c>
    </row>
    <row r="523" spans="1:15" s="1" customFormat="1" ht="15.9" customHeight="1">
      <c r="A523" s="129" t="str">
        <f>IF(B523="","",+#REF!+1)</f>
        <v/>
      </c>
      <c r="B523" s="127"/>
      <c r="C523" s="127"/>
      <c r="D523" s="128"/>
      <c r="E523" s="129"/>
      <c r="F523" s="155"/>
      <c r="G523" s="438"/>
      <c r="H523" s="129"/>
      <c r="I523" s="144"/>
      <c r="J523" s="130"/>
      <c r="M523" s="1">
        <f>ROW()</f>
        <v>523</v>
      </c>
      <c r="N523" s="19" t="s">
        <v>259</v>
      </c>
      <c r="O523" s="19" t="s">
        <v>265</v>
      </c>
    </row>
    <row r="524" spans="1:15" s="1" customFormat="1" ht="15.9" customHeight="1">
      <c r="A524" s="135" t="str">
        <f>IF(B524="","",+A523+1)</f>
        <v/>
      </c>
      <c r="B524" s="133"/>
      <c r="C524" s="133"/>
      <c r="D524" s="134"/>
      <c r="E524" s="135"/>
      <c r="F524" s="158"/>
      <c r="G524" s="159"/>
      <c r="H524" s="135"/>
      <c r="I524" s="145"/>
      <c r="J524" s="136"/>
      <c r="M524" s="1">
        <f>ROW()</f>
        <v>524</v>
      </c>
      <c r="N524" s="19" t="s">
        <v>260</v>
      </c>
      <c r="O524" s="19" t="s">
        <v>266</v>
      </c>
    </row>
    <row r="525" spans="1:15" s="1" customFormat="1" ht="15.9" customHeight="1">
      <c r="A525" s="17"/>
      <c r="B525" s="56"/>
      <c r="C525" s="56"/>
      <c r="D525" s="30"/>
      <c r="E525" s="17"/>
      <c r="F525" s="17"/>
      <c r="G525" s="17"/>
      <c r="H525" s="109"/>
      <c r="I525" s="109"/>
      <c r="J525" s="24"/>
      <c r="M525" s="1">
        <f>ROW()</f>
        <v>525</v>
      </c>
      <c r="N525" s="19" t="s">
        <v>261</v>
      </c>
      <c r="O525" s="19" t="s">
        <v>267</v>
      </c>
    </row>
    <row r="526" spans="1:15">
      <c r="H526" s="294"/>
      <c r="I526" s="294"/>
      <c r="J526" s="99" t="str">
        <f>LEFT($J$111,11)&amp;"-05"</f>
        <v>FG-240-7P7R-05</v>
      </c>
      <c r="M526" s="1">
        <f>ROW()</f>
        <v>526</v>
      </c>
      <c r="N526" s="19" t="s">
        <v>262</v>
      </c>
      <c r="O526" s="19" t="s">
        <v>268</v>
      </c>
    </row>
    <row r="527" spans="1:15">
      <c r="M527" s="1">
        <f>ROW()</f>
        <v>527</v>
      </c>
      <c r="N527" s="19" t="s">
        <v>263</v>
      </c>
      <c r="O527" s="19" t="s">
        <v>269</v>
      </c>
    </row>
    <row r="528" spans="1:15">
      <c r="M528" s="1">
        <f>ROW()</f>
        <v>528</v>
      </c>
      <c r="N528" s="19" t="s">
        <v>264</v>
      </c>
      <c r="O528" s="19" t="s">
        <v>270</v>
      </c>
    </row>
  </sheetData>
  <sheetProtection selectLockedCells="1" selectUnlockedCells="1"/>
  <dataConsolidate function="product">
    <dataRefs count="1">
      <dataRef ref="O154:O162" sheet="240_2Panel(L)" r:id="rId1"/>
    </dataRefs>
  </dataConsolidate>
  <mergeCells count="46">
    <mergeCell ref="F334:G334"/>
    <mergeCell ref="A427:J427"/>
    <mergeCell ref="A518:J518"/>
    <mergeCell ref="F520:G520"/>
    <mergeCell ref="A172:J172"/>
    <mergeCell ref="A213:J213"/>
    <mergeCell ref="C309:E309"/>
    <mergeCell ref="A320:J320"/>
    <mergeCell ref="F330:G330"/>
    <mergeCell ref="F331:G331"/>
    <mergeCell ref="D168:D169"/>
    <mergeCell ref="H168:H169"/>
    <mergeCell ref="I168:J168"/>
    <mergeCell ref="D170:D171"/>
    <mergeCell ref="H170:H171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7"/>
    <mergeCell ref="H163:H167"/>
    <mergeCell ref="I166:J167"/>
    <mergeCell ref="I157:J157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A6:J6"/>
    <mergeCell ref="A117:J117"/>
    <mergeCell ref="D119:G119"/>
    <mergeCell ref="H120:I121"/>
    <mergeCell ref="J120:J121"/>
    <mergeCell ref="D121:G121"/>
  </mergeCells>
  <dataValidations count="4">
    <dataValidation type="list" allowBlank="1" showInputMessage="1" showErrorMessage="1" sqref="D129:G129">
      <formula1>$O$119</formula1>
    </dataValidation>
    <dataValidation type="list" allowBlank="1" showInputMessage="1" showErrorMessage="1" sqref="D127:G127">
      <formula1>$N$119:$N$127</formula1>
    </dataValidation>
    <dataValidation type="list" allowBlank="1" showInputMessage="1" showErrorMessage="1" sqref="D123:G123">
      <formula1>$P$118:$P$127</formula1>
    </dataValidation>
    <dataValidation type="list" allowBlank="1" showInputMessage="1" showErrorMessage="1" sqref="C206">
      <formula1>$O$174:$O$192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4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16383" man="1"/>
    <brk id="421" max="9" man="1"/>
  </rowBreaks>
  <drawing r:id="rId3"/>
  <legacyDrawing r:id="rId4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-0.249977111117893"/>
  </sheetPr>
  <dimension ref="A1:X526"/>
  <sheetViews>
    <sheetView showGridLines="0" view="pageBreakPreview" topLeftCell="A121" zoomScale="75" zoomScaleNormal="75" zoomScaleSheetLayoutView="75" workbookViewId="0">
      <selection activeCell="I135" sqref="I135"/>
    </sheetView>
  </sheetViews>
  <sheetFormatPr defaultRowHeight="14.4" outlineLevelRow="1" outlineLevelCol="1"/>
  <cols>
    <col min="1" max="1" width="7" customWidth="1"/>
    <col min="2" max="2" width="40.6640625" customWidth="1"/>
    <col min="3" max="3" width="61.10937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6.6640625" customWidth="1"/>
    <col min="9" max="9" width="11.109375" bestFit="1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19.8867187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79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79"/>
      <c r="E3" s="279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524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/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>
      <c r="G55" s="10"/>
    </row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525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79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79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8">
      <c r="A118" s="12"/>
      <c r="C118" s="8"/>
      <c r="D118" s="15"/>
      <c r="E118" s="13"/>
      <c r="J118" s="392"/>
      <c r="K118" s="11"/>
      <c r="L118" s="56"/>
      <c r="M118" s="56"/>
      <c r="N118" s="243" t="s">
        <v>191</v>
      </c>
      <c r="O118" s="12" t="s">
        <v>227</v>
      </c>
      <c r="P118" s="247" t="s">
        <v>16</v>
      </c>
    </row>
    <row r="119" spans="1:16" s="1" customFormat="1" ht="15" customHeight="1">
      <c r="A119" s="12"/>
      <c r="C119" s="110" t="s">
        <v>635</v>
      </c>
      <c r="D119" s="524"/>
      <c r="E119" s="525"/>
      <c r="F119" s="525"/>
      <c r="G119" s="526"/>
      <c r="I119" s="16"/>
      <c r="J119" s="12"/>
      <c r="N119" s="244">
        <v>5</v>
      </c>
      <c r="O119" s="12" t="s">
        <v>243</v>
      </c>
      <c r="P119" s="335" t="s">
        <v>389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5">
        <v>6</v>
      </c>
      <c r="O120" s="12" t="s">
        <v>244</v>
      </c>
      <c r="P120" s="336" t="s">
        <v>390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8</v>
      </c>
      <c r="P121" s="336" t="s">
        <v>391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10</v>
      </c>
      <c r="P122" s="336" t="s">
        <v>392</v>
      </c>
    </row>
    <row r="123" spans="1:16" s="1" customFormat="1" ht="15" customHeight="1">
      <c r="A123" s="12"/>
      <c r="C123" s="110" t="s">
        <v>629</v>
      </c>
      <c r="D123" s="524" t="s">
        <v>394</v>
      </c>
      <c r="E123" s="525"/>
      <c r="F123" s="525"/>
      <c r="G123" s="526"/>
      <c r="H123" s="519" t="s">
        <v>638</v>
      </c>
      <c r="I123" s="520"/>
      <c r="J123" s="517">
        <v>2400</v>
      </c>
      <c r="N123" s="245">
        <v>12</v>
      </c>
      <c r="P123" s="335" t="s">
        <v>393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14</v>
      </c>
      <c r="P124" s="335" t="s">
        <v>394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390"/>
      <c r="L125" s="77"/>
      <c r="N125" s="245">
        <v>18</v>
      </c>
      <c r="P125" s="335" t="s">
        <v>395</v>
      </c>
    </row>
    <row r="126" spans="1:16" s="1" customFormat="1" ht="15" customHeight="1">
      <c r="A126" s="392"/>
      <c r="B126" s="392"/>
      <c r="C126" s="423" t="s">
        <v>631</v>
      </c>
      <c r="D126" s="15"/>
      <c r="H126" s="519" t="s">
        <v>639</v>
      </c>
      <c r="I126" s="520"/>
      <c r="J126" s="517">
        <v>6300</v>
      </c>
      <c r="K126" s="390"/>
      <c r="L126" s="77"/>
      <c r="N126" s="245">
        <v>20</v>
      </c>
      <c r="P126" s="335" t="s">
        <v>396</v>
      </c>
    </row>
    <row r="127" spans="1:16" s="1" customFormat="1" ht="15" customHeight="1">
      <c r="A127" s="392"/>
      <c r="B127" s="392"/>
      <c r="C127" s="110" t="s">
        <v>633</v>
      </c>
      <c r="D127" s="534">
        <v>6</v>
      </c>
      <c r="E127" s="535"/>
      <c r="F127" s="535"/>
      <c r="G127" s="536"/>
      <c r="H127" s="520"/>
      <c r="I127" s="520"/>
      <c r="J127" s="518"/>
      <c r="N127" s="245">
        <v>22</v>
      </c>
      <c r="P127" s="335" t="s">
        <v>397</v>
      </c>
    </row>
    <row r="128" spans="1:16" s="1" customFormat="1" ht="18.75" customHeight="1">
      <c r="C128" s="423" t="s">
        <v>632</v>
      </c>
      <c r="I128" s="12"/>
      <c r="J128" s="12"/>
      <c r="P128" s="1" t="s">
        <v>11</v>
      </c>
    </row>
    <row r="129" spans="1:23" s="1" customFormat="1" ht="15" customHeight="1">
      <c r="A129" s="88" t="str">
        <f>A18</f>
        <v>240-8 Panel (8R)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6240</v>
      </c>
      <c r="J133" s="125">
        <f t="shared" ref="J133:J153" si="0">$J$120*G133</f>
        <v>1</v>
      </c>
      <c r="N133" s="101" t="s">
        <v>61</v>
      </c>
      <c r="O133" s="281" t="s">
        <v>498</v>
      </c>
      <c r="P133" s="281" t="s">
        <v>499</v>
      </c>
      <c r="Q133" s="282" t="s">
        <v>51</v>
      </c>
      <c r="R133" s="283">
        <v>0.23100000000000001</v>
      </c>
      <c r="S133" s="284" t="s">
        <v>320</v>
      </c>
      <c r="T133" s="283">
        <v>16</v>
      </c>
      <c r="U133" s="283" t="s">
        <v>301</v>
      </c>
      <c r="V133" s="285">
        <f>($J$126-185-(113.25*7))/8</f>
        <v>665.28125</v>
      </c>
      <c r="W133" s="286">
        <f>$J$120*T133</f>
        <v>16</v>
      </c>
    </row>
    <row r="134" spans="1:23" s="1" customFormat="1" ht="18" customHeight="1">
      <c r="A134" s="143">
        <f t="shared" ref="A134:A153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6214</v>
      </c>
      <c r="J134" s="131">
        <f>$J$120*G134</f>
        <v>1</v>
      </c>
      <c r="N134" s="101"/>
      <c r="O134" s="281" t="s">
        <v>216</v>
      </c>
      <c r="P134" s="281" t="s">
        <v>212</v>
      </c>
      <c r="Q134" s="377" t="s">
        <v>398</v>
      </c>
      <c r="R134" s="129">
        <v>0.215</v>
      </c>
      <c r="S134" s="378" t="s">
        <v>399</v>
      </c>
      <c r="T134" s="129">
        <v>16</v>
      </c>
      <c r="U134" s="129" t="s">
        <v>301</v>
      </c>
      <c r="V134" s="144">
        <f t="shared" ref="V134:V135" si="2">($J$126-185-(113.25*7))/8</f>
        <v>665.28125</v>
      </c>
      <c r="W134" s="131">
        <f t="shared" ref="W134:W135" si="3">$J$120*T134</f>
        <v>16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6240</v>
      </c>
      <c r="J135" s="131">
        <f t="shared" ref="J135:J152" si="4">$J$120*G135</f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16</v>
      </c>
      <c r="U135" s="135" t="s">
        <v>301</v>
      </c>
      <c r="V135" s="145">
        <f t="shared" si="2"/>
        <v>665.28125</v>
      </c>
      <c r="W135" s="293">
        <f t="shared" si="3"/>
        <v>16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6240</v>
      </c>
      <c r="J136" s="131">
        <f t="shared" si="4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16</v>
      </c>
      <c r="U136" s="283" t="s">
        <v>64</v>
      </c>
      <c r="V136" s="288">
        <f>$J$123-242</f>
        <v>2158</v>
      </c>
      <c r="W136" s="286">
        <f>$J$120*T136</f>
        <v>16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2400</v>
      </c>
      <c r="J137" s="131">
        <f t="shared" si="4"/>
        <v>1</v>
      </c>
      <c r="N137" s="101"/>
      <c r="O137" s="281" t="s">
        <v>500</v>
      </c>
      <c r="P137" s="281" t="s">
        <v>501</v>
      </c>
      <c r="Q137" s="377" t="s">
        <v>398</v>
      </c>
      <c r="R137" s="129">
        <v>0.215</v>
      </c>
      <c r="S137" s="378" t="s">
        <v>400</v>
      </c>
      <c r="T137" s="129">
        <v>16</v>
      </c>
      <c r="U137" s="129" t="s">
        <v>64</v>
      </c>
      <c r="V137" s="130">
        <f>$J$123-242</f>
        <v>2158</v>
      </c>
      <c r="W137" s="131">
        <f t="shared" ref="W137:W138" si="5">$J$120*T137</f>
        <v>16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2400</v>
      </c>
      <c r="J138" s="131">
        <f t="shared" si="4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16</v>
      </c>
      <c r="U138" s="135" t="s">
        <v>64</v>
      </c>
      <c r="V138" s="136">
        <f>$J$123-242</f>
        <v>2158</v>
      </c>
      <c r="W138" s="293">
        <f t="shared" si="5"/>
        <v>16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2304</v>
      </c>
      <c r="J139" s="131">
        <f t="shared" si="4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2304</v>
      </c>
      <c r="J140" s="131">
        <f t="shared" si="4"/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8</v>
      </c>
      <c r="H141" s="143" t="s">
        <v>301</v>
      </c>
      <c r="I141" s="178">
        <f>($J$126-185-(113.25*7))/8</f>
        <v>665.28125</v>
      </c>
      <c r="J141" s="131">
        <f t="shared" si="4"/>
        <v>8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8</v>
      </c>
      <c r="H142" s="143" t="s">
        <v>301</v>
      </c>
      <c r="I142" s="178">
        <f>($J$126-185-(113.25*7))/8</f>
        <v>665.28125</v>
      </c>
      <c r="J142" s="131">
        <f t="shared" si="4"/>
        <v>8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12</v>
      </c>
      <c r="H143" s="143" t="s">
        <v>63</v>
      </c>
      <c r="I143" s="130">
        <f>$J$123-92</f>
        <v>2308</v>
      </c>
      <c r="J143" s="131">
        <f t="shared" si="4"/>
        <v>12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2</v>
      </c>
      <c r="H144" s="143" t="s">
        <v>63</v>
      </c>
      <c r="I144" s="130">
        <f t="shared" ref="I144:I146" si="6">$J$123-92</f>
        <v>2308</v>
      </c>
      <c r="J144" s="131">
        <f t="shared" si="4"/>
        <v>2</v>
      </c>
      <c r="N144" s="98"/>
    </row>
    <row r="145" spans="1:14" s="1" customFormat="1" ht="18" customHeight="1">
      <c r="A145" s="143">
        <f t="shared" si="1"/>
        <v>13</v>
      </c>
      <c r="B145" s="140" t="s">
        <v>8</v>
      </c>
      <c r="C145" s="140" t="s">
        <v>58</v>
      </c>
      <c r="D145" s="139" t="s">
        <v>50</v>
      </c>
      <c r="E145" s="143">
        <v>1.1060000000000001</v>
      </c>
      <c r="F145" s="139" t="s">
        <v>496</v>
      </c>
      <c r="G145" s="143">
        <v>1</v>
      </c>
      <c r="H145" s="143" t="s">
        <v>63</v>
      </c>
      <c r="I145" s="130">
        <f t="shared" si="6"/>
        <v>2308</v>
      </c>
      <c r="J145" s="131">
        <f t="shared" si="4"/>
        <v>1</v>
      </c>
      <c r="N145" s="98"/>
    </row>
    <row r="146" spans="1:14" s="1" customFormat="1" ht="18" customHeight="1">
      <c r="A146" s="143">
        <f t="shared" si="1"/>
        <v>14</v>
      </c>
      <c r="B146" s="140" t="s">
        <v>116</v>
      </c>
      <c r="C146" s="140" t="s">
        <v>99</v>
      </c>
      <c r="D146" s="139" t="s">
        <v>50</v>
      </c>
      <c r="E146" s="143">
        <v>1.1060000000000001</v>
      </c>
      <c r="F146" s="139" t="s">
        <v>507</v>
      </c>
      <c r="G146" s="143">
        <v>1</v>
      </c>
      <c r="H146" s="143" t="s">
        <v>63</v>
      </c>
      <c r="I146" s="130">
        <f t="shared" si="6"/>
        <v>2308</v>
      </c>
      <c r="J146" s="131">
        <f t="shared" si="4"/>
        <v>1</v>
      </c>
      <c r="N146" s="98"/>
    </row>
    <row r="147" spans="1:14" s="1" customFormat="1" ht="18" customHeight="1">
      <c r="A147" s="143">
        <f t="shared" si="1"/>
        <v>15</v>
      </c>
      <c r="B147" s="127" t="str">
        <f t="shared" ref="B147:I147" si="7">IF($D$127=5,O133,IF($D$127=6,O133,IF($D$127=8,O134,IF($D$127=10,O134,IF($D$127=12,O134,IF($D$127=14,O135,IF($D$127=18,O135,IF($D$127=20,O135,IF($D$127=22,O135,)))))))))</f>
        <v>5-6-8mm คิ้วตบกระจกแนวนอน</v>
      </c>
      <c r="C147" s="127" t="str">
        <f t="shared" si="7"/>
        <v>5-6-8mm GLAZING BEAD HORIZONTAL</v>
      </c>
      <c r="D147" s="127" t="str">
        <f t="shared" si="7"/>
        <v>B24008</v>
      </c>
      <c r="E147" s="127">
        <f t="shared" si="7"/>
        <v>0.23100000000000001</v>
      </c>
      <c r="F147" s="127" t="str">
        <f t="shared" si="7"/>
        <v>B24008-001</v>
      </c>
      <c r="G147" s="129">
        <f t="shared" si="7"/>
        <v>16</v>
      </c>
      <c r="H147" s="129" t="str">
        <f t="shared" si="7"/>
        <v>(W-185-(113.25 × 7))/8</v>
      </c>
      <c r="I147" s="178">
        <f t="shared" si="7"/>
        <v>665.28125</v>
      </c>
      <c r="J147" s="131">
        <f t="shared" si="4"/>
        <v>16</v>
      </c>
      <c r="N147" s="98"/>
    </row>
    <row r="148" spans="1:14" s="1" customFormat="1" ht="18" customHeight="1">
      <c r="A148" s="143">
        <f t="shared" si="1"/>
        <v>16</v>
      </c>
      <c r="B148" s="127" t="str">
        <f t="shared" ref="B148:I148" si="8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27" t="str">
        <f t="shared" si="8"/>
        <v>5-6mm GLAZING BEAD VERTICAL</v>
      </c>
      <c r="D148" s="127" t="str">
        <f t="shared" si="8"/>
        <v>B24008</v>
      </c>
      <c r="E148" s="127">
        <f t="shared" si="8"/>
        <v>0.23100000000000001</v>
      </c>
      <c r="F148" s="127" t="str">
        <f t="shared" si="8"/>
        <v>B24008-002</v>
      </c>
      <c r="G148" s="129">
        <f t="shared" si="8"/>
        <v>16</v>
      </c>
      <c r="H148" s="129" t="str">
        <f t="shared" si="8"/>
        <v>H-242</v>
      </c>
      <c r="I148" s="144">
        <f t="shared" si="8"/>
        <v>2158</v>
      </c>
      <c r="J148" s="131">
        <f t="shared" si="4"/>
        <v>16</v>
      </c>
      <c r="N148" s="98"/>
    </row>
    <row r="149" spans="1:14" s="1" customFormat="1" ht="18" customHeight="1">
      <c r="A149" s="143" t="str">
        <f t="shared" si="1"/>
        <v/>
      </c>
      <c r="B149" s="140"/>
      <c r="C149" s="140"/>
      <c r="D149" s="139"/>
      <c r="E149" s="143"/>
      <c r="F149" s="139"/>
      <c r="G149" s="143"/>
      <c r="H149" s="143"/>
      <c r="I149" s="130"/>
      <c r="J149" s="131"/>
      <c r="N149" s="98"/>
    </row>
    <row r="150" spans="1:14" s="1" customFormat="1" ht="18" customHeight="1">
      <c r="A150" s="143" t="str">
        <f t="shared" si="1"/>
        <v/>
      </c>
      <c r="B150" s="140"/>
      <c r="C150" s="140"/>
      <c r="D150" s="139"/>
      <c r="E150" s="143"/>
      <c r="F150" s="139"/>
      <c r="G150" s="143"/>
      <c r="H150" s="143"/>
      <c r="I150" s="130"/>
      <c r="J150" s="131"/>
      <c r="N150" s="98"/>
    </row>
    <row r="151" spans="1:14" s="1" customFormat="1" ht="18" customHeight="1">
      <c r="A151" s="143" t="str">
        <f t="shared" si="1"/>
        <v/>
      </c>
      <c r="B151" s="140"/>
      <c r="C151" s="140"/>
      <c r="D151" s="139"/>
      <c r="E151" s="143"/>
      <c r="F151" s="139"/>
      <c r="G151" s="143"/>
      <c r="H151" s="143"/>
      <c r="I151" s="130"/>
      <c r="J151" s="131">
        <f t="shared" si="4"/>
        <v>0</v>
      </c>
      <c r="N151" s="98"/>
    </row>
    <row r="152" spans="1:14" s="1" customFormat="1" ht="18" customHeight="1">
      <c r="A152" s="143" t="str">
        <f t="shared" si="1"/>
        <v/>
      </c>
      <c r="B152" s="140"/>
      <c r="C152" s="140"/>
      <c r="D152" s="139"/>
      <c r="E152" s="143"/>
      <c r="F152" s="139"/>
      <c r="G152" s="143"/>
      <c r="H152" s="143"/>
      <c r="I152" s="130"/>
      <c r="J152" s="131">
        <f t="shared" si="4"/>
        <v>0</v>
      </c>
      <c r="N152" s="98"/>
    </row>
    <row r="153" spans="1:14" s="1" customFormat="1" ht="18" customHeight="1" thickBot="1">
      <c r="A153" s="143" t="str">
        <f t="shared" si="1"/>
        <v/>
      </c>
      <c r="B153" s="167"/>
      <c r="C153" s="167"/>
      <c r="D153" s="168"/>
      <c r="E153" s="166"/>
      <c r="F153" s="168"/>
      <c r="G153" s="166"/>
      <c r="H153" s="166"/>
      <c r="I153" s="171"/>
      <c r="J153" s="172">
        <f t="shared" si="0"/>
        <v>0</v>
      </c>
    </row>
    <row r="154" spans="1:14" s="1" customFormat="1" ht="27" outlineLevel="1" thickBot="1">
      <c r="A154" s="169" t="s">
        <v>2</v>
      </c>
      <c r="B154" s="169" t="s">
        <v>29</v>
      </c>
      <c r="C154" s="169" t="s">
        <v>3</v>
      </c>
      <c r="D154" s="169" t="s">
        <v>4</v>
      </c>
      <c r="E154" s="169" t="s">
        <v>5</v>
      </c>
      <c r="F154" s="177" t="s">
        <v>85</v>
      </c>
      <c r="G154" s="169" t="s">
        <v>22</v>
      </c>
      <c r="H154" s="170" t="s">
        <v>23</v>
      </c>
      <c r="I154" s="540"/>
      <c r="J154" s="541"/>
    </row>
    <row r="155" spans="1:14" s="1" customFormat="1" ht="15" customHeight="1" outlineLevel="1">
      <c r="A155" s="21">
        <f>IF(B155="","",1)</f>
        <v>1</v>
      </c>
      <c r="B155" s="173" t="str">
        <f t="shared" ref="B155:C170" si="9">B133</f>
        <v>เฟรมบน</v>
      </c>
      <c r="C155" s="173" t="str">
        <f t="shared" si="9"/>
        <v>HEAD</v>
      </c>
      <c r="D155" s="395" t="str">
        <f>VLOOKUP(C155,$C$133:$H$153,2,0)</f>
        <v>B24001</v>
      </c>
      <c r="E155" s="175">
        <f t="shared" ref="E155:E172" si="10">VLOOKUP(C155,$C$133:$H$153,3,0)</f>
        <v>1.603</v>
      </c>
      <c r="F155" s="353">
        <f>VLOOKUP(C155,$C$133:$J$153,7,0)</f>
        <v>6240</v>
      </c>
      <c r="G155" s="175">
        <f t="shared" ref="G155:G172" si="11">VLOOKUP(C155,$C$133:$J$153,8,0)</f>
        <v>1</v>
      </c>
      <c r="H155" s="191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ref="A156:A172" si="12">IF(B156="","",+A155+1)</f>
        <v>2</v>
      </c>
      <c r="B156" s="173" t="str">
        <f t="shared" si="9"/>
        <v>บังใบบน</v>
      </c>
      <c r="C156" s="173" t="str">
        <f t="shared" si="9"/>
        <v>DOOR STOP HEAD</v>
      </c>
      <c r="D156" s="395" t="str">
        <f>VLOOKUP(C156,$C$133:$H$153,2,0)</f>
        <v>B24002</v>
      </c>
      <c r="E156" s="175">
        <f t="shared" si="10"/>
        <v>0.27800000000000002</v>
      </c>
      <c r="F156" s="353">
        <f t="shared" ref="F156:F172" si="13">VLOOKUP(C156,$C$133:$I$153,7,0)</f>
        <v>6214</v>
      </c>
      <c r="G156" s="175">
        <f t="shared" si="11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si="12"/>
        <v>3</v>
      </c>
      <c r="B157" s="173" t="str">
        <f t="shared" si="9"/>
        <v xml:space="preserve">เฟรมล่าง </v>
      </c>
      <c r="C157" s="173" t="str">
        <f t="shared" si="9"/>
        <v>SILL</v>
      </c>
      <c r="D157" s="395" t="str">
        <f>VLOOKUP(C157,$C$133:$H$153,2,0)</f>
        <v>B24003</v>
      </c>
      <c r="E157" s="175">
        <f t="shared" si="10"/>
        <v>1.603</v>
      </c>
      <c r="F157" s="353">
        <f t="shared" si="13"/>
        <v>6240</v>
      </c>
      <c r="G157" s="175">
        <f t="shared" si="11"/>
        <v>1</v>
      </c>
      <c r="H157" s="192">
        <f t="shared" ref="H157:H158" si="14">ROUNDUP((F157*G157)/6400,0)</f>
        <v>1</v>
      </c>
      <c r="I157" s="501"/>
      <c r="J157" s="501"/>
    </row>
    <row r="158" spans="1:14" s="1" customFormat="1" ht="15" customHeight="1" outlineLevel="1">
      <c r="A158" s="18">
        <f t="shared" si="12"/>
        <v>4</v>
      </c>
      <c r="B158" s="173" t="str">
        <f t="shared" si="9"/>
        <v>ตัวตับธรณี</v>
      </c>
      <c r="C158" s="173" t="str">
        <f t="shared" si="9"/>
        <v>DOOR STOP SILL</v>
      </c>
      <c r="D158" s="395" t="str">
        <f>VLOOKUP(C158,$C$133:$H$153,2,0)</f>
        <v>B24004</v>
      </c>
      <c r="E158" s="175">
        <f t="shared" si="10"/>
        <v>0.51600000000000001</v>
      </c>
      <c r="F158" s="353">
        <f t="shared" si="13"/>
        <v>6240</v>
      </c>
      <c r="G158" s="175">
        <f t="shared" si="11"/>
        <v>1</v>
      </c>
      <c r="H158" s="192">
        <f t="shared" si="14"/>
        <v>1</v>
      </c>
      <c r="I158" s="501"/>
      <c r="J158" s="501"/>
    </row>
    <row r="159" spans="1:14" s="1" customFormat="1" ht="15" customHeight="1" outlineLevel="1">
      <c r="A159" s="18">
        <f t="shared" si="12"/>
        <v>5</v>
      </c>
      <c r="B159" s="173" t="str">
        <f t="shared" si="9"/>
        <v>เฟรมข้าง (ซ้าย)</v>
      </c>
      <c r="C159" s="173" t="str">
        <f t="shared" si="9"/>
        <v>JAMB (L)</v>
      </c>
      <c r="D159" s="508" t="str">
        <f>VLOOKUP(C159,$C$133:$H$153,2,0)</f>
        <v>B24005</v>
      </c>
      <c r="E159" s="175">
        <f t="shared" si="10"/>
        <v>0.89300000000000002</v>
      </c>
      <c r="F159" s="353">
        <f t="shared" si="13"/>
        <v>2400</v>
      </c>
      <c r="G159" s="175">
        <f t="shared" si="11"/>
        <v>1</v>
      </c>
      <c r="H159" s="516">
        <f>ROUNDUP(((F159*G159)+(F160*G160))/6400,0)</f>
        <v>1</v>
      </c>
      <c r="I159" s="506"/>
      <c r="J159" s="506"/>
    </row>
    <row r="160" spans="1:14" s="1" customFormat="1" ht="15" customHeight="1" outlineLevel="1">
      <c r="A160" s="18">
        <f t="shared" si="12"/>
        <v>6</v>
      </c>
      <c r="B160" s="173" t="str">
        <f t="shared" si="9"/>
        <v>เฟรมข้าง (ขวา)</v>
      </c>
      <c r="C160" s="173" t="str">
        <f t="shared" si="9"/>
        <v>JAMB (R)</v>
      </c>
      <c r="D160" s="509"/>
      <c r="E160" s="175">
        <f t="shared" si="10"/>
        <v>0.89300000000000002</v>
      </c>
      <c r="F160" s="353">
        <f t="shared" si="13"/>
        <v>2400</v>
      </c>
      <c r="G160" s="175">
        <f t="shared" si="11"/>
        <v>1</v>
      </c>
      <c r="H160" s="516"/>
      <c r="I160" s="506"/>
      <c r="J160" s="506"/>
    </row>
    <row r="161" spans="1:23" s="1" customFormat="1" ht="15" customHeight="1" outlineLevel="1">
      <c r="A161" s="18">
        <f t="shared" si="12"/>
        <v>7</v>
      </c>
      <c r="B161" s="173" t="str">
        <f t="shared" si="9"/>
        <v>บังใบข้าง (ซ้าย)</v>
      </c>
      <c r="C161" s="173" t="str">
        <f t="shared" si="9"/>
        <v>DOOR STOP JAMB (L)</v>
      </c>
      <c r="D161" s="508" t="str">
        <f>VLOOKUP(C161,$C$133:$H$153,2,0)</f>
        <v>B24006</v>
      </c>
      <c r="E161" s="175">
        <f t="shared" si="10"/>
        <v>0.23499999999999999</v>
      </c>
      <c r="F161" s="353">
        <f t="shared" si="13"/>
        <v>2304</v>
      </c>
      <c r="G161" s="175">
        <f t="shared" si="11"/>
        <v>1</v>
      </c>
      <c r="H161" s="516">
        <f>ROUNDUP(((F161*G161)+(F162*G162))/6400,0)</f>
        <v>1</v>
      </c>
      <c r="I161" s="501"/>
      <c r="J161" s="501"/>
    </row>
    <row r="162" spans="1:23" s="1" customFormat="1" ht="15" customHeight="1" outlineLevel="1">
      <c r="A162" s="18">
        <f t="shared" si="12"/>
        <v>8</v>
      </c>
      <c r="B162" s="173" t="str">
        <f t="shared" si="9"/>
        <v>บังใบข้าง (ขวา)</v>
      </c>
      <c r="C162" s="173" t="str">
        <f t="shared" si="9"/>
        <v>DOOR STOP JAMB (R)</v>
      </c>
      <c r="D162" s="509"/>
      <c r="E162" s="175">
        <f t="shared" si="10"/>
        <v>0.23499999999999999</v>
      </c>
      <c r="F162" s="353">
        <f t="shared" si="13"/>
        <v>2304</v>
      </c>
      <c r="G162" s="175">
        <f t="shared" si="11"/>
        <v>1</v>
      </c>
      <c r="H162" s="516"/>
      <c r="I162" s="506"/>
      <c r="J162" s="506"/>
    </row>
    <row r="163" spans="1:23" s="1" customFormat="1" ht="13.8" outlineLevel="1">
      <c r="A163" s="18">
        <f t="shared" si="12"/>
        <v>9</v>
      </c>
      <c r="B163" s="173" t="str">
        <f t="shared" si="9"/>
        <v>ขวางบน</v>
      </c>
      <c r="C163" s="173" t="str">
        <f t="shared" si="9"/>
        <v>SASH (Hor) (T)</v>
      </c>
      <c r="D163" s="508" t="str">
        <f t="shared" ref="D163:D171" si="15">VLOOKUP(C163,$C$133:$H$153,2,0)</f>
        <v>B24007</v>
      </c>
      <c r="E163" s="175">
        <f t="shared" si="10"/>
        <v>1.1060000000000001</v>
      </c>
      <c r="F163" s="353">
        <f t="shared" si="13"/>
        <v>665.28125</v>
      </c>
      <c r="G163" s="175">
        <f t="shared" si="11"/>
        <v>8</v>
      </c>
      <c r="H163" s="512">
        <f>ROUNDUP(((F163*G163)+(F164*G164)+(F165*G165)+(F166*G166)+(F167*G167)+(F168*G168))/6400,0)</f>
        <v>8</v>
      </c>
      <c r="I163" s="506"/>
      <c r="J163" s="506"/>
    </row>
    <row r="164" spans="1:23" s="1" customFormat="1" ht="13.8" outlineLevel="1">
      <c r="A164" s="18">
        <f t="shared" si="12"/>
        <v>10</v>
      </c>
      <c r="B164" s="173" t="str">
        <f t="shared" si="9"/>
        <v>ขวางล่าง</v>
      </c>
      <c r="C164" s="173" t="str">
        <f t="shared" si="9"/>
        <v>SASH (Hor) (B)</v>
      </c>
      <c r="D164" s="510"/>
      <c r="E164" s="175">
        <f t="shared" si="10"/>
        <v>1.1060000000000001</v>
      </c>
      <c r="F164" s="353">
        <f t="shared" si="13"/>
        <v>665.28125</v>
      </c>
      <c r="G164" s="175">
        <f t="shared" si="11"/>
        <v>8</v>
      </c>
      <c r="H164" s="514"/>
      <c r="I164" s="506"/>
      <c r="J164" s="506"/>
    </row>
    <row r="165" spans="1:23" s="1" customFormat="1" ht="13.8" outlineLevel="1">
      <c r="A165" s="18">
        <f t="shared" si="12"/>
        <v>11</v>
      </c>
      <c r="B165" s="173" t="str">
        <f t="shared" si="9"/>
        <v>เสา</v>
      </c>
      <c r="C165" s="173" t="str">
        <f t="shared" si="9"/>
        <v xml:space="preserve">SASH (Ver) </v>
      </c>
      <c r="D165" s="510"/>
      <c r="E165" s="175">
        <f t="shared" si="10"/>
        <v>1.1060000000000001</v>
      </c>
      <c r="F165" s="353">
        <f t="shared" si="13"/>
        <v>2308</v>
      </c>
      <c r="G165" s="175">
        <f t="shared" si="11"/>
        <v>12</v>
      </c>
      <c r="H165" s="514"/>
      <c r="I165" s="506"/>
      <c r="J165" s="506"/>
    </row>
    <row r="166" spans="1:23" s="1" customFormat="1" ht="13.8" outlineLevel="1">
      <c r="A166" s="18">
        <f t="shared" si="12"/>
        <v>12</v>
      </c>
      <c r="B166" s="173" t="str">
        <f t="shared" si="9"/>
        <v>เสากุญแจ</v>
      </c>
      <c r="C166" s="173" t="str">
        <f t="shared" si="9"/>
        <v xml:space="preserve">SASH (Ver) LOCK </v>
      </c>
      <c r="D166" s="510"/>
      <c r="E166" s="175">
        <f t="shared" si="10"/>
        <v>1.1060000000000001</v>
      </c>
      <c r="F166" s="353">
        <f t="shared" si="13"/>
        <v>2308</v>
      </c>
      <c r="G166" s="175">
        <f t="shared" si="11"/>
        <v>2</v>
      </c>
      <c r="H166" s="514"/>
      <c r="I166" s="506"/>
      <c r="J166" s="506"/>
    </row>
    <row r="167" spans="1:23" s="1" customFormat="1" ht="13.8" outlineLevel="1">
      <c r="A167" s="18">
        <f t="shared" si="12"/>
        <v>13</v>
      </c>
      <c r="B167" s="173" t="str">
        <f t="shared" si="9"/>
        <v>เสากุญแจ</v>
      </c>
      <c r="C167" s="173" t="str">
        <f t="shared" si="9"/>
        <v xml:space="preserve">SASH (Ver) LOCK </v>
      </c>
      <c r="D167" s="510"/>
      <c r="E167" s="175">
        <f t="shared" si="10"/>
        <v>1.1060000000000001</v>
      </c>
      <c r="F167" s="353">
        <f t="shared" si="13"/>
        <v>2308</v>
      </c>
      <c r="G167" s="175">
        <f t="shared" si="11"/>
        <v>2</v>
      </c>
      <c r="H167" s="514"/>
      <c r="I167" s="506"/>
      <c r="J167" s="506"/>
    </row>
    <row r="168" spans="1:23" s="1" customFormat="1" ht="13.8" outlineLevel="1">
      <c r="A168" s="18">
        <f t="shared" si="12"/>
        <v>14</v>
      </c>
      <c r="B168" s="173" t="str">
        <f t="shared" si="9"/>
        <v>เสากุญแจมือจับ</v>
      </c>
      <c r="C168" s="173" t="str">
        <f t="shared" si="9"/>
        <v>SASH (Ver) LOCK HANDLE</v>
      </c>
      <c r="D168" s="509"/>
      <c r="E168" s="175">
        <f t="shared" si="10"/>
        <v>1.1060000000000001</v>
      </c>
      <c r="F168" s="353">
        <f t="shared" si="13"/>
        <v>2308</v>
      </c>
      <c r="G168" s="175">
        <f t="shared" si="11"/>
        <v>1</v>
      </c>
      <c r="H168" s="515"/>
      <c r="I168" s="501"/>
      <c r="J168" s="501"/>
    </row>
    <row r="169" spans="1:23" s="1" customFormat="1" ht="13.8" outlineLevel="1">
      <c r="A169" s="18">
        <f t="shared" si="12"/>
        <v>15</v>
      </c>
      <c r="B169" s="173" t="str">
        <f t="shared" si="9"/>
        <v>5-6-8mm คิ้วตบกระจกแนวนอน</v>
      </c>
      <c r="C169" s="173" t="str">
        <f t="shared" si="9"/>
        <v>5-6-8mm GLAZING BEAD HORIZONTAL</v>
      </c>
      <c r="D169" s="508" t="str">
        <f t="shared" si="15"/>
        <v>B24008</v>
      </c>
      <c r="E169" s="175">
        <f t="shared" si="10"/>
        <v>0.23100000000000001</v>
      </c>
      <c r="F169" s="353">
        <f t="shared" si="13"/>
        <v>665.28125</v>
      </c>
      <c r="G169" s="175">
        <f t="shared" si="11"/>
        <v>16</v>
      </c>
      <c r="H169" s="516">
        <f>ROUNDUP(((F169*G169)+(F170*G170))/6400,0)</f>
        <v>8</v>
      </c>
      <c r="I169" s="391"/>
      <c r="J169" s="391"/>
    </row>
    <row r="170" spans="1:23" s="1" customFormat="1" ht="13.8" outlineLevel="1">
      <c r="A170" s="18">
        <f t="shared" si="12"/>
        <v>16</v>
      </c>
      <c r="B170" s="173" t="str">
        <f t="shared" si="9"/>
        <v>5-6mm คิ้วตบกระจกแนวตั้ง</v>
      </c>
      <c r="C170" s="173" t="str">
        <f t="shared" si="9"/>
        <v>5-6mm GLAZING BEAD VERTICAL</v>
      </c>
      <c r="D170" s="509"/>
      <c r="E170" s="175">
        <f t="shared" si="10"/>
        <v>0.23100000000000001</v>
      </c>
      <c r="F170" s="353">
        <f t="shared" si="13"/>
        <v>2158</v>
      </c>
      <c r="G170" s="175">
        <f t="shared" si="11"/>
        <v>16</v>
      </c>
      <c r="H170" s="516"/>
      <c r="I170" s="391"/>
      <c r="J170" s="391"/>
    </row>
    <row r="171" spans="1:23" s="1" customFormat="1" ht="13.8" outlineLevel="1">
      <c r="A171" s="18">
        <f t="shared" si="12"/>
        <v>17</v>
      </c>
      <c r="B171" s="173">
        <f t="shared" ref="B171:C172" si="16">B149</f>
        <v>0</v>
      </c>
      <c r="C171" s="173">
        <f t="shared" si="16"/>
        <v>0</v>
      </c>
      <c r="D171" s="508" t="e">
        <f t="shared" si="15"/>
        <v>#N/A</v>
      </c>
      <c r="E171" s="175" t="e">
        <f t="shared" si="10"/>
        <v>#N/A</v>
      </c>
      <c r="F171" s="353" t="e">
        <f t="shared" si="13"/>
        <v>#N/A</v>
      </c>
      <c r="G171" s="175" t="e">
        <f t="shared" si="11"/>
        <v>#N/A</v>
      </c>
      <c r="H171" s="516" t="e">
        <f>ROUNDUP(((F171*G171)+(F172*G172))/6400,0)</f>
        <v>#N/A</v>
      </c>
      <c r="I171" s="391"/>
      <c r="J171" s="391"/>
    </row>
    <row r="172" spans="1:23" s="1" customFormat="1" outlineLevel="1" thickBot="1">
      <c r="A172" s="18">
        <f t="shared" si="12"/>
        <v>18</v>
      </c>
      <c r="B172" s="173">
        <f t="shared" si="16"/>
        <v>0</v>
      </c>
      <c r="C172" s="173">
        <f t="shared" si="16"/>
        <v>0</v>
      </c>
      <c r="D172" s="511"/>
      <c r="E172" s="175" t="e">
        <f t="shared" si="10"/>
        <v>#N/A</v>
      </c>
      <c r="F172" s="353" t="e">
        <f t="shared" si="13"/>
        <v>#N/A</v>
      </c>
      <c r="G172" s="175" t="e">
        <f t="shared" si="11"/>
        <v>#N/A</v>
      </c>
      <c r="H172" s="516"/>
      <c r="I172" s="391"/>
      <c r="J172" s="391"/>
    </row>
    <row r="173" spans="1:23" s="1" customFormat="1" ht="24.9" customHeight="1" thickBot="1">
      <c r="A173" s="529" t="s">
        <v>9</v>
      </c>
      <c r="B173" s="530"/>
      <c r="C173" s="530"/>
      <c r="D173" s="530"/>
      <c r="E173" s="530"/>
      <c r="F173" s="530"/>
      <c r="G173" s="530"/>
      <c r="H173" s="530"/>
      <c r="I173" s="530"/>
      <c r="J173" s="531"/>
    </row>
    <row r="174" spans="1:23" s="1" customFormat="1" ht="35.1" customHeight="1" thickBot="1">
      <c r="A174" s="102" t="s">
        <v>2</v>
      </c>
      <c r="B174" s="103" t="s">
        <v>29</v>
      </c>
      <c r="C174" s="103" t="s">
        <v>3</v>
      </c>
      <c r="D174" s="103" t="s">
        <v>199</v>
      </c>
      <c r="E174" s="103" t="s">
        <v>5</v>
      </c>
      <c r="F174" s="104" t="s">
        <v>28</v>
      </c>
      <c r="G174" s="103" t="s">
        <v>19</v>
      </c>
      <c r="H174" s="104" t="s">
        <v>200</v>
      </c>
      <c r="I174" s="104" t="s">
        <v>20</v>
      </c>
      <c r="J174" s="115" t="s">
        <v>201</v>
      </c>
      <c r="N174" s="101" t="s">
        <v>191</v>
      </c>
      <c r="O174" s="246" t="s">
        <v>29</v>
      </c>
      <c r="P174" s="246" t="s">
        <v>3</v>
      </c>
      <c r="Q174" s="246" t="s">
        <v>199</v>
      </c>
      <c r="R174" s="246" t="s">
        <v>5</v>
      </c>
      <c r="S174" s="246" t="s">
        <v>28</v>
      </c>
      <c r="T174" s="246" t="s">
        <v>19</v>
      </c>
      <c r="U174" s="246" t="s">
        <v>200</v>
      </c>
      <c r="V174" s="246" t="s">
        <v>20</v>
      </c>
      <c r="W174" s="246" t="s">
        <v>201</v>
      </c>
    </row>
    <row r="175" spans="1:23" s="1" customFormat="1" ht="18" customHeight="1">
      <c r="A175" s="200">
        <f>IF(B175="","",1)</f>
        <v>1</v>
      </c>
      <c r="B175" s="140" t="s">
        <v>111</v>
      </c>
      <c r="C175" s="140" t="s">
        <v>67</v>
      </c>
      <c r="D175" s="139" t="s">
        <v>74</v>
      </c>
      <c r="E175" s="143"/>
      <c r="F175" s="143" t="s">
        <v>74</v>
      </c>
      <c r="G175" s="143" t="s">
        <v>202</v>
      </c>
      <c r="H175" s="143">
        <v>16</v>
      </c>
      <c r="I175" s="130"/>
      <c r="J175" s="131">
        <f t="shared" ref="J175:J188" si="17">$J$120*H175</f>
        <v>16</v>
      </c>
      <c r="N175" s="101" t="s">
        <v>226</v>
      </c>
      <c r="O175" s="280" t="s">
        <v>252</v>
      </c>
      <c r="P175" s="290" t="s">
        <v>248</v>
      </c>
      <c r="Q175" s="280" t="s">
        <v>69</v>
      </c>
      <c r="R175" s="213"/>
      <c r="S175" s="213" t="s">
        <v>69</v>
      </c>
      <c r="T175" s="213" t="s">
        <v>198</v>
      </c>
      <c r="U175" s="291">
        <f>((($I$141*$G$141)+($I$142*$G$142)+($I$143*$G$143)+($I$144*$G$144)+($I$145*$G$145)+($I$146*$G$146))/1000)*$J$120</f>
        <v>47.572499999999998</v>
      </c>
      <c r="V175" s="291">
        <v>100</v>
      </c>
      <c r="W175" s="292">
        <f>ROUNDUP((U175)/100,0)</f>
        <v>1</v>
      </c>
    </row>
    <row r="176" spans="1:23" s="1" customFormat="1" ht="18" customHeight="1">
      <c r="A176" s="201">
        <f>IF(B176="","",+A175+1)</f>
        <v>2</v>
      </c>
      <c r="B176" s="140" t="s">
        <v>106</v>
      </c>
      <c r="C176" s="140" t="s">
        <v>503</v>
      </c>
      <c r="D176" s="139" t="s">
        <v>75</v>
      </c>
      <c r="E176" s="143"/>
      <c r="F176" s="143" t="s">
        <v>75</v>
      </c>
      <c r="G176" s="143" t="s">
        <v>202</v>
      </c>
      <c r="H176" s="143">
        <v>2</v>
      </c>
      <c r="I176" s="130"/>
      <c r="J176" s="131">
        <f t="shared" si="17"/>
        <v>2</v>
      </c>
      <c r="N176" s="101" t="s">
        <v>230</v>
      </c>
      <c r="O176" s="280" t="s">
        <v>253</v>
      </c>
      <c r="P176" s="290" t="s">
        <v>249</v>
      </c>
      <c r="Q176" s="280" t="s">
        <v>188</v>
      </c>
      <c r="R176" s="213"/>
      <c r="S176" s="213" t="s">
        <v>188</v>
      </c>
      <c r="T176" s="213" t="s">
        <v>198</v>
      </c>
      <c r="U176" s="291">
        <f>((($I$141*$G$141)+($I$142*$G$142)+($I$143*$G$143)+($I$144*$G$144)+($I$145*$G$145)+($I$146*$G$146))/1000)*$J$120</f>
        <v>47.572499999999998</v>
      </c>
      <c r="V176" s="291">
        <v>100</v>
      </c>
      <c r="W176" s="292">
        <f t="shared" ref="W176:W179" si="18">ROUNDUP((U176)/100,0)</f>
        <v>1</v>
      </c>
    </row>
    <row r="177" spans="1:23" s="1" customFormat="1" ht="18" customHeight="1">
      <c r="A177" s="201">
        <f t="shared" ref="A177:A203" si="19">IF(B177="","",+A176+1)</f>
        <v>3</v>
      </c>
      <c r="B177" s="140" t="s">
        <v>107</v>
      </c>
      <c r="C177" s="140" t="s">
        <v>504</v>
      </c>
      <c r="D177" s="139" t="s">
        <v>76</v>
      </c>
      <c r="E177" s="143"/>
      <c r="F177" s="143" t="s">
        <v>76</v>
      </c>
      <c r="G177" s="143" t="s">
        <v>202</v>
      </c>
      <c r="H177" s="143">
        <v>2</v>
      </c>
      <c r="I177" s="130"/>
      <c r="J177" s="131">
        <f t="shared" si="17"/>
        <v>2</v>
      </c>
      <c r="N177" s="101" t="s">
        <v>229</v>
      </c>
      <c r="O177" s="290" t="s">
        <v>254</v>
      </c>
      <c r="P177" s="290" t="s">
        <v>250</v>
      </c>
      <c r="Q177" s="379" t="s">
        <v>70</v>
      </c>
      <c r="R177" s="213"/>
      <c r="S177" s="380" t="s">
        <v>70</v>
      </c>
      <c r="T177" s="213" t="s">
        <v>198</v>
      </c>
      <c r="U177" s="291">
        <f>((($I$141*$G$141)+($I$142*$G$142)+($I$143*$G$143)+($I$144*$G$144)+($I$145*$G$145)+($I$146*$G$146))/1000)*$J$120</f>
        <v>47.572499999999998</v>
      </c>
      <c r="V177" s="291">
        <v>100</v>
      </c>
      <c r="W177" s="292">
        <f t="shared" si="18"/>
        <v>1</v>
      </c>
    </row>
    <row r="178" spans="1:23" s="1" customFormat="1" ht="18" customHeight="1">
      <c r="A178" s="201">
        <f t="shared" si="19"/>
        <v>4</v>
      </c>
      <c r="B178" s="140" t="s">
        <v>108</v>
      </c>
      <c r="C178" s="140" t="s">
        <v>10</v>
      </c>
      <c r="D178" s="139">
        <v>9</v>
      </c>
      <c r="E178" s="143"/>
      <c r="F178" s="143">
        <v>9</v>
      </c>
      <c r="G178" s="143" t="s">
        <v>202</v>
      </c>
      <c r="H178" s="143">
        <v>8</v>
      </c>
      <c r="I178" s="130"/>
      <c r="J178" s="131">
        <f t="shared" si="17"/>
        <v>8</v>
      </c>
      <c r="N178" s="101" t="s">
        <v>231</v>
      </c>
      <c r="O178" s="290" t="s">
        <v>255</v>
      </c>
      <c r="P178" s="290" t="s">
        <v>251</v>
      </c>
      <c r="Q178" s="280" t="s">
        <v>189</v>
      </c>
      <c r="R178" s="213"/>
      <c r="S178" s="213" t="s">
        <v>189</v>
      </c>
      <c r="T178" s="213" t="s">
        <v>198</v>
      </c>
      <c r="U178" s="291">
        <f>((($I$141*$G$141)+($I$142*$G$142)+($I$143*$G$143)+($I$144*$G$144)+($I$145*$G$145)+($I$146*$G$146))/1000)*$J$120</f>
        <v>47.572499999999998</v>
      </c>
      <c r="V178" s="291">
        <v>100</v>
      </c>
      <c r="W178" s="292">
        <f t="shared" si="18"/>
        <v>1</v>
      </c>
    </row>
    <row r="179" spans="1:23" s="1" customFormat="1" ht="18" customHeight="1">
      <c r="A179" s="201">
        <f t="shared" si="19"/>
        <v>5</v>
      </c>
      <c r="B179" s="140" t="s">
        <v>109</v>
      </c>
      <c r="C179" s="140" t="s">
        <v>68</v>
      </c>
      <c r="D179" s="139">
        <v>9</v>
      </c>
      <c r="E179" s="143"/>
      <c r="F179" s="143">
        <v>9</v>
      </c>
      <c r="G179" s="143" t="s">
        <v>202</v>
      </c>
      <c r="H179" s="143">
        <v>110</v>
      </c>
      <c r="I179" s="130"/>
      <c r="J179" s="131">
        <f t="shared" si="17"/>
        <v>110</v>
      </c>
      <c r="N179" s="101" t="s">
        <v>232</v>
      </c>
      <c r="O179" s="290" t="s">
        <v>256</v>
      </c>
      <c r="P179" s="290" t="s">
        <v>247</v>
      </c>
      <c r="Q179" s="379" t="s">
        <v>233</v>
      </c>
      <c r="R179" s="213"/>
      <c r="S179" s="380" t="s">
        <v>233</v>
      </c>
      <c r="T179" s="213" t="s">
        <v>198</v>
      </c>
      <c r="U179" s="291">
        <f>((($I$141*$G$141)+($I$142*$G$142)+($I$143*$G$143)+($I$144*$G$144)+($I$145*$G$145)+($I$146*$G$146))/1000)*$J$120</f>
        <v>47.572499999999998</v>
      </c>
      <c r="V179" s="291">
        <v>100</v>
      </c>
      <c r="W179" s="292">
        <f t="shared" si="18"/>
        <v>1</v>
      </c>
    </row>
    <row r="180" spans="1:23" s="1" customFormat="1" ht="18" customHeight="1">
      <c r="A180" s="201">
        <f t="shared" si="19"/>
        <v>6</v>
      </c>
      <c r="B180" s="140" t="s">
        <v>132</v>
      </c>
      <c r="C180" s="140" t="s">
        <v>79</v>
      </c>
      <c r="D180" s="139" t="s">
        <v>82</v>
      </c>
      <c r="E180" s="143"/>
      <c r="F180" s="143" t="s">
        <v>82</v>
      </c>
      <c r="G180" s="143" t="s">
        <v>185</v>
      </c>
      <c r="H180" s="143">
        <v>2</v>
      </c>
      <c r="I180" s="130"/>
      <c r="J180" s="131">
        <f t="shared" si="17"/>
        <v>2</v>
      </c>
    </row>
    <row r="181" spans="1:23" s="1" customFormat="1" ht="18" customHeight="1">
      <c r="A181" s="201">
        <f t="shared" si="19"/>
        <v>7</v>
      </c>
      <c r="B181" s="140" t="s">
        <v>143</v>
      </c>
      <c r="C181" s="140" t="s">
        <v>121</v>
      </c>
      <c r="D181" s="139" t="s">
        <v>103</v>
      </c>
      <c r="E181" s="143"/>
      <c r="F181" s="143" t="s">
        <v>103</v>
      </c>
      <c r="G181" s="143" t="s">
        <v>185</v>
      </c>
      <c r="H181" s="143">
        <v>2</v>
      </c>
      <c r="I181" s="130"/>
      <c r="J181" s="131">
        <f t="shared" si="17"/>
        <v>2</v>
      </c>
    </row>
    <row r="182" spans="1:23" s="1" customFormat="1" ht="18" customHeight="1">
      <c r="A182" s="201">
        <f>IF(B182="","",+A193+1)</f>
        <v>1</v>
      </c>
      <c r="B182" s="140" t="s">
        <v>120</v>
      </c>
      <c r="C182" s="140" t="s">
        <v>94</v>
      </c>
      <c r="D182" s="139" t="s">
        <v>96</v>
      </c>
      <c r="E182" s="143"/>
      <c r="F182" s="143" t="s">
        <v>96</v>
      </c>
      <c r="G182" s="143" t="s">
        <v>185</v>
      </c>
      <c r="H182" s="143">
        <v>1</v>
      </c>
      <c r="I182" s="130"/>
      <c r="J182" s="131">
        <f t="shared" si="17"/>
        <v>1</v>
      </c>
    </row>
    <row r="183" spans="1:23" s="1" customFormat="1" ht="18" customHeight="1">
      <c r="A183" s="201">
        <f t="shared" ref="A183" si="20">IF(B183="","",+A182+1)</f>
        <v>2</v>
      </c>
      <c r="B183" s="140" t="s">
        <v>523</v>
      </c>
      <c r="C183" s="140" t="s">
        <v>522</v>
      </c>
      <c r="D183" s="139" t="s">
        <v>97</v>
      </c>
      <c r="E183" s="143"/>
      <c r="F183" s="143" t="s">
        <v>97</v>
      </c>
      <c r="G183" s="143" t="s">
        <v>185</v>
      </c>
      <c r="H183" s="143">
        <v>1</v>
      </c>
      <c r="I183" s="130"/>
      <c r="J183" s="131">
        <f t="shared" ref="J183" si="21">$J$120*H183</f>
        <v>1</v>
      </c>
    </row>
    <row r="184" spans="1:23" s="1" customFormat="1" ht="18" customHeight="1">
      <c r="A184" s="201">
        <f>IF(B184="","",+A182+1)</f>
        <v>2</v>
      </c>
      <c r="B184" s="140" t="s">
        <v>131</v>
      </c>
      <c r="C184" s="140" t="s">
        <v>100</v>
      </c>
      <c r="D184" s="139" t="s">
        <v>102</v>
      </c>
      <c r="E184" s="143"/>
      <c r="F184" s="143" t="s">
        <v>102</v>
      </c>
      <c r="G184" s="143" t="s">
        <v>185</v>
      </c>
      <c r="H184" s="143">
        <v>3</v>
      </c>
      <c r="I184" s="130"/>
      <c r="J184" s="131">
        <f t="shared" si="17"/>
        <v>3</v>
      </c>
      <c r="N184" s="56"/>
      <c r="O184" s="56"/>
      <c r="P184" s="56"/>
      <c r="Q184" s="289"/>
      <c r="R184" s="289"/>
      <c r="S184" s="289"/>
      <c r="T184" s="17"/>
      <c r="U184" s="17"/>
      <c r="V184" s="17"/>
      <c r="W184" s="56"/>
    </row>
    <row r="185" spans="1:23" s="1" customFormat="1" ht="18" customHeight="1">
      <c r="A185" s="201">
        <f t="shared" si="19"/>
        <v>3</v>
      </c>
      <c r="B185" s="140" t="s">
        <v>113</v>
      </c>
      <c r="C185" s="140" t="s">
        <v>502</v>
      </c>
      <c r="D185" s="139" t="s">
        <v>83</v>
      </c>
      <c r="E185" s="143"/>
      <c r="F185" s="143" t="s">
        <v>83</v>
      </c>
      <c r="G185" s="143" t="s">
        <v>185</v>
      </c>
      <c r="H185" s="143">
        <v>4</v>
      </c>
      <c r="I185" s="144"/>
      <c r="J185" s="131">
        <f t="shared" si="17"/>
        <v>4</v>
      </c>
      <c r="N185" s="101" t="s">
        <v>227</v>
      </c>
      <c r="O185" s="246" t="s">
        <v>29</v>
      </c>
      <c r="P185" s="246" t="s">
        <v>3</v>
      </c>
      <c r="Q185" s="246" t="s">
        <v>199</v>
      </c>
      <c r="R185" s="246" t="s">
        <v>5</v>
      </c>
      <c r="S185" s="246" t="s">
        <v>28</v>
      </c>
      <c r="T185" s="246" t="s">
        <v>19</v>
      </c>
      <c r="U185" s="246" t="s">
        <v>200</v>
      </c>
      <c r="V185" s="246" t="s">
        <v>20</v>
      </c>
      <c r="W185" s="246" t="s">
        <v>201</v>
      </c>
    </row>
    <row r="186" spans="1:23" s="1" customFormat="1" ht="18" customHeight="1">
      <c r="A186" s="201">
        <f>IF(B186="","",+A198+1)</f>
        <v>1</v>
      </c>
      <c r="B186" s="140" t="s">
        <v>112</v>
      </c>
      <c r="C186" s="140" t="s">
        <v>114</v>
      </c>
      <c r="D186" s="139" t="s">
        <v>520</v>
      </c>
      <c r="E186" s="143"/>
      <c r="F186" s="143" t="s">
        <v>520</v>
      </c>
      <c r="G186" s="143" t="s">
        <v>202</v>
      </c>
      <c r="H186" s="143">
        <v>8</v>
      </c>
      <c r="I186" s="130"/>
      <c r="J186" s="131">
        <f t="shared" si="17"/>
        <v>8</v>
      </c>
      <c r="N186" s="101" t="s">
        <v>240</v>
      </c>
      <c r="O186" s="290" t="s">
        <v>234</v>
      </c>
      <c r="P186" s="290" t="s">
        <v>236</v>
      </c>
      <c r="Q186" s="280" t="s">
        <v>190</v>
      </c>
      <c r="R186" s="213"/>
      <c r="S186" s="213" t="s">
        <v>190</v>
      </c>
      <c r="T186" s="213" t="s">
        <v>198</v>
      </c>
      <c r="U186" s="291">
        <f>((($I$134*$G$134)+($I$136*$G$136)+($I$139*$G$139))/1000)*$J$120</f>
        <v>14.757999999999999</v>
      </c>
      <c r="V186" s="291">
        <v>300</v>
      </c>
      <c r="W186" s="292">
        <f>ROUNDUP((U186)/V186,0)</f>
        <v>1</v>
      </c>
    </row>
    <row r="187" spans="1:23" s="1" customFormat="1" ht="18" customHeight="1">
      <c r="A187" s="201">
        <f t="shared" si="19"/>
        <v>2</v>
      </c>
      <c r="B187" s="140" t="s">
        <v>115</v>
      </c>
      <c r="C187" s="140" t="s">
        <v>45</v>
      </c>
      <c r="D187" s="139" t="s">
        <v>84</v>
      </c>
      <c r="E187" s="143"/>
      <c r="F187" s="143" t="s">
        <v>84</v>
      </c>
      <c r="G187" s="143" t="s">
        <v>202</v>
      </c>
      <c r="H187" s="143">
        <v>1</v>
      </c>
      <c r="I187" s="130"/>
      <c r="J187" s="131">
        <f t="shared" si="17"/>
        <v>1</v>
      </c>
      <c r="N187" s="101" t="s">
        <v>241</v>
      </c>
      <c r="O187" s="290" t="s">
        <v>235</v>
      </c>
      <c r="P187" s="290" t="s">
        <v>238</v>
      </c>
      <c r="Q187" s="280" t="s">
        <v>71</v>
      </c>
      <c r="R187" s="213"/>
      <c r="S187" s="213" t="s">
        <v>71</v>
      </c>
      <c r="T187" s="213" t="s">
        <v>198</v>
      </c>
      <c r="U187" s="291">
        <f>((($I$134*$G$134)+($I$136*$G$136)+($I$139*$G$139))/1000)*$J$120</f>
        <v>14.757999999999999</v>
      </c>
      <c r="V187" s="291">
        <v>100</v>
      </c>
      <c r="W187" s="292">
        <f t="shared" ref="W187:W189" si="22">ROUNDUP((U187)/V187,0)</f>
        <v>1</v>
      </c>
    </row>
    <row r="188" spans="1:23" s="1" customFormat="1" ht="18" customHeight="1">
      <c r="A188" s="201">
        <f>IF(B188="","",+A199+1)</f>
        <v>1</v>
      </c>
      <c r="B188" s="140" t="s">
        <v>110</v>
      </c>
      <c r="C188" s="140" t="s">
        <v>66</v>
      </c>
      <c r="D188" s="139" t="s">
        <v>73</v>
      </c>
      <c r="E188" s="143"/>
      <c r="F188" s="143" t="s">
        <v>73</v>
      </c>
      <c r="G188" s="143" t="s">
        <v>202</v>
      </c>
      <c r="H188" s="143">
        <v>4</v>
      </c>
      <c r="I188" s="130"/>
      <c r="J188" s="131">
        <f t="shared" si="17"/>
        <v>4</v>
      </c>
      <c r="N188" s="101" t="s">
        <v>240</v>
      </c>
      <c r="O188" s="290" t="s">
        <v>245</v>
      </c>
      <c r="P188" s="290" t="s">
        <v>237</v>
      </c>
      <c r="Q188" s="280" t="s">
        <v>72</v>
      </c>
      <c r="R188" s="213"/>
      <c r="S188" s="213" t="s">
        <v>72</v>
      </c>
      <c r="T188" s="213" t="s">
        <v>198</v>
      </c>
      <c r="U188" s="291">
        <f>((($I$141*$G$141*2)+($I$143*$G$143*2)+($I$144*$G$144*2))/1000)*$J$120</f>
        <v>75.268500000000003</v>
      </c>
      <c r="V188" s="291">
        <v>350</v>
      </c>
      <c r="W188" s="292">
        <f t="shared" si="22"/>
        <v>1</v>
      </c>
    </row>
    <row r="189" spans="1:23" s="1" customFormat="1" ht="18" customHeight="1">
      <c r="A189" s="201">
        <f>IF(B189="","",+A197+1)</f>
        <v>1</v>
      </c>
      <c r="B189" s="139" t="str">
        <f>IF($D$129="Standard",$O$186,IF($D$129="Soumdproof",$O$187,))</f>
        <v>ยางเฟรมกันน้ำ (ธรรมดา)</v>
      </c>
      <c r="C189" s="139" t="str">
        <f>IF($D$129="Standard",$P$186,IF($D$129="Soumdproof",$P$187,))</f>
        <v>FRAME SEAL (Standard)</v>
      </c>
      <c r="D189" s="139" t="str">
        <f>IF($D$129="Standard",$Q$186,IF($D$129="Soumdproof",$Q$187,))</f>
        <v>02-026</v>
      </c>
      <c r="E189" s="143">
        <f>IF($D$129="Standard",R191,IF($D$129="Soumdproof",R192,))</f>
        <v>0</v>
      </c>
      <c r="F189" s="143" t="str">
        <f>IF($D$129="Standard",$S$186,IF($D$129="Soumdproof",$S$187,))</f>
        <v>02-026</v>
      </c>
      <c r="G189" s="143" t="str">
        <f>IF($D$129="Standard",$T$186,IF($D$129="Soumdproof",$T$187,))</f>
        <v>M</v>
      </c>
      <c r="H189" s="261">
        <f>IF($D$129="Standard",$U$186,IF($D$129="Soumdproof",$U$187,))</f>
        <v>14.757999999999999</v>
      </c>
      <c r="I189" s="258">
        <f>IF($D$129="Standard",$V$186,IF($D$129="Soumdproof",$V$187,))</f>
        <v>300</v>
      </c>
      <c r="J189" s="267">
        <f>ROUNDUP((H189)/100,0)</f>
        <v>1</v>
      </c>
      <c r="N189" s="101" t="s">
        <v>241</v>
      </c>
      <c r="O189" s="290" t="s">
        <v>246</v>
      </c>
      <c r="P189" s="290" t="s">
        <v>239</v>
      </c>
      <c r="Q189" s="280" t="s">
        <v>193</v>
      </c>
      <c r="R189" s="213"/>
      <c r="S189" s="213" t="s">
        <v>193</v>
      </c>
      <c r="T189" s="213" t="s">
        <v>198</v>
      </c>
      <c r="U189" s="291">
        <f>((($I$141*$G$141*2)+($I$143*$G$143*2)+($I$144*$G$144*2))/1000)*$J$120</f>
        <v>75.268500000000003</v>
      </c>
      <c r="V189" s="291">
        <v>100</v>
      </c>
      <c r="W189" s="292">
        <f t="shared" si="22"/>
        <v>1</v>
      </c>
    </row>
    <row r="190" spans="1:23" s="1" customFormat="1" ht="18" customHeight="1">
      <c r="A190" s="201">
        <f>IF(B190="","",+A189+1)</f>
        <v>2</v>
      </c>
      <c r="B190" s="139" t="str">
        <f>IF($D$129="Standard",$O$188,IF($D$129="Soumdproof",$O$189,))</f>
        <v>ยางแซชกันน้ำ (ธรรมดา)</v>
      </c>
      <c r="C190" s="139" t="str">
        <f>IF($D$129="Standard",$P$188,IF($D$129="Soumdproof",$P$189,))</f>
        <v>SASH SEAL FOAM (Standard)</v>
      </c>
      <c r="D190" s="139" t="str">
        <f>IF($D$129="Standard",$Q$188,IF($D$129="Soumdproof",$Q$189,))</f>
        <v>02-031</v>
      </c>
      <c r="E190" s="143">
        <f>IF($D$129="Standard",R193,IF($D$129="Soumdproof",R194,))</f>
        <v>0</v>
      </c>
      <c r="F190" s="143" t="str">
        <f>IF($D$129="Standard",$S$188,IF($D$129="Soumdproof",$S$189,))</f>
        <v>02-031</v>
      </c>
      <c r="G190" s="143" t="str">
        <f>IF($D$129="Standard",$T$188,IF($D$129="Soumdproof",$T$189,))</f>
        <v>M</v>
      </c>
      <c r="H190" s="261">
        <f>IF($D$129="Standard",$U$188,IF($D$129="Soumdproof",$U$189,))</f>
        <v>75.268500000000003</v>
      </c>
      <c r="I190" s="258">
        <f>IF($D$129="Standard",$V$188,IF($D$129="Soumdproof",$V$189,))</f>
        <v>350</v>
      </c>
      <c r="J190" s="267">
        <f t="shared" ref="J190:J192" si="23">ROUNDUP((H190)/100,0)</f>
        <v>1</v>
      </c>
    </row>
    <row r="191" spans="1:23" s="1" customFormat="1" ht="18" customHeight="1">
      <c r="A191" s="201">
        <f>IF(B191="","",+A190+1)</f>
        <v>3</v>
      </c>
      <c r="B191" s="241" t="str">
        <f>IF($D$127=5,$O$177,IF($D$127=6,$O$178,IF($D$127=8,$O$179,IF($D$127=10,$O$177,IF($D$127=12,$O$177,IF($D$127=14,$O$179,IF($D$127=18,$O$177,IF($D$127=20,$O$178,IF($D$127=22,"")))))))))</f>
        <v>6,20 mm ยางอัดกระจก</v>
      </c>
      <c r="C191" s="241" t="str">
        <f>IF($D$127=5,$P$177,IF($D$127=6,$P$178,IF($D$127=8,$P$179,IF($D$127=10,$P$177,IF($D$127=12,$P$177,IF($D$127=14,$P$179,IF($D$127=18,$P$177,IF($D$127=20,$P$178,IF($D$127=22,"")))))))))</f>
        <v>6,20 mm ROLL IN WEDGE</v>
      </c>
      <c r="D191" s="241" t="str">
        <f>IF($D$127=5,$Q$177,IF($D$127=6,$Q$178,IF($D$127=8,$Q$179,IF($D$127=10,$Q$177,IF($D$127=12,$Q$177,IF($D$127=14,$Q$179,IF($D$127=18,$Q$177,IF($D$127=20,$Q$178,IF($D$127=22,"")))))))))</f>
        <v>02-034</v>
      </c>
      <c r="E191" s="241">
        <f>IF($D$127=5,R182,IF($D$127=6,R183,IF($D$127=8,R184,IF($D$127=10,R182,IF($D$127=12,R182,IF($D$127=14,R184,IF($D$127=18,R182,IF($D$127=20,R183,IF($D$127=22,"",)))))))))</f>
        <v>0</v>
      </c>
      <c r="F191" s="242" t="str">
        <f>IF($D$127=5,$S$177,IF($D$127=6,$S$178,IF($D$127=8,$S$179,IF($D$127=10,$S$177,IF($D$127=12,$S$177,IF($D$127=14,$S$179,IF($D$127=18,$S$177,IF($D$127=20,$S$178,IF($D$127=22,"")))))))))</f>
        <v>02-034</v>
      </c>
      <c r="G191" s="242" t="str">
        <f>IF($D$127=5,$T$177,IF($D$127=6,$T$178,IF($D$127=8,$T$179,IF($D$127=10,$T$177,IF($D$127=12,$T$177,IF($D$127=14,$T$179,IF($D$127=18,$T$177,IF($D$127=20,$T$178,IF($D$127=22,"")))))))))</f>
        <v>M</v>
      </c>
      <c r="H191" s="261">
        <f>IF($D$127=5,$U$177,IF($D$127=6,$U$178,IF($D$127=8,$U$179,IF($D$127=10,$U$177*2,IF($D$127=12,$U$177,IF($D$127=14,$U$179*2,IF($D$127=18,$U$177,IF($D$127=20,$U$178,IF($D$127=22,"")))))))))</f>
        <v>47.572499999999998</v>
      </c>
      <c r="I191" s="258">
        <f>IF($D$127=5,$V$177,IF($D$127=6,$V$178,IF($D$127=8,$V$179,IF($D$127=10,$V$177,IF($D$127=12,$V$177,IF($D$127=14,$V$179,IF($D$127=18,$V$177,IF($D$127=20,$V$178,IF($D$127=22,"")))))))))</f>
        <v>100</v>
      </c>
      <c r="J191" s="267">
        <f t="shared" si="23"/>
        <v>1</v>
      </c>
    </row>
    <row r="192" spans="1:23" s="1" customFormat="1" ht="18" customHeight="1">
      <c r="A192" s="201">
        <f>IF(B192="","",+A191+1)</f>
        <v>4</v>
      </c>
      <c r="B192" s="241" t="str">
        <f>IF($D$127=5,$O$175,IF($D$127=6,$O$175,IF($D$127=8,$O$177,IF($D$127=10,"",IF($D$127=12,$O$176,IF($D$127=14,"",IF($D$127=18,$O$175,IF($D$127=20,$O$176,IF($D$127=22,"",)))))))))</f>
        <v>5,6,18 mm ยางรองกระจก</v>
      </c>
      <c r="C192" s="241" t="str">
        <f>IF($D$127=5,$P$175,IF($D$127=6,$P$175,IF($D$127=8,$P$177,IF($D$127=10,"",IF($D$127=12,$P$176,IF($D$127=14,"",IF($D$127=18,$P$175,IF($D$127=20,$P$176,IF($D$127=22,"",)))))))))</f>
        <v>5,6,18 mm CAPTIVE WEDGE</v>
      </c>
      <c r="D192" s="241" t="str">
        <f>IF($D$127=5,$Q$175,IF($D$127=6,$Q$175,IF($D$127=8,$Q$177,IF($D$127=10,"",IF($D$127=12,$Q$176,IF($D$127=14,"",IF($D$127=18,$Q$175,IF($D$127=20,$Q$176,IF($D$127=22,"",)))))))))</f>
        <v>02-022</v>
      </c>
      <c r="E192" s="241">
        <f>IF($D$127=5,R180,IF($D$127=6,R180,IF($D$127=8,R182,IF($D$127=10,"",IF($D$127=12,R181,IF($D$127=14,"",IF($D$127=18,R180,IF($D$127=20,R181,IF($D$127=22,"",)))))))))</f>
        <v>0</v>
      </c>
      <c r="F192" s="242" t="str">
        <f>IF($D$127=5,$S$175,IF($D$127=6,$S$175,IF($D$127=8,$S$177,IF($D$127=10,"",IF($D$127=12,$S$176,IF($D$127=14,"",IF($D$127=18,$S$175,IF($D$127=20,$S$176,IF($D$127=22,"",)))))))))</f>
        <v>02-022</v>
      </c>
      <c r="G192" s="242" t="str">
        <f>IF($D$127=5,$T$175,IF($D$127=6,$T$175,IF($D$127=8,$T$177,IF($D$127=10,"",IF($D$127=12,$T$176,IF($D$127=14,"",IF($D$127=18,$T$175,IF($D$127=20,$T$176,IF($D$127=22,"",)))))))))</f>
        <v>M</v>
      </c>
      <c r="H192" s="261">
        <f>IF($D$127=5,$U$175,IF($D$127=6,$U$175,IF($D$127=8,$U$177,IF($D$127=10,"",IF($D$127=12,$U$176,IF($D$127=14,"",IF($D$127=18,$U$175,IF($D$127=20,$U$176,IF($D$127=22,"")))))))))</f>
        <v>47.572499999999998</v>
      </c>
      <c r="I192" s="258">
        <f>IF($D$127=5,$V$175,IF($D$127=6,$V$175,IF($D$127=8,$V$177,IF($D$127=10,"",IF($D$127=12,$V$176,IF($D$127=14,"",IF($D$127=18,$V$175,IF($D$127=20,$V$176,IF($D$127=22,"",)))))))))</f>
        <v>100</v>
      </c>
      <c r="J192" s="267">
        <f t="shared" si="23"/>
        <v>1</v>
      </c>
    </row>
    <row r="193" spans="1:24" s="1" customFormat="1" ht="18" customHeight="1">
      <c r="A193" s="201"/>
      <c r="B193" s="140"/>
      <c r="C193" s="140"/>
      <c r="D193" s="139"/>
      <c r="E193" s="143"/>
      <c r="F193" s="143"/>
      <c r="G193" s="143"/>
      <c r="H193" s="143"/>
      <c r="I193" s="130"/>
      <c r="J193" s="131"/>
    </row>
    <row r="194" spans="1:24" s="1" customFormat="1" ht="18" customHeight="1">
      <c r="A194" s="201"/>
      <c r="B194" s="140"/>
      <c r="C194" s="140"/>
      <c r="D194" s="139"/>
      <c r="E194" s="143"/>
      <c r="F194" s="143"/>
      <c r="G194" s="143"/>
      <c r="H194" s="143"/>
      <c r="I194" s="130"/>
      <c r="J194" s="131"/>
    </row>
    <row r="195" spans="1:24" ht="18" customHeight="1">
      <c r="A195" s="201"/>
      <c r="B195" s="140"/>
      <c r="C195" s="140"/>
      <c r="D195" s="139"/>
      <c r="E195" s="143"/>
      <c r="F195" s="143"/>
      <c r="G195" s="143"/>
      <c r="H195" s="143"/>
      <c r="I195" s="130"/>
      <c r="J195" s="13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s="1" customFormat="1" ht="18" customHeight="1">
      <c r="A196" s="201"/>
      <c r="B196" s="140"/>
      <c r="C196" s="140"/>
      <c r="D196" s="139"/>
      <c r="E196" s="143"/>
      <c r="F196" s="143"/>
      <c r="G196" s="143"/>
      <c r="H196" s="261"/>
      <c r="I196" s="258"/>
      <c r="J196" s="267"/>
    </row>
    <row r="197" spans="1:24" s="1" customFormat="1" ht="18" customHeight="1">
      <c r="A197" s="201"/>
      <c r="B197" s="140"/>
      <c r="C197" s="140"/>
      <c r="D197" s="139"/>
      <c r="E197" s="143"/>
      <c r="F197" s="143"/>
      <c r="G197" s="143"/>
      <c r="H197" s="261"/>
      <c r="I197" s="258"/>
      <c r="J197" s="267"/>
    </row>
    <row r="198" spans="1:24" s="1" customFormat="1" ht="18" customHeight="1">
      <c r="A198" s="201"/>
      <c r="B198" s="140"/>
      <c r="C198" s="140"/>
      <c r="D198" s="139"/>
      <c r="E198" s="143"/>
      <c r="F198" s="143"/>
      <c r="G198" s="143"/>
      <c r="H198" s="143"/>
      <c r="I198" s="144"/>
      <c r="J198" s="131"/>
    </row>
    <row r="199" spans="1:24" s="1" customFormat="1" ht="18" customHeight="1">
      <c r="A199" s="201"/>
      <c r="B199" s="140"/>
      <c r="C199" s="140"/>
      <c r="D199" s="139"/>
      <c r="E199" s="143"/>
      <c r="F199" s="143"/>
      <c r="G199" s="143"/>
      <c r="H199" s="143"/>
      <c r="I199" s="130"/>
      <c r="J199" s="131"/>
    </row>
    <row r="200" spans="1:24" s="1" customFormat="1" ht="18" customHeight="1">
      <c r="A200" s="201" t="str">
        <f>IF(B200="","",+A192+1)</f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ref="J200:J205" si="24">$J$120*G200</f>
        <v>0</v>
      </c>
    </row>
    <row r="201" spans="1:24" s="1" customFormat="1" ht="18" customHeight="1">
      <c r="A201" s="201" t="str">
        <f t="shared" si="19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si="24"/>
        <v>0</v>
      </c>
    </row>
    <row r="202" spans="1:24" s="1" customFormat="1" ht="18" customHeight="1">
      <c r="A202" s="201" t="str">
        <f t="shared" si="19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si="24"/>
        <v>0</v>
      </c>
    </row>
    <row r="203" spans="1:24" s="1" customFormat="1" ht="18" customHeight="1">
      <c r="A203" s="201" t="str">
        <f t="shared" si="19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si="24"/>
        <v>0</v>
      </c>
    </row>
    <row r="204" spans="1:24" s="1" customFormat="1" ht="18" customHeight="1">
      <c r="A204" s="201" t="str">
        <f>IF(B204="","",+#REF!+1)</f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 t="shared" si="24"/>
        <v>0</v>
      </c>
    </row>
    <row r="205" spans="1:24" s="1" customFormat="1" ht="18" customHeight="1">
      <c r="A205" s="317" t="str">
        <f t="shared" ref="A205" si="25">IF(B205="","",+A204+1)</f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 t="shared" si="24"/>
        <v>0</v>
      </c>
    </row>
    <row r="206" spans="1:24" ht="18" customHeight="1">
      <c r="A206" s="25"/>
      <c r="B206" s="161"/>
      <c r="C206" s="33"/>
      <c r="D206" s="30"/>
      <c r="E206" s="17"/>
      <c r="F206" s="30"/>
      <c r="G206" s="30"/>
      <c r="H206" s="161"/>
      <c r="I206" s="24"/>
      <c r="J206" s="24"/>
    </row>
    <row r="207" spans="1:24" ht="12.75" customHeight="1">
      <c r="A207" s="17"/>
      <c r="J207" s="99" t="str">
        <f>LEFT($J$111,11)&amp;"-02"</f>
        <v>FG-240-8P8R-02</v>
      </c>
      <c r="K207" s="7"/>
      <c r="L207" s="7"/>
      <c r="M207" s="2"/>
      <c r="N207" s="2"/>
    </row>
    <row r="208" spans="1:24" ht="30" customHeight="1">
      <c r="B208" s="56"/>
      <c r="C208" s="56"/>
      <c r="D208" s="30"/>
      <c r="E208" s="17"/>
      <c r="F208" s="17"/>
      <c r="G208" s="17"/>
      <c r="H208" s="17"/>
      <c r="K208" s="11"/>
      <c r="L208" s="11"/>
      <c r="M208" s="2"/>
      <c r="N208" s="2"/>
    </row>
    <row r="209" spans="1:14" ht="24.9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279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48"/>
      <c r="L210" s="48"/>
      <c r="M210" s="4"/>
      <c r="N210" s="4"/>
    </row>
    <row r="211" spans="1:14" s="1" customFormat="1" ht="15" customHeight="1">
      <c r="A211"/>
      <c r="B211" s="279"/>
      <c r="C211" s="28"/>
      <c r="D211" s="28"/>
      <c r="E211" s="28"/>
      <c r="F211" s="28"/>
      <c r="G211" s="28"/>
      <c r="H211" s="28"/>
      <c r="I211" s="28"/>
      <c r="J211" s="397" t="str">
        <f>$J$4</f>
        <v xml:space="preserve">240 Series Bi Fold Door </v>
      </c>
      <c r="K211" s="4"/>
      <c r="L211" s="4"/>
      <c r="M211" s="4"/>
      <c r="N211" s="4"/>
    </row>
    <row r="212" spans="1:14" s="1" customFormat="1" ht="24.9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56"/>
      <c r="L212" s="56"/>
      <c r="M212" s="56"/>
      <c r="N212" s="56"/>
    </row>
    <row r="213" spans="1:14" ht="20.399999999999999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</row>
    <row r="214" spans="1:14" s="1" customFormat="1" ht="15" customHeight="1">
      <c r="A214"/>
      <c r="B214"/>
      <c r="C214"/>
      <c r="D214" s="81"/>
      <c r="E214"/>
      <c r="F214"/>
      <c r="G214"/>
      <c r="H214"/>
      <c r="I214"/>
      <c r="J214" s="112"/>
    </row>
    <row r="215" spans="1:14" s="1" customFormat="1" ht="15" customHeight="1">
      <c r="A215" s="93"/>
      <c r="B215"/>
      <c r="C215"/>
      <c r="D215" s="81"/>
      <c r="E215"/>
      <c r="F215"/>
      <c r="G215"/>
      <c r="H215"/>
      <c r="I215" s="160"/>
      <c r="J215" s="116"/>
    </row>
    <row r="216" spans="1:14" s="1" customFormat="1" ht="15" customHeight="1">
      <c r="A216" s="17"/>
      <c r="B216" s="93"/>
      <c r="C216" s="56"/>
      <c r="D216" s="30"/>
      <c r="E216" s="29"/>
      <c r="F216" s="160"/>
      <c r="G216" s="160"/>
      <c r="H216" s="160"/>
      <c r="J216" s="17"/>
    </row>
    <row r="217" spans="1:14" s="1" customFormat="1" ht="15.6">
      <c r="A217" s="17"/>
      <c r="B217" s="56"/>
      <c r="C217" s="328"/>
      <c r="D217" s="30"/>
      <c r="E217" s="29"/>
      <c r="F217" s="30"/>
      <c r="J217" s="17"/>
    </row>
    <row r="218" spans="1:14" s="1" customFormat="1" ht="15" customHeight="1">
      <c r="A218" s="109"/>
      <c r="B218" s="33"/>
      <c r="C218" s="393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272</v>
      </c>
      <c r="D220" s="30"/>
      <c r="E220" s="29"/>
      <c r="F220" s="30"/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89"/>
      <c r="J221" s="12"/>
    </row>
    <row r="222" spans="1:14" s="1" customFormat="1" ht="15" customHeight="1">
      <c r="A222" s="109"/>
      <c r="B222" s="33"/>
      <c r="C222" s="393" t="s">
        <v>273</v>
      </c>
      <c r="D222" s="161"/>
      <c r="E222" s="109"/>
      <c r="F222" s="161"/>
      <c r="J222" s="12"/>
    </row>
    <row r="223" spans="1:14" s="1" customFormat="1" ht="15" customHeight="1">
      <c r="A223" s="109"/>
      <c r="B223" s="33"/>
      <c r="C223" s="374">
        <f>$I$133</f>
        <v>6240</v>
      </c>
      <c r="D223" s="161"/>
      <c r="E223" s="35"/>
      <c r="F223" s="161"/>
      <c r="G223" s="68"/>
      <c r="J223" s="12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390"/>
      <c r="I224" s="109"/>
      <c r="J224" s="109"/>
    </row>
    <row r="225" spans="1:10" s="1" customFormat="1" ht="15.9" customHeight="1">
      <c r="A225" s="109"/>
      <c r="B225" s="33"/>
      <c r="D225" s="161"/>
      <c r="E225" s="109"/>
      <c r="F225" s="161"/>
      <c r="G225" s="390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393"/>
      <c r="D229" s="161"/>
      <c r="E229" s="109"/>
      <c r="F229" s="161"/>
      <c r="H229" s="109"/>
      <c r="I229" s="328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328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328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328"/>
      <c r="J232" s="117"/>
    </row>
    <row r="233" spans="1:10" s="1" customFormat="1" ht="15.9" customHeight="1">
      <c r="A233" s="44"/>
      <c r="B233" s="44"/>
      <c r="C233" s="89" t="s">
        <v>274</v>
      </c>
      <c r="D233" s="84"/>
      <c r="E233" s="44"/>
      <c r="F233" s="44"/>
      <c r="G233" s="109"/>
      <c r="H233" s="109"/>
      <c r="I233" s="328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6214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328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328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109"/>
      <c r="J242" s="24"/>
    </row>
    <row r="243" spans="1:10" s="1" customFormat="1" ht="15.9" customHeight="1">
      <c r="A243" s="109"/>
      <c r="B243" s="33"/>
      <c r="C243" s="89" t="s">
        <v>276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.9" customHeight="1">
      <c r="A245" s="109"/>
      <c r="B245" s="33"/>
      <c r="C245" s="393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6240</v>
      </c>
      <c r="D246" s="161"/>
      <c r="E246" s="109"/>
      <c r="F246" s="161"/>
      <c r="G246" s="109"/>
      <c r="H246" s="109"/>
      <c r="I246" s="44"/>
      <c r="J246" s="119"/>
    </row>
    <row r="247" spans="1:10" s="1" customFormat="1" ht="15.9" customHeight="1">
      <c r="A247" s="109"/>
      <c r="B247" s="33"/>
      <c r="C247" s="363">
        <f>$J$135</f>
        <v>1</v>
      </c>
      <c r="D247" s="161"/>
      <c r="E247" s="109"/>
      <c r="F247" s="161"/>
      <c r="G247" s="109"/>
      <c r="H247" s="109"/>
      <c r="I247" s="32"/>
      <c r="J247" s="40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0"/>
      <c r="H251" s="109"/>
      <c r="I251" s="24"/>
      <c r="J251" s="24"/>
    </row>
    <row r="252" spans="1:10" s="1" customFormat="1" ht="15.9" customHeight="1">
      <c r="A252" s="109"/>
      <c r="B252" s="33"/>
      <c r="D252" s="161"/>
      <c r="E252" s="109"/>
      <c r="F252" s="109"/>
      <c r="G252" s="109"/>
      <c r="H252" s="109"/>
      <c r="I252" s="24"/>
      <c r="J252" s="24"/>
    </row>
    <row r="253" spans="1:10" s="1" customFormat="1" ht="15.9" customHeight="1">
      <c r="A253" s="44"/>
      <c r="B253" s="44"/>
      <c r="D253" s="84"/>
      <c r="E253" s="44"/>
      <c r="F253" s="44"/>
      <c r="G253" s="109"/>
      <c r="H253" s="109"/>
      <c r="I253" s="24"/>
      <c r="J253" s="24"/>
    </row>
    <row r="254" spans="1:10" s="1" customFormat="1" ht="15.9" customHeight="1">
      <c r="A254" s="40"/>
      <c r="B254" s="40"/>
      <c r="C254" s="89" t="s">
        <v>277</v>
      </c>
      <c r="D254" s="85"/>
      <c r="E254" s="40"/>
      <c r="F254" s="32"/>
      <c r="G254" s="109"/>
      <c r="I254" s="24"/>
      <c r="J254" s="24"/>
    </row>
    <row r="255" spans="1:10" s="1" customFormat="1" ht="15.9" customHeight="1">
      <c r="A255" s="27"/>
      <c r="B255" s="33"/>
      <c r="C255" s="328" t="s">
        <v>275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93" t="s">
        <v>273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74">
        <f>$I$136</f>
        <v>6240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63">
        <f>$J$136</f>
        <v>1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46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161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89" t="s">
        <v>278</v>
      </c>
      <c r="D264" s="161"/>
      <c r="E264" s="109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8" t="s">
        <v>379</v>
      </c>
      <c r="D265" s="328"/>
      <c r="E265" s="328"/>
      <c r="F265" s="109"/>
      <c r="G265" s="109"/>
      <c r="H265" s="109"/>
      <c r="I265" s="24"/>
      <c r="J265" s="24"/>
    </row>
    <row r="266" spans="1:10" s="1" customFormat="1" ht="15.9" customHeight="1">
      <c r="A266" s="27"/>
      <c r="B266" s="33"/>
      <c r="C266" s="393" t="s">
        <v>279</v>
      </c>
      <c r="D266" s="393"/>
      <c r="E266" s="393"/>
      <c r="F266" s="109"/>
      <c r="G266" s="109"/>
      <c r="H266" s="109"/>
      <c r="J266" s="12"/>
    </row>
    <row r="267" spans="1:10" s="1" customFormat="1" ht="15.9" customHeight="1">
      <c r="A267" s="27"/>
      <c r="B267" s="33"/>
      <c r="C267" s="374">
        <f>$I$137</f>
        <v>2400</v>
      </c>
      <c r="D267" s="161"/>
      <c r="E267" s="109"/>
      <c r="F267" s="109"/>
      <c r="G267" s="33"/>
      <c r="H267" s="33"/>
      <c r="J267" s="12"/>
    </row>
    <row r="268" spans="1:10" s="1" customFormat="1" ht="15.9" customHeight="1">
      <c r="A268" s="27"/>
      <c r="B268" s="33"/>
      <c r="C268" s="363">
        <f>$J$137+$J$138</f>
        <v>2</v>
      </c>
      <c r="D268" s="161"/>
      <c r="E268" s="10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D271" s="328"/>
      <c r="E271" s="328"/>
      <c r="F271" s="109"/>
      <c r="G271" s="109"/>
      <c r="H271" s="109"/>
      <c r="J271" s="12"/>
    </row>
    <row r="272" spans="1:10" s="1" customFormat="1" ht="15.9" customHeight="1">
      <c r="A272" s="27"/>
      <c r="D272" s="328"/>
      <c r="E272" s="328"/>
      <c r="F272" s="109"/>
      <c r="G272" s="109"/>
      <c r="H272" s="109"/>
      <c r="J272" s="12"/>
    </row>
    <row r="273" spans="1:10" s="1" customFormat="1" ht="15.9" customHeight="1">
      <c r="A273" s="27"/>
      <c r="B273" s="33"/>
      <c r="D273" s="328"/>
      <c r="E273" s="328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33"/>
      <c r="D274" s="161"/>
      <c r="E274" s="109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89" t="s">
        <v>280</v>
      </c>
      <c r="D275" s="162"/>
      <c r="E275" s="24"/>
      <c r="F275" s="109"/>
      <c r="G275" s="109"/>
      <c r="I275" s="24"/>
      <c r="J275" s="24"/>
    </row>
    <row r="276" spans="1:10" s="1" customFormat="1" ht="15.9" customHeight="1">
      <c r="A276" s="27"/>
      <c r="B276" s="33"/>
      <c r="C276" s="328" t="s">
        <v>649</v>
      </c>
      <c r="D276" s="328"/>
      <c r="E276" s="328"/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433" t="s">
        <v>650</v>
      </c>
      <c r="D277" s="393"/>
      <c r="E277" s="393"/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374">
        <f>$I$139</f>
        <v>2304</v>
      </c>
      <c r="F278" s="109"/>
      <c r="G278" s="109"/>
      <c r="I278" s="109"/>
      <c r="J278" s="24"/>
    </row>
    <row r="279" spans="1:10" s="1" customFormat="1" ht="15.9" customHeight="1">
      <c r="A279" s="27"/>
      <c r="B279" s="33"/>
      <c r="C279" s="363">
        <f>$J$139+$J$140</f>
        <v>2</v>
      </c>
      <c r="F279" s="109"/>
      <c r="G279" s="109"/>
      <c r="I279" s="109"/>
      <c r="J279" s="24"/>
    </row>
    <row r="280" spans="1:10" s="1" customFormat="1" ht="15.9" customHeight="1">
      <c r="A280" s="27"/>
      <c r="B280" s="33"/>
      <c r="F280" s="109"/>
      <c r="G280" s="109"/>
      <c r="H280" s="109"/>
      <c r="J280" s="12"/>
    </row>
    <row r="281" spans="1:10" s="1" customFormat="1" ht="15.9" customHeight="1">
      <c r="A281" s="27"/>
      <c r="B281" s="33"/>
      <c r="C281" s="33"/>
      <c r="D281" s="161"/>
      <c r="E281" s="109"/>
      <c r="F281" s="109"/>
      <c r="G281" s="109"/>
      <c r="H281" s="109"/>
      <c r="J281" s="12"/>
    </row>
    <row r="282" spans="1:10" s="1" customFormat="1" ht="15.75" customHeight="1">
      <c r="A282" s="27"/>
      <c r="B282" s="33"/>
      <c r="C282" s="33"/>
      <c r="D282" s="161"/>
      <c r="E282" s="109"/>
      <c r="F282" s="109"/>
      <c r="G282" s="109"/>
      <c r="H282" s="109"/>
      <c r="J282" s="12"/>
    </row>
    <row r="283" spans="1:10" s="1" customFormat="1" ht="15.9" customHeight="1">
      <c r="A283" s="27"/>
      <c r="B283" s="33"/>
      <c r="F283" s="109"/>
      <c r="G283" s="109"/>
      <c r="H283" s="109"/>
      <c r="J283" s="12"/>
    </row>
    <row r="284" spans="1:10" s="1" customFormat="1" ht="15.9" customHeight="1">
      <c r="A284" s="27"/>
      <c r="B284" s="33"/>
      <c r="F284" s="109"/>
      <c r="G284" s="109"/>
      <c r="H284" s="109"/>
      <c r="I284" s="162"/>
      <c r="J284" s="24"/>
    </row>
    <row r="285" spans="1:10" s="1" customFormat="1" ht="15.9" customHeight="1">
      <c r="A285" s="27"/>
      <c r="B285" s="33"/>
      <c r="C285" s="89" t="s">
        <v>283</v>
      </c>
      <c r="F285" s="109"/>
      <c r="G285" s="109"/>
      <c r="H285" s="109"/>
      <c r="I285" s="109"/>
      <c r="J285" s="24"/>
    </row>
    <row r="286" spans="1:10" s="1" customFormat="1" ht="15.9" customHeight="1">
      <c r="A286" s="27"/>
      <c r="B286" s="33"/>
      <c r="C286" s="94" t="s">
        <v>442</v>
      </c>
      <c r="D286" s="161"/>
      <c r="E286" s="109"/>
      <c r="F286" s="109"/>
      <c r="G286" s="109"/>
      <c r="H286" s="109"/>
      <c r="I286" s="24"/>
      <c r="J286" s="24"/>
    </row>
    <row r="287" spans="1:10" s="1" customFormat="1" ht="15.9" customHeight="1">
      <c r="A287" s="27"/>
      <c r="B287" s="33"/>
      <c r="C287" s="393" t="s">
        <v>443</v>
      </c>
      <c r="D287" s="161"/>
      <c r="E287" s="109"/>
      <c r="F287" s="109"/>
      <c r="G287" s="109"/>
      <c r="H287" s="109"/>
      <c r="I287" s="24"/>
      <c r="J287" s="24"/>
    </row>
    <row r="288" spans="1:10" s="23" customFormat="1" ht="15.9" customHeight="1">
      <c r="A288" s="27"/>
      <c r="B288" s="33"/>
      <c r="C288" s="328" t="s">
        <v>281</v>
      </c>
      <c r="D288" s="328"/>
      <c r="E288" s="328"/>
      <c r="F288" s="109"/>
      <c r="G288" s="109"/>
      <c r="H288" s="1"/>
      <c r="I288" s="24"/>
      <c r="J288" s="24"/>
    </row>
    <row r="289" spans="1:10" s="1" customFormat="1" ht="15.9" customHeight="1">
      <c r="A289" s="27"/>
      <c r="B289" s="33"/>
      <c r="C289" s="393" t="s">
        <v>282</v>
      </c>
      <c r="D289" s="393"/>
      <c r="E289" s="393"/>
      <c r="F289" s="109"/>
      <c r="G289" s="109"/>
      <c r="I289" s="109"/>
      <c r="J289" s="109"/>
    </row>
    <row r="290" spans="1:10" s="1" customFormat="1" ht="15.9" customHeight="1">
      <c r="A290" s="27"/>
      <c r="B290" s="33"/>
      <c r="C290" s="374">
        <f>$I$141</f>
        <v>665.28125</v>
      </c>
      <c r="F290" s="109"/>
      <c r="G290" s="109"/>
      <c r="I290" s="44"/>
      <c r="J290" s="119"/>
    </row>
    <row r="291" spans="1:10" s="1" customFormat="1" ht="15.9" customHeight="1">
      <c r="A291" s="27"/>
      <c r="B291" s="33"/>
      <c r="C291" s="363">
        <f>$J$141+$J$142</f>
        <v>16</v>
      </c>
      <c r="D291" s="161"/>
      <c r="E291" s="109"/>
      <c r="F291" s="109"/>
      <c r="G291" s="109"/>
      <c r="H291" s="161"/>
      <c r="I291" s="32"/>
      <c r="J291" s="40"/>
    </row>
    <row r="292" spans="1:10" s="1" customFormat="1" ht="15.9" customHeight="1">
      <c r="A292" s="27"/>
      <c r="B292" s="33"/>
      <c r="C292" s="374">
        <f>$I$143</f>
        <v>2308</v>
      </c>
      <c r="D292" s="161"/>
      <c r="E292" s="109"/>
      <c r="F292" s="109"/>
      <c r="G292" s="109"/>
      <c r="H292" s="109"/>
      <c r="I292" s="24"/>
      <c r="J292" s="24"/>
    </row>
    <row r="293" spans="1:10" s="1" customFormat="1" ht="15.9" customHeight="1">
      <c r="A293" s="27"/>
      <c r="B293" s="33"/>
      <c r="C293" s="363">
        <f>$J$143+$J$144+$J$145+$J$146</f>
        <v>16</v>
      </c>
      <c r="D293" s="161"/>
      <c r="E293" s="109"/>
      <c r="F293" s="109"/>
      <c r="G293" s="109"/>
      <c r="H293" s="109"/>
      <c r="I293" s="24"/>
      <c r="J293" s="24"/>
    </row>
    <row r="294" spans="1:10" s="1" customFormat="1" ht="15.9" customHeight="1">
      <c r="A294" s="27"/>
      <c r="B294" s="33"/>
      <c r="D294" s="161"/>
      <c r="E294" s="109"/>
      <c r="F294" s="109"/>
      <c r="G294" s="109"/>
      <c r="H294" s="109"/>
      <c r="I294" s="24"/>
      <c r="J294" s="24"/>
    </row>
    <row r="295" spans="1:10" s="1" customFormat="1" ht="15.9" customHeight="1">
      <c r="A295" s="27"/>
      <c r="B295" s="33"/>
      <c r="C295" s="33"/>
      <c r="D295" s="161"/>
      <c r="E295" s="109"/>
      <c r="F295" s="109"/>
      <c r="G295" s="109"/>
      <c r="H295" s="109"/>
      <c r="I295" s="109"/>
      <c r="J295" s="24"/>
    </row>
    <row r="296" spans="1:10" s="1" customFormat="1" ht="15.9" customHeight="1">
      <c r="A296" s="27"/>
      <c r="B296" s="33"/>
      <c r="C296" s="23"/>
      <c r="D296" s="161"/>
      <c r="E296" s="109"/>
      <c r="F296" s="109"/>
      <c r="G296" s="109"/>
      <c r="H296" s="109"/>
      <c r="I296" s="109"/>
      <c r="J296" s="24"/>
    </row>
    <row r="297" spans="1:10" s="1" customFormat="1" ht="15.9" customHeight="1">
      <c r="A297" s="27"/>
      <c r="B297" s="33"/>
      <c r="C297" s="89" t="s">
        <v>284</v>
      </c>
      <c r="D297" s="161"/>
      <c r="E297" s="109"/>
      <c r="F297" s="109"/>
      <c r="G297" s="109"/>
      <c r="H297" s="109"/>
      <c r="I297" s="109"/>
      <c r="J297" s="24"/>
    </row>
    <row r="298" spans="1:10" s="1" customFormat="1" ht="15.9" customHeight="1">
      <c r="A298" s="27"/>
      <c r="B298" s="33"/>
      <c r="C298" s="94" t="s">
        <v>442</v>
      </c>
      <c r="D298" s="161"/>
      <c r="E298" s="109"/>
      <c r="F298" s="109"/>
      <c r="G298" s="44"/>
      <c r="H298" s="44"/>
      <c r="I298" s="109"/>
      <c r="J298" s="24"/>
    </row>
    <row r="299" spans="1:10" s="1" customFormat="1" ht="15.9" customHeight="1">
      <c r="A299" s="27"/>
      <c r="B299" s="33"/>
      <c r="C299" s="393" t="s">
        <v>443</v>
      </c>
      <c r="D299" s="328"/>
      <c r="E299" s="328"/>
      <c r="F299" s="109"/>
      <c r="G299" s="40"/>
      <c r="H299" s="32"/>
      <c r="I299" s="109"/>
      <c r="J299" s="24"/>
    </row>
    <row r="300" spans="1:10" s="1" customFormat="1" ht="15.9" customHeight="1">
      <c r="A300" s="41"/>
      <c r="B300" s="33"/>
      <c r="C300" s="328" t="s">
        <v>286</v>
      </c>
      <c r="D300" s="393"/>
      <c r="E300" s="393"/>
      <c r="F300" s="109"/>
      <c r="G300" s="109"/>
      <c r="H300" s="109"/>
      <c r="I300" s="109"/>
      <c r="J300" s="24"/>
    </row>
    <row r="301" spans="1:10" s="1" customFormat="1" ht="15.9" customHeight="1">
      <c r="A301" s="44"/>
      <c r="B301" s="44"/>
      <c r="C301" s="393" t="s">
        <v>285</v>
      </c>
      <c r="D301" s="86"/>
      <c r="E301" s="79"/>
      <c r="F301" s="44"/>
      <c r="G301" s="109"/>
      <c r="H301" s="109"/>
      <c r="I301" s="109"/>
      <c r="J301" s="24"/>
    </row>
    <row r="302" spans="1:10" s="1" customFormat="1" ht="15.9" customHeight="1">
      <c r="A302" s="40"/>
      <c r="B302" s="40"/>
      <c r="C302" s="374">
        <f>$I$147</f>
        <v>665.28125</v>
      </c>
      <c r="D302" s="87"/>
      <c r="E302" s="80"/>
      <c r="F302" s="32"/>
      <c r="G302" s="109"/>
      <c r="H302" s="109"/>
      <c r="I302" s="109"/>
      <c r="J302" s="24"/>
    </row>
    <row r="303" spans="1:10" s="1" customFormat="1" ht="15.9" customHeight="1">
      <c r="A303" s="109"/>
      <c r="B303" s="33"/>
      <c r="C303" s="363">
        <f>$J$147</f>
        <v>16</v>
      </c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C304" s="374">
        <f>$I$148</f>
        <v>2158</v>
      </c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C305" s="363">
        <f>$J$148</f>
        <v>16</v>
      </c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D306" s="15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D307" s="15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89" t="s">
        <v>288</v>
      </c>
      <c r="D308" s="161"/>
      <c r="E308" s="109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28" t="s">
        <v>281</v>
      </c>
      <c r="D309" s="328"/>
      <c r="E309" s="328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542" t="s">
        <v>282</v>
      </c>
      <c r="D310" s="542"/>
      <c r="E310" s="542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C311" s="374">
        <f>$I$149</f>
        <v>0</v>
      </c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C312" s="363">
        <f>$J$149+$J$150</f>
        <v>0</v>
      </c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ht="12.75" customHeight="1">
      <c r="A314" s="25"/>
      <c r="B314" s="33"/>
      <c r="C314" s="1"/>
      <c r="D314" s="162"/>
      <c r="E314" s="24"/>
      <c r="F314" s="109"/>
      <c r="G314" s="109"/>
      <c r="H314" s="109"/>
      <c r="I314" s="27"/>
      <c r="J314" s="99" t="str">
        <f>LEFT($J$111,11)&amp;"-03"</f>
        <v>FG-240-8P8R-03</v>
      </c>
    </row>
    <row r="315" spans="1:14" ht="30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24.9" customHeight="1">
      <c r="A316" s="17"/>
      <c r="B316" s="26"/>
      <c r="C316" s="26"/>
      <c r="D316" s="83"/>
      <c r="E316" s="25"/>
      <c r="F316" s="25"/>
      <c r="G316" s="25"/>
      <c r="H316" s="25"/>
      <c r="I316" s="179"/>
      <c r="J316" s="90" t="str">
        <f>$J$2</f>
        <v>HOMELIFE</v>
      </c>
      <c r="K316" s="11"/>
      <c r="L316" s="11"/>
      <c r="M316" s="2"/>
      <c r="N316" s="2"/>
    </row>
    <row r="317" spans="1:14" ht="24.9" customHeight="1">
      <c r="B317" s="279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48"/>
      <c r="L317" s="48"/>
      <c r="M317" s="4"/>
      <c r="N317" s="4"/>
    </row>
    <row r="318" spans="1:14" s="1" customFormat="1" ht="15" customHeight="1">
      <c r="A318"/>
      <c r="B318" s="279"/>
      <c r="C318" s="28"/>
      <c r="D318" s="28"/>
      <c r="E318" s="28"/>
      <c r="F318" s="28"/>
      <c r="G318" s="28"/>
      <c r="H318" s="28"/>
      <c r="I318" s="28"/>
      <c r="J318" s="397" t="str">
        <f>$J$4</f>
        <v xml:space="preserve">240 Series Bi Fold Door </v>
      </c>
      <c r="K318" s="4"/>
      <c r="L318" s="4"/>
      <c r="M318" s="4"/>
      <c r="N318" s="4"/>
    </row>
    <row r="319" spans="1:14" ht="24.9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0.399999999999999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</row>
    <row r="321" spans="1:10" s="1" customFormat="1" ht="15" customHeight="1">
      <c r="A321"/>
      <c r="B321"/>
      <c r="C321"/>
      <c r="D321" s="81"/>
      <c r="E321"/>
      <c r="F321"/>
      <c r="G321"/>
      <c r="H321"/>
      <c r="I321"/>
      <c r="J321" s="112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72"/>
      <c r="C324" s="56"/>
      <c r="D324" s="30"/>
      <c r="E324" s="29"/>
      <c r="F324" s="160"/>
      <c r="G324" s="160"/>
      <c r="H324" s="160"/>
      <c r="I324" s="31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390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390"/>
      <c r="I331" s="161"/>
      <c r="J331" s="109"/>
    </row>
    <row r="332" spans="1:10" s="1" customFormat="1" ht="15" customHeight="1">
      <c r="A332" s="64" t="str">
        <f>A18</f>
        <v>240-8 Panel (8R)</v>
      </c>
      <c r="B332" s="92"/>
      <c r="C332" s="161"/>
      <c r="D332" s="161"/>
      <c r="E332" s="109"/>
      <c r="F332" s="390"/>
      <c r="G332" s="390"/>
      <c r="H332" s="390"/>
      <c r="I332" s="109"/>
      <c r="J332" s="109"/>
    </row>
    <row r="333" spans="1:10" s="1" customFormat="1" ht="15.9" customHeight="1">
      <c r="A333" s="76" t="str">
        <f>A19</f>
        <v xml:space="preserve">Outside Bi Fold Door </v>
      </c>
      <c r="B333" s="92"/>
      <c r="C333" s="161"/>
      <c r="D333" s="161"/>
      <c r="E333" s="109"/>
      <c r="F333" s="390"/>
      <c r="G333" s="390"/>
      <c r="H333" s="390"/>
      <c r="I333" s="109"/>
      <c r="J333" s="109"/>
    </row>
    <row r="334" spans="1:10" s="1" customFormat="1" ht="15.9" customHeight="1">
      <c r="A334" s="109"/>
      <c r="B334" s="45"/>
      <c r="C334" s="42"/>
      <c r="D334" s="161"/>
      <c r="E334" s="109"/>
      <c r="F334" s="507"/>
      <c r="G334" s="507"/>
      <c r="H334" s="390"/>
      <c r="I334" s="109"/>
      <c r="J334" s="109"/>
    </row>
    <row r="335" spans="1:10" s="1" customFormat="1" ht="15.9" customHeight="1">
      <c r="A335" s="39"/>
      <c r="B335" s="109"/>
      <c r="C335" s="161"/>
      <c r="D335" s="161"/>
      <c r="E335" s="109"/>
      <c r="F335" s="37"/>
      <c r="G335" s="38"/>
      <c r="H335" s="109"/>
      <c r="I335" s="109"/>
      <c r="J335" s="109"/>
    </row>
    <row r="336" spans="1:10" s="1" customFormat="1" ht="15.9" customHeight="1">
      <c r="A336" s="44"/>
      <c r="C336" s="43"/>
      <c r="D336" s="161"/>
      <c r="E336" s="109"/>
      <c r="F336" s="109"/>
      <c r="G336" s="109"/>
      <c r="H336" s="109"/>
      <c r="I336" s="44"/>
      <c r="J336" s="119"/>
    </row>
    <row r="337" spans="1:10" s="1" customFormat="1" ht="15.9" customHeight="1">
      <c r="A337" s="40"/>
      <c r="C337" s="44"/>
      <c r="D337" s="84"/>
      <c r="E337" s="44"/>
      <c r="F337" s="44"/>
      <c r="G337" s="44"/>
      <c r="H337" s="44"/>
      <c r="I337" s="32"/>
      <c r="J337" s="40"/>
    </row>
    <row r="338" spans="1:10" s="1" customFormat="1" ht="15.9" customHeight="1">
      <c r="A338" s="109"/>
      <c r="C338" s="161"/>
      <c r="D338" s="85"/>
      <c r="E338" s="40"/>
      <c r="F338" s="32"/>
      <c r="G338" s="40"/>
      <c r="H338" s="32"/>
      <c r="I338" s="24"/>
      <c r="J338" s="24"/>
    </row>
    <row r="339" spans="1:10" s="1" customFormat="1" ht="15.9" customHeight="1">
      <c r="A339" s="109"/>
      <c r="C339" s="163"/>
      <c r="D339" s="161"/>
      <c r="E339" s="109"/>
      <c r="F339" s="161"/>
      <c r="G339" s="109"/>
      <c r="H339" s="109"/>
      <c r="I339" s="24"/>
      <c r="J339" s="24"/>
    </row>
    <row r="340" spans="1:10" s="1" customFormat="1" ht="15.9" customHeight="1">
      <c r="A340" s="109"/>
      <c r="B340" s="33"/>
      <c r="C340" s="161"/>
      <c r="D340" s="161"/>
      <c r="E340" s="109"/>
      <c r="F340" s="161"/>
      <c r="G340" s="109"/>
      <c r="H340" s="109"/>
      <c r="I340" s="162"/>
      <c r="J340" s="162"/>
    </row>
    <row r="341" spans="1:10" s="1" customFormat="1" ht="15.9" customHeight="1">
      <c r="A341" s="109"/>
      <c r="B341" s="33"/>
      <c r="C341" s="44"/>
      <c r="D341" s="161"/>
      <c r="E341" s="109"/>
      <c r="F341" s="161"/>
      <c r="G341" s="109"/>
      <c r="H341" s="162"/>
      <c r="I341" s="161"/>
      <c r="J341" s="161"/>
    </row>
    <row r="342" spans="1:10" s="1" customFormat="1" ht="15.9" customHeight="1">
      <c r="A342" s="109"/>
      <c r="B342" s="33"/>
      <c r="C342" s="42"/>
      <c r="D342" s="161"/>
      <c r="E342" s="109"/>
      <c r="F342" s="161"/>
      <c r="G342" s="109"/>
      <c r="H342" s="161"/>
      <c r="I342" s="161"/>
      <c r="J342" s="161"/>
    </row>
    <row r="343" spans="1:10" s="1" customFormat="1" ht="15.9" customHeight="1">
      <c r="A343" s="109"/>
      <c r="B343" s="33"/>
      <c r="C343" s="163"/>
      <c r="D343" s="161"/>
      <c r="E343" s="109"/>
      <c r="F343" s="161"/>
      <c r="G343" s="109"/>
      <c r="H343" s="161"/>
      <c r="I343" s="109"/>
      <c r="J343" s="24"/>
    </row>
    <row r="344" spans="1:10" s="1" customFormat="1" ht="15.9" customHeight="1">
      <c r="A344" s="109"/>
      <c r="B344" s="33"/>
      <c r="C344" s="161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44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3"/>
      <c r="D350" s="161"/>
      <c r="E350" s="109"/>
      <c r="F350" s="161"/>
      <c r="G350" s="109"/>
      <c r="H350" s="109"/>
      <c r="I350" s="109"/>
      <c r="J350" s="24"/>
    </row>
    <row r="351" spans="1:10" s="1" customFormat="1" ht="15.9" customHeight="1">
      <c r="A351" s="109"/>
      <c r="B351" s="33"/>
      <c r="C351" s="161"/>
      <c r="D351" s="161"/>
      <c r="E351" s="109"/>
      <c r="F351" s="161"/>
      <c r="G351" s="109"/>
      <c r="H351" s="109"/>
      <c r="I351" s="24"/>
      <c r="J351" s="24"/>
    </row>
    <row r="352" spans="1:10" s="1" customFormat="1" ht="15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23" customFormat="1" ht="15.9" customHeight="1">
      <c r="A353" s="109"/>
      <c r="B353" s="33"/>
      <c r="C353" s="33"/>
      <c r="D353" s="161"/>
      <c r="E353" s="109"/>
      <c r="F353" s="109"/>
      <c r="G353" s="109"/>
      <c r="H353" s="107"/>
      <c r="I353" s="24"/>
      <c r="J353" s="24"/>
    </row>
    <row r="354" spans="1:10" s="1" customFormat="1" ht="15.9" customHeight="1">
      <c r="A354" s="109"/>
      <c r="B354" s="33"/>
      <c r="C354" s="33"/>
      <c r="D354" s="161"/>
      <c r="E354" s="109"/>
      <c r="F354" s="109"/>
      <c r="G354" s="109"/>
      <c r="H354" s="109"/>
      <c r="I354" s="109"/>
      <c r="J354" s="109"/>
    </row>
    <row r="355" spans="1:10" s="1" customFormat="1" ht="15.9" customHeight="1">
      <c r="A355" s="44"/>
      <c r="B355" s="33"/>
      <c r="C355" s="33"/>
      <c r="D355" s="161"/>
      <c r="E355" s="109"/>
      <c r="F355" s="109"/>
      <c r="G355" s="109"/>
      <c r="H355" s="109"/>
      <c r="I355" s="44"/>
      <c r="J355" s="119"/>
    </row>
    <row r="356" spans="1:10" s="1" customFormat="1" ht="15.9" customHeight="1">
      <c r="A356" s="40"/>
      <c r="B356" s="44"/>
      <c r="C356" s="44"/>
      <c r="D356" s="84"/>
      <c r="E356" s="44"/>
      <c r="F356" s="44"/>
      <c r="G356" s="44"/>
      <c r="H356" s="44"/>
      <c r="I356" s="32"/>
      <c r="J356" s="40"/>
    </row>
    <row r="357" spans="1:10" s="1" customFormat="1" ht="15.9" customHeight="1">
      <c r="A357" s="27"/>
      <c r="B357" s="40"/>
      <c r="C357" s="44"/>
      <c r="D357" s="85"/>
      <c r="E357" s="40"/>
      <c r="F357" s="32"/>
      <c r="G357" s="40"/>
      <c r="H357" s="32"/>
      <c r="I357" s="24"/>
      <c r="J357" s="24"/>
    </row>
    <row r="358" spans="1:10" s="1" customFormat="1" ht="15.9" customHeight="1">
      <c r="A358" s="27"/>
      <c r="B358" s="33"/>
      <c r="C358" s="42"/>
      <c r="D358" s="161"/>
      <c r="E358" s="109"/>
      <c r="F358" s="109"/>
      <c r="G358" s="109"/>
      <c r="H358" s="42"/>
      <c r="I358" s="163"/>
      <c r="J358" s="163"/>
    </row>
    <row r="359" spans="1:10" s="1" customFormat="1" ht="15.9" customHeight="1">
      <c r="A359" s="27"/>
      <c r="B359" s="33"/>
      <c r="C359" s="163"/>
      <c r="D359" s="161"/>
      <c r="E359" s="109"/>
      <c r="F359" s="109"/>
      <c r="G359" s="109"/>
      <c r="H359" s="163"/>
      <c r="I359" s="161"/>
      <c r="J359" s="161"/>
    </row>
    <row r="360" spans="1:10" s="1" customFormat="1" ht="15.9" customHeight="1">
      <c r="A360" s="27"/>
      <c r="B360" s="33"/>
      <c r="C360" s="161"/>
      <c r="D360" s="161"/>
      <c r="E360" s="109"/>
      <c r="F360" s="109"/>
      <c r="G360" s="109"/>
      <c r="H360" s="161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46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161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D372" s="161"/>
      <c r="E372" s="109"/>
      <c r="F372" s="109"/>
      <c r="G372" s="33"/>
      <c r="H372" s="33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42"/>
      <c r="I376" s="163"/>
      <c r="J376" s="163"/>
    </row>
    <row r="377" spans="1:10" s="1" customFormat="1" ht="15.9" customHeight="1">
      <c r="A377" s="27"/>
      <c r="B377" s="33"/>
      <c r="C377" s="47"/>
      <c r="D377" s="161"/>
      <c r="E377" s="109"/>
      <c r="F377" s="109"/>
      <c r="G377" s="109"/>
      <c r="H377" s="163"/>
      <c r="I377" s="161"/>
      <c r="J377" s="161"/>
    </row>
    <row r="378" spans="1:10" s="1" customFormat="1" ht="15.9" customHeight="1">
      <c r="A378" s="27"/>
      <c r="B378" s="33"/>
      <c r="C378" s="46"/>
      <c r="D378" s="161"/>
      <c r="E378" s="109"/>
      <c r="F378" s="109"/>
      <c r="G378" s="109"/>
      <c r="H378" s="161"/>
      <c r="I378" s="24"/>
      <c r="J378" s="24"/>
    </row>
    <row r="379" spans="1:10" s="1" customFormat="1" ht="15.9" customHeight="1">
      <c r="A379" s="27"/>
      <c r="B379" s="33"/>
      <c r="C379" s="161"/>
      <c r="D379" s="161"/>
      <c r="E379" s="109"/>
      <c r="F379" s="109"/>
      <c r="G379" s="109"/>
      <c r="H379" s="42"/>
      <c r="I379" s="163"/>
      <c r="J379" s="163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3"/>
      <c r="I380" s="161"/>
      <c r="J380" s="161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1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64"/>
      <c r="J388" s="16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4"/>
      <c r="I389" s="165"/>
      <c r="J389" s="165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5"/>
      <c r="I390" s="161"/>
      <c r="J390" s="161"/>
    </row>
    <row r="391" spans="1:10" s="1" customFormat="1" ht="15.9" customHeight="1">
      <c r="A391" s="27"/>
      <c r="B391" s="33"/>
      <c r="C391" s="47"/>
      <c r="D391" s="161"/>
      <c r="E391" s="109"/>
      <c r="F391" s="109"/>
      <c r="G391" s="109"/>
      <c r="H391" s="161"/>
      <c r="I391" s="24"/>
      <c r="J391" s="24"/>
    </row>
    <row r="392" spans="1:10" s="1" customFormat="1" ht="15.9" customHeight="1">
      <c r="A392" s="27"/>
      <c r="B392" s="33"/>
      <c r="C392" s="46"/>
      <c r="D392" s="161"/>
      <c r="E392" s="109"/>
      <c r="F392" s="109"/>
      <c r="G392" s="109"/>
      <c r="H392" s="109"/>
      <c r="I392" s="109"/>
      <c r="J392" s="24"/>
    </row>
    <row r="393" spans="1:10" s="1" customFormat="1" ht="15.9" customHeight="1">
      <c r="A393" s="27"/>
      <c r="B393" s="33"/>
      <c r="C393" s="161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1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1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1" s="23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1" s="1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1" s="1" customFormat="1" ht="15.9" customHeight="1">
      <c r="A405" s="44"/>
      <c r="B405" s="33"/>
      <c r="C405" s="33"/>
      <c r="D405" s="161"/>
      <c r="E405" s="109"/>
      <c r="F405" s="109"/>
      <c r="G405" s="109"/>
      <c r="H405" s="109"/>
      <c r="I405" s="44"/>
      <c r="J405" s="119"/>
    </row>
    <row r="406" spans="1:11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1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1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1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1" s="1" customFormat="1" ht="15.75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1" s="1" customFormat="1" ht="15.75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1" s="1" customFormat="1" ht="15.75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1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1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1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1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  <c r="K416" s="71"/>
    </row>
    <row r="417" spans="1:14" s="1" customFormat="1" ht="15.9" customHeight="1">
      <c r="A417" s="109"/>
      <c r="B417" s="44"/>
      <c r="C417" s="44"/>
      <c r="D417" s="84"/>
      <c r="E417" s="44"/>
      <c r="F417" s="44"/>
      <c r="G417" s="44"/>
      <c r="H417" s="44"/>
      <c r="I417" s="24"/>
      <c r="J417" s="24"/>
    </row>
    <row r="418" spans="1:14" ht="18">
      <c r="A418" s="109"/>
      <c r="B418" s="33"/>
      <c r="C418" s="33"/>
      <c r="D418" s="161"/>
      <c r="E418" s="109"/>
      <c r="F418" s="109"/>
      <c r="G418" s="109"/>
      <c r="H418" s="109"/>
      <c r="I418" s="24"/>
      <c r="J418" s="1"/>
      <c r="K418" s="7"/>
      <c r="L418" s="7"/>
      <c r="M418" s="2"/>
      <c r="N418" s="2"/>
    </row>
    <row r="419" spans="1:14" ht="12.75" customHeight="1">
      <c r="A419" s="109"/>
      <c r="B419" s="33"/>
      <c r="C419" s="33"/>
      <c r="D419" s="161"/>
      <c r="E419" s="109"/>
      <c r="F419" s="109"/>
      <c r="G419" s="109"/>
      <c r="H419" s="109"/>
      <c r="I419" s="109"/>
      <c r="J419" s="99" t="str">
        <f>LEFT($J$111,11)&amp;"-04"</f>
        <v>FG-240-8P8R-04</v>
      </c>
      <c r="K419" s="7"/>
      <c r="L419" s="7"/>
      <c r="M419" s="2"/>
      <c r="N419" s="2"/>
    </row>
    <row r="420" spans="1:14" ht="30" customHeight="1">
      <c r="A420" s="109"/>
      <c r="B420" s="33"/>
      <c r="C420" s="33"/>
      <c r="D420" s="161"/>
      <c r="E420" s="109"/>
      <c r="F420" s="109"/>
      <c r="G420" s="109"/>
      <c r="H420" s="109"/>
      <c r="I420" s="109"/>
      <c r="J420" s="114"/>
      <c r="K420" s="7"/>
      <c r="L420" s="7"/>
      <c r="M420" s="2"/>
      <c r="N420" s="2"/>
    </row>
    <row r="421" spans="1:14" ht="24.9" customHeight="1">
      <c r="A421" s="109"/>
      <c r="B421" s="33"/>
      <c r="C421" s="33"/>
      <c r="D421" s="161"/>
      <c r="E421" s="109"/>
      <c r="F421" s="109"/>
      <c r="G421" s="109"/>
      <c r="H421" s="109"/>
      <c r="I421" s="109"/>
      <c r="J421" s="90" t="str">
        <f>$J$2</f>
        <v>HOMELIFE</v>
      </c>
      <c r="K421" s="7"/>
      <c r="L421" s="7"/>
      <c r="M421" s="2"/>
      <c r="N421" s="2"/>
    </row>
    <row r="422" spans="1:14" ht="24.9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91" t="str">
        <f>$J$3</f>
        <v>Fabricators Guide</v>
      </c>
      <c r="K422" s="48"/>
      <c r="L422" s="48"/>
      <c r="M422" s="4"/>
      <c r="N422" s="4"/>
    </row>
    <row r="423" spans="1:14" s="1" customFormat="1" ht="15" customHeight="1">
      <c r="A423"/>
      <c r="B423" s="279"/>
      <c r="C423" s="28"/>
      <c r="D423" s="28"/>
      <c r="E423" s="28"/>
      <c r="F423" s="28"/>
      <c r="G423" s="28"/>
      <c r="H423" s="28"/>
      <c r="I423" s="28"/>
      <c r="J423" s="397" t="str">
        <f>$J$4</f>
        <v xml:space="preserve">240 Series Bi Fold Door </v>
      </c>
      <c r="K423" s="4"/>
      <c r="L423" s="4"/>
      <c r="M423" s="4"/>
      <c r="N423" s="4"/>
    </row>
    <row r="424" spans="1:14" s="1" customFormat="1" ht="24.9" customHeight="1" thickBot="1">
      <c r="A424" s="78"/>
      <c r="B424" s="8"/>
      <c r="C424" s="28"/>
      <c r="D424" s="28"/>
      <c r="E424" s="28"/>
      <c r="F424" s="28"/>
      <c r="G424" s="28"/>
      <c r="H424" s="28"/>
      <c r="I424" s="78"/>
      <c r="J424" s="100"/>
      <c r="K424" s="4"/>
      <c r="L424" s="4"/>
      <c r="M424" s="4"/>
      <c r="N424" s="4"/>
    </row>
    <row r="425" spans="1:14" s="1" customFormat="1" ht="15" customHeight="1" thickBot="1">
      <c r="A425" s="502" t="s">
        <v>34</v>
      </c>
      <c r="B425" s="503"/>
      <c r="C425" s="503"/>
      <c r="D425" s="503"/>
      <c r="E425" s="503"/>
      <c r="F425" s="503"/>
      <c r="G425" s="503"/>
      <c r="H425" s="503"/>
      <c r="I425" s="503"/>
      <c r="J425" s="504"/>
      <c r="K425" s="56"/>
      <c r="L425" s="56"/>
      <c r="M425" s="56"/>
      <c r="N425" s="56"/>
    </row>
    <row r="426" spans="1:14" s="1" customFormat="1" ht="15" customHeight="1">
      <c r="A426" s="193"/>
      <c r="B426" s="194"/>
      <c r="C426" s="194"/>
      <c r="D426" s="194"/>
      <c r="E426" s="194"/>
      <c r="F426" s="194"/>
      <c r="G426" s="194"/>
      <c r="H426" s="194"/>
      <c r="I426" s="193"/>
    </row>
    <row r="427" spans="1:14" s="1" customFormat="1" ht="15" customHeight="1">
      <c r="A427" s="45"/>
      <c r="B427" s="193"/>
      <c r="C427" s="193"/>
      <c r="D427" s="193"/>
      <c r="E427" s="193"/>
      <c r="F427" s="193"/>
      <c r="G427" s="193"/>
      <c r="H427" s="193"/>
      <c r="I427" s="44"/>
      <c r="J427" s="119"/>
    </row>
    <row r="428" spans="1:14" s="1" customFormat="1" ht="15" customHeight="1">
      <c r="A428" s="109"/>
      <c r="B428" s="39"/>
      <c r="C428" s="33"/>
      <c r="D428" s="161"/>
      <c r="E428" s="35"/>
      <c r="F428" s="39"/>
      <c r="G428" s="193"/>
      <c r="H428" s="44"/>
      <c r="I428" s="44"/>
      <c r="J428" s="119"/>
    </row>
    <row r="429" spans="1:14" s="1" customFormat="1" ht="15" customHeight="1">
      <c r="A429" s="109"/>
      <c r="B429" s="33"/>
      <c r="C429" s="33"/>
      <c r="D429" s="161"/>
      <c r="E429" s="35"/>
      <c r="F429" s="161"/>
      <c r="G429" s="193"/>
      <c r="H429" s="44"/>
      <c r="I429" s="44"/>
      <c r="J429" s="119"/>
    </row>
    <row r="430" spans="1:14" s="1" customFormat="1" ht="15" customHeight="1">
      <c r="A430" s="109"/>
      <c r="B430" s="56"/>
      <c r="C430" s="56"/>
      <c r="D430" s="30"/>
      <c r="E430" s="29"/>
      <c r="F430" s="30"/>
      <c r="H430" s="44"/>
      <c r="I430" s="44"/>
      <c r="J430" s="119"/>
    </row>
    <row r="431" spans="1:14" s="1" customFormat="1" ht="15" customHeight="1">
      <c r="A431" s="109"/>
      <c r="B431" s="33"/>
      <c r="C431" s="161"/>
      <c r="D431" s="161"/>
      <c r="E431" s="109"/>
      <c r="F431" s="161"/>
      <c r="H431" s="44"/>
      <c r="I431" s="44"/>
      <c r="J431" s="119"/>
    </row>
    <row r="432" spans="1:14" s="1" customFormat="1" ht="15" customHeight="1">
      <c r="A432" s="109"/>
      <c r="B432" s="33"/>
      <c r="C432" s="161"/>
      <c r="D432" s="161"/>
      <c r="E432" s="35"/>
      <c r="F432" s="163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35"/>
      <c r="F433" s="161"/>
      <c r="H433" s="44"/>
      <c r="I433" s="44"/>
      <c r="J433" s="119"/>
    </row>
    <row r="434" spans="1:10" s="1" customFormat="1" ht="15" customHeight="1">
      <c r="A434" s="39"/>
      <c r="B434" s="33"/>
      <c r="C434" s="42"/>
      <c r="D434" s="161"/>
      <c r="E434" s="109"/>
      <c r="F434" s="69"/>
      <c r="H434" s="44"/>
      <c r="I434" s="44"/>
      <c r="J434" s="119"/>
    </row>
    <row r="435" spans="1:10" s="1" customFormat="1" ht="15" customHeight="1">
      <c r="A435" s="92"/>
      <c r="B435" s="39"/>
      <c r="C435" s="163"/>
      <c r="D435" s="161"/>
      <c r="E435" s="109"/>
      <c r="F435" s="68"/>
      <c r="H435" s="44"/>
      <c r="I435" s="44"/>
      <c r="J435" s="119"/>
    </row>
    <row r="436" spans="1:10" s="1" customFormat="1" ht="15" customHeight="1">
      <c r="B436" s="92"/>
      <c r="C436" s="161"/>
      <c r="D436" s="161"/>
      <c r="E436" s="109"/>
      <c r="F436" s="390"/>
      <c r="H436" s="44"/>
      <c r="I436" s="44"/>
      <c r="J436" s="119"/>
    </row>
    <row r="437" spans="1:10" s="1" customFormat="1" ht="15.9" customHeight="1">
      <c r="A437" s="64" t="str">
        <f>A18</f>
        <v>240-8 Panel (8R)</v>
      </c>
      <c r="B437" s="92"/>
      <c r="C437" s="161"/>
      <c r="D437" s="161"/>
      <c r="E437" s="109"/>
      <c r="F437" s="390"/>
      <c r="H437" s="44"/>
      <c r="I437" s="44"/>
      <c r="J437" s="119"/>
    </row>
    <row r="438" spans="1:10" s="1" customFormat="1" ht="15.9" customHeight="1">
      <c r="A438" s="76" t="str">
        <f>A19</f>
        <v xml:space="preserve">Outside Bi Fold Door </v>
      </c>
      <c r="C438" s="42"/>
      <c r="D438" s="161"/>
      <c r="E438" s="109"/>
      <c r="F438" s="68"/>
      <c r="H438" s="44"/>
      <c r="I438" s="44"/>
      <c r="J438" s="119"/>
    </row>
    <row r="439" spans="1:10" s="1" customFormat="1" ht="15.9" customHeight="1">
      <c r="A439" s="39"/>
      <c r="C439" s="161"/>
      <c r="D439" s="161"/>
      <c r="E439" s="109"/>
      <c r="F439" s="37"/>
      <c r="H439" s="44"/>
      <c r="I439" s="44"/>
      <c r="J439" s="119"/>
    </row>
    <row r="440" spans="1:10" s="1" customFormat="1" ht="15.9" customHeight="1">
      <c r="A440" s="44"/>
      <c r="B440" s="38"/>
      <c r="C440" s="43"/>
      <c r="D440" s="161"/>
      <c r="E440" s="109"/>
      <c r="F440" s="109"/>
      <c r="H440" s="44"/>
      <c r="I440" s="44"/>
      <c r="J440" s="119"/>
    </row>
    <row r="441" spans="1:10">
      <c r="A441" s="40"/>
      <c r="B441" s="1"/>
      <c r="C441" s="44"/>
      <c r="D441" s="84"/>
      <c r="E441" s="44"/>
      <c r="F441" s="44"/>
      <c r="G441" s="1"/>
      <c r="H441" s="44"/>
      <c r="I441" s="44"/>
      <c r="J441" s="119"/>
    </row>
    <row r="442" spans="1:10" ht="15.6">
      <c r="B442" s="64"/>
      <c r="C442" s="163"/>
      <c r="D442" s="161"/>
      <c r="E442" s="109"/>
      <c r="F442" s="161"/>
      <c r="G442" s="109"/>
      <c r="H442" s="109"/>
    </row>
    <row r="446" spans="1:10" s="1" customFormat="1" ht="15.9" customHeight="1">
      <c r="A446"/>
      <c r="B446"/>
      <c r="C446"/>
      <c r="D446" s="81"/>
      <c r="E446"/>
      <c r="F446"/>
      <c r="G446"/>
      <c r="H446"/>
      <c r="I446"/>
      <c r="J446" s="112"/>
    </row>
    <row r="447" spans="1:10" s="1" customFormat="1" ht="15.9" customHeight="1">
      <c r="A447" s="109"/>
      <c r="B447"/>
      <c r="C447"/>
      <c r="D447" s="81"/>
      <c r="E447"/>
      <c r="F447"/>
      <c r="G447"/>
      <c r="H447"/>
      <c r="I447" s="24"/>
      <c r="J447" s="24"/>
    </row>
    <row r="448" spans="1:10" s="1" customFormat="1" ht="15.9" customHeight="1">
      <c r="A448" s="109"/>
      <c r="B448" s="33"/>
      <c r="C448" s="33"/>
      <c r="D448" s="161"/>
      <c r="E448" s="109"/>
      <c r="F448" s="161"/>
      <c r="G448" s="109"/>
      <c r="H448" s="109"/>
      <c r="I448" s="24"/>
      <c r="J448" s="24"/>
    </row>
    <row r="449" spans="1:10" s="1" customFormat="1" ht="15.9" customHeight="1">
      <c r="A449" s="109"/>
      <c r="B449" s="33"/>
      <c r="C449" s="33"/>
      <c r="D449" s="161"/>
      <c r="E449" s="109"/>
      <c r="F449" s="161"/>
      <c r="G449" s="109"/>
      <c r="H449" s="109"/>
      <c r="I449" s="24"/>
      <c r="J449" s="24"/>
    </row>
    <row r="450" spans="1:10" s="1" customFormat="1" ht="15.9" customHeight="1">
      <c r="A450" s="109"/>
      <c r="B450" s="33"/>
      <c r="C450" s="33"/>
      <c r="D450" s="161"/>
      <c r="E450" s="109"/>
      <c r="F450" s="161"/>
      <c r="G450" s="109"/>
      <c r="H450" s="109"/>
      <c r="I450" s="24"/>
      <c r="J450" s="24"/>
    </row>
    <row r="451" spans="1:10" s="1" customFormat="1" ht="15.9" customHeight="1">
      <c r="A451" s="109"/>
      <c r="B451" s="33"/>
      <c r="C451" s="44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161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163"/>
      <c r="D453" s="161"/>
      <c r="E453" s="109"/>
      <c r="F453" s="161"/>
      <c r="G453" s="109"/>
      <c r="H453" s="109"/>
      <c r="I453" s="109"/>
      <c r="J453" s="24"/>
    </row>
    <row r="454" spans="1:10" s="1" customFormat="1" ht="15.9" customHeight="1">
      <c r="A454" s="109"/>
      <c r="B454" s="33"/>
      <c r="C454" s="161"/>
      <c r="D454" s="161"/>
      <c r="E454" s="109"/>
      <c r="F454" s="161"/>
      <c r="G454" s="109"/>
      <c r="H454" s="109"/>
      <c r="I454" s="24"/>
      <c r="J454" s="24"/>
    </row>
    <row r="455" spans="1:10" s="1" customFormat="1" ht="15" customHeight="1">
      <c r="A455" s="109"/>
      <c r="B455" s="33"/>
      <c r="C455" s="33"/>
      <c r="D455" s="161"/>
      <c r="E455" s="109"/>
      <c r="F455" s="109"/>
      <c r="G455" s="109"/>
      <c r="H455" s="109"/>
      <c r="I455" s="24"/>
      <c r="J455" s="24"/>
    </row>
    <row r="456" spans="1:10" s="1" customFormat="1" ht="15" customHeight="1">
      <c r="A456" s="109"/>
      <c r="B456" s="33"/>
      <c r="C456" s="33"/>
      <c r="D456" s="161"/>
      <c r="E456" s="109"/>
      <c r="F456" s="109"/>
      <c r="G456" s="109"/>
      <c r="H456" s="107"/>
      <c r="I456" s="24"/>
      <c r="J456" s="24"/>
    </row>
    <row r="457" spans="1:10" s="1" customFormat="1" ht="15" customHeight="1">
      <c r="A457" s="109"/>
      <c r="B457" s="33"/>
      <c r="C457" s="33"/>
      <c r="D457" s="161"/>
      <c r="E457" s="109"/>
      <c r="F457" s="109"/>
      <c r="G457" s="109"/>
      <c r="H457" s="109"/>
      <c r="I457" s="24"/>
      <c r="J457" s="24"/>
    </row>
    <row r="458" spans="1:10" s="1" customFormat="1" ht="15" customHeight="1">
      <c r="A458" s="109"/>
      <c r="B458" s="33"/>
      <c r="C458" s="33"/>
      <c r="D458" s="161"/>
      <c r="E458" s="109"/>
      <c r="F458" s="109"/>
      <c r="G458" s="109"/>
      <c r="H458" s="109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9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23" customFormat="1" ht="15.9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.9" customHeight="1">
      <c r="A474" s="109"/>
      <c r="B474" s="33"/>
      <c r="C474" s="33"/>
      <c r="D474" s="161"/>
      <c r="E474" s="109"/>
      <c r="F474" s="109"/>
      <c r="G474" s="109"/>
      <c r="H474" s="109"/>
      <c r="I474" s="109"/>
      <c r="J474" s="109"/>
    </row>
    <row r="475" spans="1:10" s="1" customFormat="1" ht="15.9" customHeight="1">
      <c r="A475" s="44"/>
      <c r="B475" s="33"/>
      <c r="C475" s="33"/>
      <c r="D475" s="161"/>
      <c r="E475" s="109"/>
      <c r="F475" s="109"/>
      <c r="G475" s="109"/>
      <c r="H475" s="109"/>
      <c r="I475" s="44"/>
      <c r="J475" s="119"/>
    </row>
    <row r="476" spans="1:10" s="1" customFormat="1" ht="15.9" customHeight="1">
      <c r="A476" s="40"/>
      <c r="B476" s="44"/>
      <c r="C476" s="44"/>
      <c r="D476" s="84"/>
      <c r="E476" s="44"/>
      <c r="F476" s="44"/>
      <c r="G476" s="44"/>
      <c r="H476" s="44"/>
      <c r="I476" s="32"/>
      <c r="J476" s="40"/>
    </row>
    <row r="477" spans="1:10" s="1" customFormat="1" ht="15.9" customHeight="1">
      <c r="A477" s="27"/>
      <c r="B477" s="40"/>
      <c r="C477" s="44"/>
      <c r="D477" s="85"/>
      <c r="E477" s="40"/>
      <c r="F477" s="32"/>
      <c r="G477" s="40"/>
      <c r="H477" s="32"/>
      <c r="I477" s="24"/>
      <c r="J477" s="24"/>
    </row>
    <row r="478" spans="1:10" s="1" customFormat="1" ht="15.9" customHeight="1">
      <c r="A478" s="27"/>
      <c r="B478" s="33"/>
      <c r="C478" s="42"/>
      <c r="D478" s="161"/>
      <c r="E478" s="109"/>
      <c r="F478" s="109"/>
      <c r="G478" s="109"/>
      <c r="H478" s="42"/>
      <c r="I478" s="67"/>
      <c r="J478" s="165"/>
    </row>
    <row r="479" spans="1:10" s="1" customFormat="1" ht="15.9" customHeight="1">
      <c r="A479" s="27"/>
      <c r="B479" s="33"/>
      <c r="C479" s="163"/>
      <c r="D479" s="161"/>
      <c r="E479" s="109"/>
      <c r="F479" s="109"/>
      <c r="G479" s="109"/>
      <c r="H479" s="67"/>
      <c r="I479" s="38"/>
      <c r="J479" s="109"/>
    </row>
    <row r="480" spans="1:10" s="1" customFormat="1" ht="15.9" customHeight="1">
      <c r="A480" s="27"/>
      <c r="B480" s="33"/>
      <c r="C480" s="161"/>
      <c r="D480" s="161"/>
      <c r="E480" s="109"/>
      <c r="F480" s="109"/>
      <c r="G480" s="109"/>
      <c r="H480" s="38"/>
      <c r="I480" s="24"/>
      <c r="J480" s="24"/>
    </row>
    <row r="481" spans="1:10" s="1" customFormat="1" ht="15.9" customHeight="1">
      <c r="A481" s="27"/>
      <c r="B481" s="33"/>
      <c r="C481" s="33"/>
      <c r="D481" s="161"/>
      <c r="E481" s="109"/>
      <c r="F481" s="109"/>
      <c r="G481" s="109"/>
      <c r="H481" s="109"/>
      <c r="I481" s="24"/>
      <c r="J481" s="24"/>
    </row>
    <row r="482" spans="1:10" s="1" customFormat="1" ht="15.9" customHeight="1">
      <c r="A482" s="27"/>
      <c r="B482" s="33"/>
      <c r="C482" s="33"/>
      <c r="D482" s="161"/>
      <c r="E482" s="109"/>
      <c r="F482" s="109"/>
      <c r="G482" s="109"/>
      <c r="H482" s="109"/>
      <c r="I482" s="24"/>
      <c r="J482" s="24"/>
    </row>
    <row r="483" spans="1:10" s="1" customFormat="1" ht="15.9" customHeight="1">
      <c r="A483" s="27"/>
      <c r="B483" s="33"/>
      <c r="C483" s="46"/>
      <c r="D483" s="161"/>
      <c r="E483" s="109"/>
      <c r="F483" s="109"/>
      <c r="G483" s="109"/>
      <c r="H483" s="109"/>
      <c r="I483" s="24"/>
      <c r="J483" s="24"/>
    </row>
    <row r="484" spans="1:10" s="1" customFormat="1" ht="15.9" customHeight="1">
      <c r="A484" s="27"/>
      <c r="B484" s="33"/>
      <c r="C484" s="161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33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33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D492" s="161"/>
      <c r="E492" s="109"/>
      <c r="F492" s="109"/>
      <c r="G492" s="33"/>
      <c r="H492" s="33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B495" s="33"/>
      <c r="C495" s="33"/>
      <c r="D495" s="161"/>
      <c r="E495" s="109"/>
      <c r="F495" s="109"/>
      <c r="G495" s="109"/>
      <c r="H495" s="109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42"/>
      <c r="I496" s="67"/>
      <c r="J496" s="165"/>
    </row>
    <row r="497" spans="1:10" s="1" customFormat="1" ht="15.9" customHeight="1">
      <c r="A497" s="27"/>
      <c r="B497" s="33"/>
      <c r="C497" s="47"/>
      <c r="D497" s="161"/>
      <c r="E497" s="109"/>
      <c r="F497" s="109"/>
      <c r="G497" s="109"/>
      <c r="H497" s="67"/>
      <c r="I497" s="38"/>
      <c r="J497" s="109"/>
    </row>
    <row r="498" spans="1:10" s="1" customFormat="1" ht="15.9" customHeight="1">
      <c r="A498" s="27"/>
      <c r="B498" s="33"/>
      <c r="C498" s="46"/>
      <c r="D498" s="161"/>
      <c r="E498" s="109"/>
      <c r="F498" s="109"/>
      <c r="G498" s="109"/>
      <c r="H498" s="38"/>
      <c r="I498" s="24"/>
      <c r="J498" s="24"/>
    </row>
    <row r="499" spans="1:10" s="1" customFormat="1" ht="15.9" customHeight="1">
      <c r="A499" s="27"/>
      <c r="B499" s="33"/>
      <c r="C499" s="161"/>
      <c r="D499" s="161"/>
      <c r="E499" s="109"/>
      <c r="F499" s="109"/>
      <c r="G499" s="109"/>
      <c r="H499" s="42"/>
      <c r="I499" s="67"/>
      <c r="J499" s="165"/>
    </row>
    <row r="500" spans="1:10" s="1" customFormat="1" ht="15.9" customHeight="1">
      <c r="A500" s="27"/>
      <c r="B500" s="33"/>
      <c r="C500" s="33"/>
      <c r="D500" s="161"/>
      <c r="E500" s="109"/>
      <c r="F500" s="109"/>
      <c r="G500" s="109"/>
      <c r="H500" s="67"/>
      <c r="I500" s="38"/>
      <c r="J500" s="109"/>
    </row>
    <row r="501" spans="1:10" s="1" customFormat="1" ht="15.9" customHeight="1">
      <c r="A501" s="27"/>
      <c r="B501" s="33"/>
      <c r="C501" s="33"/>
      <c r="D501" s="161"/>
      <c r="E501" s="109"/>
      <c r="F501" s="109"/>
      <c r="G501" s="109"/>
      <c r="H501" s="38"/>
      <c r="I501" s="24"/>
      <c r="J501" s="24"/>
    </row>
    <row r="502" spans="1:10" s="1" customFormat="1" ht="15.9" customHeight="1">
      <c r="A502" s="27"/>
      <c r="B502" s="33"/>
      <c r="C502" s="33"/>
      <c r="D502" s="161"/>
      <c r="E502" s="109"/>
      <c r="F502" s="109"/>
      <c r="G502" s="109"/>
      <c r="H502" s="109"/>
      <c r="I502" s="24"/>
      <c r="J502" s="24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109"/>
      <c r="I503" s="24"/>
      <c r="J503" s="24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109"/>
      <c r="I504" s="109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109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109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43"/>
      <c r="J512" s="107"/>
    </row>
    <row r="513" spans="1:15" s="1" customFormat="1" ht="15.9" customHeight="1">
      <c r="A513" s="27"/>
      <c r="B513" s="33"/>
      <c r="C513" s="33"/>
      <c r="D513" s="161"/>
      <c r="E513" s="109"/>
      <c r="F513" s="109"/>
      <c r="G513" s="109"/>
      <c r="H513" s="66"/>
      <c r="I513" s="38"/>
      <c r="J513" s="109"/>
    </row>
    <row r="514" spans="1:15" s="1" customFormat="1" ht="15.9" customHeight="1">
      <c r="A514" s="44"/>
      <c r="B514" s="44"/>
      <c r="C514" s="44"/>
      <c r="D514" s="84"/>
      <c r="E514" s="44"/>
      <c r="F514" s="44"/>
      <c r="G514" s="44"/>
      <c r="H514" s="44"/>
      <c r="I514" s="44"/>
      <c r="J514" s="119"/>
    </row>
    <row r="515" spans="1:15" s="1" customFormat="1" ht="15.9" customHeight="1">
      <c r="B515" s="44"/>
      <c r="C515" s="44"/>
      <c r="D515" s="84"/>
      <c r="E515" s="44"/>
      <c r="F515" s="44"/>
      <c r="G515" s="44"/>
      <c r="H515" s="44"/>
    </row>
    <row r="516" spans="1:15" s="1" customFormat="1" ht="24.9" customHeight="1" thickBot="1"/>
    <row r="517" spans="1:15" s="1" customFormat="1" ht="35.1" customHeight="1" thickBot="1">
      <c r="A517" s="502" t="s">
        <v>401</v>
      </c>
      <c r="B517" s="503"/>
      <c r="C517" s="503"/>
      <c r="D517" s="503"/>
      <c r="E517" s="503"/>
      <c r="F517" s="503"/>
      <c r="G517" s="503"/>
      <c r="H517" s="503"/>
      <c r="I517" s="503"/>
      <c r="J517" s="504"/>
      <c r="N517" s="249" t="s">
        <v>3</v>
      </c>
      <c r="O517" s="249" t="s">
        <v>3</v>
      </c>
    </row>
    <row r="518" spans="1:15" s="1" customFormat="1" ht="15.9" customHeight="1" thickBot="1">
      <c r="A518" s="102" t="s">
        <v>2</v>
      </c>
      <c r="B518" s="103" t="s">
        <v>3</v>
      </c>
      <c r="C518" s="103" t="s">
        <v>3</v>
      </c>
      <c r="D518" s="104" t="s">
        <v>35</v>
      </c>
      <c r="E518" s="103" t="s">
        <v>5</v>
      </c>
      <c r="F518" s="396" t="s">
        <v>27</v>
      </c>
      <c r="G518" s="305"/>
      <c r="H518" s="104" t="s">
        <v>27</v>
      </c>
      <c r="I518" s="104" t="s">
        <v>26</v>
      </c>
      <c r="J518" s="115" t="s">
        <v>6</v>
      </c>
      <c r="M518" s="1">
        <f>ROW()</f>
        <v>518</v>
      </c>
      <c r="N518" s="19" t="s">
        <v>194</v>
      </c>
      <c r="O518" s="19" t="s">
        <v>195</v>
      </c>
    </row>
    <row r="519" spans="1:15" s="1" customFormat="1" ht="15.9" customHeight="1">
      <c r="A519" s="123">
        <f>IF(C519="","",1)</f>
        <v>1</v>
      </c>
      <c r="B519" s="121" t="str">
        <f>IF($D$127=5,N518,IF($D$127=6,N519,IF($D$127=8,N520,IF($D$127=10,N521,IF($D$127=12,N522,IF($D$127=14,N523,IF($D$127=18,N524,IF($D$127=20,N525,IF($D$127=22,N526,)))))))))</f>
        <v>กระจก 6 mm (สูง) (กว้าง)</v>
      </c>
      <c r="C519" s="121" t="str">
        <f>IF($D$127=5,O518,IF($D$127=6,O519,IF($D$127=8,O520,IF($D$127=10,O521,IF($D$127=12,O522,IF($D$127=14,O523,IF($D$127=18,O524,IF($D$127=20,O525,IF($D$127=22,O526,)))))))))</f>
        <v>GLASS thk.6 mm (H) (W)</v>
      </c>
      <c r="D519" s="124">
        <f>$J$123-215</f>
        <v>2185</v>
      </c>
      <c r="E519" s="123" t="s">
        <v>11</v>
      </c>
      <c r="F519" s="527" t="s">
        <v>271</v>
      </c>
      <c r="G519" s="528"/>
      <c r="H519" s="123" t="s">
        <v>410</v>
      </c>
      <c r="I519" s="124">
        <f>(($J$126-185-(113.25*7))/8)-13</f>
        <v>652.28125</v>
      </c>
      <c r="J519" s="151">
        <f>$J$120*8</f>
        <v>8</v>
      </c>
      <c r="M519" s="1">
        <f>ROW()</f>
        <v>519</v>
      </c>
      <c r="N519" s="19" t="s">
        <v>53</v>
      </c>
      <c r="O519" s="19" t="s">
        <v>54</v>
      </c>
    </row>
    <row r="520" spans="1:15" s="1" customFormat="1" ht="15.9" customHeight="1">
      <c r="A520" s="346"/>
      <c r="B520" s="295"/>
      <c r="C520" s="295"/>
      <c r="D520" s="296"/>
      <c r="E520" s="238"/>
      <c r="F520" s="251"/>
      <c r="G520" s="297"/>
      <c r="H520" s="238"/>
      <c r="I520" s="298"/>
      <c r="J520" s="299"/>
      <c r="M520" s="1">
        <f>ROW()</f>
        <v>520</v>
      </c>
      <c r="N520" s="19" t="s">
        <v>257</v>
      </c>
      <c r="O520" s="19" t="s">
        <v>258</v>
      </c>
    </row>
    <row r="521" spans="1:15" s="1" customFormat="1" ht="15.9" customHeight="1">
      <c r="A521" s="346"/>
      <c r="B521" s="295"/>
      <c r="C521" s="295"/>
      <c r="D521" s="296"/>
      <c r="E521" s="238"/>
      <c r="F521" s="251"/>
      <c r="G521" s="297"/>
      <c r="H521" s="238"/>
      <c r="I521" s="298"/>
      <c r="J521" s="299"/>
      <c r="M521" s="1">
        <f>ROW()</f>
        <v>521</v>
      </c>
      <c r="N521" s="19" t="s">
        <v>259</v>
      </c>
      <c r="O521" s="19" t="s">
        <v>265</v>
      </c>
    </row>
    <row r="522" spans="1:15" s="1" customFormat="1" ht="15.9" customHeight="1">
      <c r="A522" s="129" t="str">
        <f>IF(B522="","",+#REF!+1)</f>
        <v/>
      </c>
      <c r="B522" s="127"/>
      <c r="C522" s="127"/>
      <c r="D522" s="128"/>
      <c r="E522" s="129"/>
      <c r="F522" s="155"/>
      <c r="G522" s="394"/>
      <c r="H522" s="129"/>
      <c r="I522" s="144"/>
      <c r="J522" s="130"/>
      <c r="M522" s="1">
        <f>ROW()</f>
        <v>522</v>
      </c>
      <c r="N522" s="19" t="s">
        <v>260</v>
      </c>
      <c r="O522" s="19" t="s">
        <v>266</v>
      </c>
    </row>
    <row r="523" spans="1:15" s="1" customFormat="1" ht="15.9" customHeight="1">
      <c r="A523" s="135" t="str">
        <f>IF(B523="","",+A522+1)</f>
        <v/>
      </c>
      <c r="B523" s="133"/>
      <c r="C523" s="133"/>
      <c r="D523" s="134"/>
      <c r="E523" s="135"/>
      <c r="F523" s="158"/>
      <c r="G523" s="159"/>
      <c r="H523" s="135"/>
      <c r="I523" s="145"/>
      <c r="J523" s="136"/>
      <c r="M523" s="1">
        <f>ROW()</f>
        <v>523</v>
      </c>
      <c r="N523" s="19" t="s">
        <v>261</v>
      </c>
      <c r="O523" s="19" t="s">
        <v>267</v>
      </c>
    </row>
    <row r="524" spans="1:15">
      <c r="A524" s="17"/>
      <c r="B524" s="56"/>
      <c r="C524" s="56"/>
      <c r="D524" s="30"/>
      <c r="E524" s="17"/>
      <c r="F524" s="17"/>
      <c r="G524" s="17"/>
      <c r="H524" s="109"/>
      <c r="I524" s="109"/>
      <c r="J524" s="24"/>
      <c r="M524" s="1">
        <f>ROW()</f>
        <v>524</v>
      </c>
      <c r="N524" s="19" t="s">
        <v>262</v>
      </c>
      <c r="O524" s="19" t="s">
        <v>268</v>
      </c>
    </row>
    <row r="525" spans="1:15">
      <c r="H525" s="294"/>
      <c r="I525" s="294"/>
      <c r="J525" s="99" t="str">
        <f>LEFT($J$111,11)&amp;"-05"</f>
        <v>FG-240-8P8R-05</v>
      </c>
      <c r="M525" s="1">
        <f>ROW()</f>
        <v>525</v>
      </c>
      <c r="N525" s="19" t="s">
        <v>263</v>
      </c>
      <c r="O525" s="19" t="s">
        <v>269</v>
      </c>
    </row>
    <row r="526" spans="1:15">
      <c r="M526" s="1">
        <f>ROW()</f>
        <v>526</v>
      </c>
      <c r="N526" s="19" t="s">
        <v>264</v>
      </c>
      <c r="O526" s="19" t="s">
        <v>270</v>
      </c>
    </row>
  </sheetData>
  <sheetProtection selectLockedCells="1" selectUnlockedCells="1"/>
  <dataConsolidate function="product">
    <dataRefs count="1">
      <dataRef ref="N129:N131" sheet="240_7Panel(6L1R)" r:id="rId1"/>
    </dataRefs>
  </dataConsolidate>
  <mergeCells count="46">
    <mergeCell ref="A6:J6"/>
    <mergeCell ref="A117:J117"/>
    <mergeCell ref="D119:G119"/>
    <mergeCell ref="H120:I121"/>
    <mergeCell ref="J120:J121"/>
    <mergeCell ref="D121:G121"/>
    <mergeCell ref="I157:J157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I158:J158"/>
    <mergeCell ref="D159:D160"/>
    <mergeCell ref="H159:H160"/>
    <mergeCell ref="I159:J160"/>
    <mergeCell ref="D161:D162"/>
    <mergeCell ref="H161:H162"/>
    <mergeCell ref="I161:J161"/>
    <mergeCell ref="I162:J165"/>
    <mergeCell ref="D163:D168"/>
    <mergeCell ref="H163:H168"/>
    <mergeCell ref="I166:J167"/>
    <mergeCell ref="I168:J168"/>
    <mergeCell ref="D169:D170"/>
    <mergeCell ref="H169:H170"/>
    <mergeCell ref="D171:D172"/>
    <mergeCell ref="H171:H172"/>
    <mergeCell ref="F334:G334"/>
    <mergeCell ref="A425:J425"/>
    <mergeCell ref="A517:J517"/>
    <mergeCell ref="F519:G519"/>
    <mergeCell ref="A173:J173"/>
    <mergeCell ref="A213:J213"/>
    <mergeCell ref="C310:E310"/>
    <mergeCell ref="A320:J320"/>
    <mergeCell ref="F330:G330"/>
    <mergeCell ref="F331:G331"/>
  </mergeCells>
  <dataValidations count="4">
    <dataValidation type="list" allowBlank="1" showInputMessage="1" showErrorMessage="1" sqref="D129:G129">
      <formula1>$O$119</formula1>
    </dataValidation>
    <dataValidation type="list" allowBlank="1" showInputMessage="1" showErrorMessage="1" sqref="D127:G127">
      <formula1>$N$119:$N$127</formula1>
    </dataValidation>
    <dataValidation type="list" allowBlank="1" showInputMessage="1" showErrorMessage="1" sqref="D123:G123">
      <formula1>$P$118:$P$128</formula1>
    </dataValidation>
    <dataValidation type="list" allowBlank="1" showInputMessage="1" showErrorMessage="1" sqref="C206">
      <formula1>$O$175:$O$193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6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9" man="1"/>
    <brk id="419" max="9" man="1"/>
  </rowBreaks>
  <drawing r:id="rId3"/>
  <legacyDrawing r:id="rId4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8">
    <tabColor theme="5" tint="-0.249977111117893"/>
  </sheetPr>
  <dimension ref="A1:X529"/>
  <sheetViews>
    <sheetView showGridLines="0" view="pageBreakPreview" topLeftCell="A109" zoomScale="75" zoomScaleNormal="75" zoomScaleSheetLayoutView="75" workbookViewId="0">
      <selection activeCell="D123" sqref="D123:G123"/>
    </sheetView>
  </sheetViews>
  <sheetFormatPr defaultRowHeight="14.4" outlineLevelRow="1" outlineLevelCol="1"/>
  <cols>
    <col min="1" max="1" width="7" customWidth="1"/>
    <col min="2" max="2" width="40.6640625" customWidth="1"/>
    <col min="3" max="3" width="61.10937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6.6640625" customWidth="1"/>
    <col min="9" max="9" width="11.109375" bestFit="1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19.8867187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35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35"/>
      <c r="E3" s="235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192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/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>
      <c r="G55" s="10"/>
    </row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350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35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35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8">
      <c r="A118" s="12"/>
      <c r="C118" s="8"/>
      <c r="D118" s="15"/>
      <c r="E118" s="13"/>
      <c r="J118" s="237"/>
      <c r="K118" s="11"/>
      <c r="L118" s="56"/>
      <c r="M118" s="56"/>
      <c r="N118" s="243" t="s">
        <v>191</v>
      </c>
      <c r="O118" s="12" t="s">
        <v>227</v>
      </c>
      <c r="P118" s="247" t="s">
        <v>16</v>
      </c>
    </row>
    <row r="119" spans="1:16" s="1" customFormat="1" ht="15" customHeight="1">
      <c r="A119" s="12"/>
      <c r="C119" s="110" t="s">
        <v>635</v>
      </c>
      <c r="D119" s="524" t="s">
        <v>665</v>
      </c>
      <c r="E119" s="525"/>
      <c r="F119" s="525"/>
      <c r="G119" s="526"/>
      <c r="I119" s="16"/>
      <c r="J119" s="12"/>
      <c r="N119" s="244">
        <v>5</v>
      </c>
      <c r="O119" s="12" t="s">
        <v>243</v>
      </c>
      <c r="P119" s="335" t="s">
        <v>389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5">
        <v>6</v>
      </c>
      <c r="O120" s="12" t="s">
        <v>244</v>
      </c>
      <c r="P120" s="336" t="s">
        <v>390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8</v>
      </c>
      <c r="P121" s="336" t="s">
        <v>391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10</v>
      </c>
      <c r="P122" s="336" t="s">
        <v>392</v>
      </c>
    </row>
    <row r="123" spans="1:16" s="1" customFormat="1" ht="15" customHeight="1">
      <c r="A123" s="12"/>
      <c r="C123" s="110" t="s">
        <v>629</v>
      </c>
      <c r="D123" s="524" t="s">
        <v>394</v>
      </c>
      <c r="E123" s="525"/>
      <c r="F123" s="525"/>
      <c r="G123" s="526"/>
      <c r="H123" s="519" t="s">
        <v>638</v>
      </c>
      <c r="I123" s="520"/>
      <c r="J123" s="517">
        <v>2700</v>
      </c>
      <c r="N123" s="245">
        <v>12</v>
      </c>
      <c r="P123" s="335" t="s">
        <v>393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14</v>
      </c>
      <c r="P124" s="335" t="s">
        <v>394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236"/>
      <c r="L125" s="77"/>
      <c r="N125" s="245">
        <v>18</v>
      </c>
      <c r="P125" s="335" t="s">
        <v>395</v>
      </c>
    </row>
    <row r="126" spans="1:16" s="1" customFormat="1" ht="15" customHeight="1">
      <c r="A126" s="237"/>
      <c r="B126" s="237"/>
      <c r="C126" s="423" t="s">
        <v>631</v>
      </c>
      <c r="D126" s="15"/>
      <c r="H126" s="519" t="s">
        <v>639</v>
      </c>
      <c r="I126" s="520"/>
      <c r="J126" s="517">
        <v>5700</v>
      </c>
      <c r="K126" s="236"/>
      <c r="L126" s="77"/>
      <c r="N126" s="245">
        <v>20</v>
      </c>
      <c r="P126" s="335" t="s">
        <v>396</v>
      </c>
    </row>
    <row r="127" spans="1:16" s="1" customFormat="1" ht="15" customHeight="1">
      <c r="A127" s="237"/>
      <c r="B127" s="237"/>
      <c r="C127" s="110" t="s">
        <v>633</v>
      </c>
      <c r="D127" s="534">
        <v>6</v>
      </c>
      <c r="E127" s="535"/>
      <c r="F127" s="535"/>
      <c r="G127" s="536"/>
      <c r="H127" s="520"/>
      <c r="I127" s="520"/>
      <c r="J127" s="518"/>
      <c r="N127" s="245">
        <v>22</v>
      </c>
      <c r="P127" s="335" t="s">
        <v>397</v>
      </c>
    </row>
    <row r="128" spans="1:16" s="1" customFormat="1" ht="18.75" customHeight="1">
      <c r="C128" s="423" t="s">
        <v>632</v>
      </c>
      <c r="I128" s="12"/>
      <c r="J128" s="12"/>
      <c r="P128" s="1" t="s">
        <v>11</v>
      </c>
    </row>
    <row r="129" spans="1:23" s="1" customFormat="1" ht="15" customHeight="1">
      <c r="A129" s="88" t="str">
        <f>A18</f>
        <v>240-8 Panel (3L5R)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5640</v>
      </c>
      <c r="J133" s="125">
        <f t="shared" ref="J133:J153" si="0">$J$120*G133</f>
        <v>1</v>
      </c>
      <c r="N133" s="101" t="s">
        <v>61</v>
      </c>
      <c r="O133" s="281" t="s">
        <v>498</v>
      </c>
      <c r="P133" s="281" t="s">
        <v>499</v>
      </c>
      <c r="Q133" s="282" t="s">
        <v>51</v>
      </c>
      <c r="R133" s="283">
        <v>0.23100000000000001</v>
      </c>
      <c r="S133" s="284" t="s">
        <v>320</v>
      </c>
      <c r="T133" s="283">
        <v>16</v>
      </c>
      <c r="U133" s="283" t="s">
        <v>301</v>
      </c>
      <c r="V133" s="285">
        <f>($J$126-185-(113.25*7))/8</f>
        <v>590.28125</v>
      </c>
      <c r="W133" s="286">
        <f>$J$120*T133</f>
        <v>16</v>
      </c>
    </row>
    <row r="134" spans="1:23" s="1" customFormat="1" ht="18" customHeight="1">
      <c r="A134" s="143">
        <f t="shared" ref="A134:A153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5614</v>
      </c>
      <c r="J134" s="131">
        <f>$J$120*G134</f>
        <v>1</v>
      </c>
      <c r="N134" s="101"/>
      <c r="O134" s="281" t="s">
        <v>216</v>
      </c>
      <c r="P134" s="281" t="s">
        <v>212</v>
      </c>
      <c r="Q134" s="377" t="s">
        <v>398</v>
      </c>
      <c r="R134" s="129">
        <v>0.215</v>
      </c>
      <c r="S134" s="378" t="s">
        <v>399</v>
      </c>
      <c r="T134" s="129">
        <v>16</v>
      </c>
      <c r="U134" s="129" t="s">
        <v>301</v>
      </c>
      <c r="V134" s="144">
        <f t="shared" ref="V134:V135" si="2">($J$126-185-(113.25*7))/8</f>
        <v>590.28125</v>
      </c>
      <c r="W134" s="131">
        <f t="shared" ref="W134:W135" si="3">$J$120*T134</f>
        <v>16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5640</v>
      </c>
      <c r="J135" s="131">
        <f t="shared" ref="J135:J139" si="4">$J$120*G135</f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16</v>
      </c>
      <c r="U135" s="135" t="s">
        <v>301</v>
      </c>
      <c r="V135" s="145">
        <f t="shared" si="2"/>
        <v>590.28125</v>
      </c>
      <c r="W135" s="293">
        <f t="shared" si="3"/>
        <v>16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5640</v>
      </c>
      <c r="J136" s="131">
        <f t="shared" si="4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16</v>
      </c>
      <c r="U136" s="283" t="s">
        <v>64</v>
      </c>
      <c r="V136" s="288">
        <f>$J$123-242</f>
        <v>2458</v>
      </c>
      <c r="W136" s="286">
        <f>$J$120*T136</f>
        <v>16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2700</v>
      </c>
      <c r="J137" s="131">
        <f t="shared" si="4"/>
        <v>1</v>
      </c>
      <c r="N137" s="101"/>
      <c r="O137" s="281" t="s">
        <v>500</v>
      </c>
      <c r="P137" s="281" t="s">
        <v>501</v>
      </c>
      <c r="Q137" s="377" t="s">
        <v>398</v>
      </c>
      <c r="R137" s="129">
        <v>0.215</v>
      </c>
      <c r="S137" s="378" t="s">
        <v>400</v>
      </c>
      <c r="T137" s="129">
        <v>16</v>
      </c>
      <c r="U137" s="129" t="s">
        <v>64</v>
      </c>
      <c r="V137" s="130">
        <f>$J$123-242</f>
        <v>2458</v>
      </c>
      <c r="W137" s="131">
        <f t="shared" ref="W137:W138" si="5">$J$120*T137</f>
        <v>16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2700</v>
      </c>
      <c r="J138" s="131">
        <f t="shared" si="4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16</v>
      </c>
      <c r="U138" s="135" t="s">
        <v>64</v>
      </c>
      <c r="V138" s="136">
        <f>$J$123-242</f>
        <v>2458</v>
      </c>
      <c r="W138" s="293">
        <f t="shared" si="5"/>
        <v>16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2604</v>
      </c>
      <c r="J139" s="131">
        <f t="shared" si="4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2604</v>
      </c>
      <c r="J140" s="131">
        <f t="shared" ref="J140" si="6">$J$120*G140</f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8</v>
      </c>
      <c r="H141" s="143" t="s">
        <v>301</v>
      </c>
      <c r="I141" s="178">
        <f>($J$126-185-(113.25*7))/8</f>
        <v>590.28125</v>
      </c>
      <c r="J141" s="131">
        <f t="shared" ref="J141:J150" si="7">$J$120*G141</f>
        <v>8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8</v>
      </c>
      <c r="H142" s="143" t="s">
        <v>301</v>
      </c>
      <c r="I142" s="178">
        <f>($J$126-185-(113.25*7))/8</f>
        <v>590.28125</v>
      </c>
      <c r="J142" s="131">
        <f t="shared" si="7"/>
        <v>8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12</v>
      </c>
      <c r="H143" s="143" t="s">
        <v>63</v>
      </c>
      <c r="I143" s="130">
        <f>$J$123-92</f>
        <v>2608</v>
      </c>
      <c r="J143" s="131">
        <f t="shared" si="7"/>
        <v>12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2</v>
      </c>
      <c r="H144" s="143" t="s">
        <v>63</v>
      </c>
      <c r="I144" s="130">
        <f t="shared" ref="I144:I146" si="8">$J$123-92</f>
        <v>2608</v>
      </c>
      <c r="J144" s="131">
        <f t="shared" si="7"/>
        <v>2</v>
      </c>
      <c r="N144" s="98"/>
    </row>
    <row r="145" spans="1:14" s="1" customFormat="1" ht="18" customHeight="1">
      <c r="A145" s="143">
        <f t="shared" si="1"/>
        <v>13</v>
      </c>
      <c r="B145" s="140" t="s">
        <v>8</v>
      </c>
      <c r="C145" s="140" t="s">
        <v>151</v>
      </c>
      <c r="D145" s="139" t="s">
        <v>50</v>
      </c>
      <c r="E145" s="143">
        <v>1.1060000000000001</v>
      </c>
      <c r="F145" s="139" t="s">
        <v>496</v>
      </c>
      <c r="G145" s="143">
        <v>1</v>
      </c>
      <c r="H145" s="143" t="s">
        <v>63</v>
      </c>
      <c r="I145" s="130">
        <f t="shared" si="8"/>
        <v>2608</v>
      </c>
      <c r="J145" s="131">
        <f t="shared" si="7"/>
        <v>1</v>
      </c>
      <c r="N145" s="98"/>
    </row>
    <row r="146" spans="1:14" s="1" customFormat="1" ht="18" customHeight="1">
      <c r="A146" s="143">
        <f t="shared" si="1"/>
        <v>14</v>
      </c>
      <c r="B146" s="140" t="s">
        <v>116</v>
      </c>
      <c r="C146" s="140" t="s">
        <v>99</v>
      </c>
      <c r="D146" s="139" t="s">
        <v>50</v>
      </c>
      <c r="E146" s="143">
        <v>1.1060000000000001</v>
      </c>
      <c r="F146" s="139" t="s">
        <v>507</v>
      </c>
      <c r="G146" s="143">
        <v>1</v>
      </c>
      <c r="H146" s="143" t="s">
        <v>63</v>
      </c>
      <c r="I146" s="130">
        <f t="shared" si="8"/>
        <v>2608</v>
      </c>
      <c r="J146" s="131">
        <f t="shared" si="7"/>
        <v>1</v>
      </c>
      <c r="N146" s="98"/>
    </row>
    <row r="147" spans="1:14" s="1" customFormat="1" ht="18" customHeight="1">
      <c r="A147" s="143">
        <f t="shared" si="1"/>
        <v>15</v>
      </c>
      <c r="B147" s="127" t="str">
        <f t="shared" ref="B147:I147" si="9">IF($D$127=5,O133,IF($D$127=6,O133,IF($D$127=8,O134,IF($D$127=10,O134,IF($D$127=12,O134,IF($D$127=14,O135,IF($D$127=18,O135,IF($D$127=20,O135,IF($D$127=22,O135,)))))))))</f>
        <v>5-6-8mm คิ้วตบกระจกแนวนอน</v>
      </c>
      <c r="C147" s="127" t="str">
        <f t="shared" si="9"/>
        <v>5-6-8mm GLAZING BEAD HORIZONTAL</v>
      </c>
      <c r="D147" s="127" t="str">
        <f t="shared" si="9"/>
        <v>B24008</v>
      </c>
      <c r="E147" s="127">
        <f t="shared" si="9"/>
        <v>0.23100000000000001</v>
      </c>
      <c r="F147" s="127" t="str">
        <f t="shared" si="9"/>
        <v>B24008-001</v>
      </c>
      <c r="G147" s="129">
        <f t="shared" si="9"/>
        <v>16</v>
      </c>
      <c r="H147" s="129" t="str">
        <f t="shared" si="9"/>
        <v>(W-185-(113.25 × 7))/8</v>
      </c>
      <c r="I147" s="178">
        <f t="shared" si="9"/>
        <v>590.28125</v>
      </c>
      <c r="J147" s="131">
        <f t="shared" si="7"/>
        <v>16</v>
      </c>
      <c r="N147" s="98"/>
    </row>
    <row r="148" spans="1:14" s="1" customFormat="1" ht="18" customHeight="1">
      <c r="A148" s="143">
        <f t="shared" si="1"/>
        <v>16</v>
      </c>
      <c r="B148" s="127" t="str">
        <f t="shared" ref="B148:I148" si="10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27" t="str">
        <f t="shared" si="10"/>
        <v>5-6mm GLAZING BEAD VERTICAL</v>
      </c>
      <c r="D148" s="127" t="str">
        <f t="shared" si="10"/>
        <v>B24008</v>
      </c>
      <c r="E148" s="127">
        <f t="shared" si="10"/>
        <v>0.23100000000000001</v>
      </c>
      <c r="F148" s="127" t="str">
        <f t="shared" si="10"/>
        <v>B24008-002</v>
      </c>
      <c r="G148" s="129">
        <f t="shared" si="10"/>
        <v>16</v>
      </c>
      <c r="H148" s="129" t="str">
        <f t="shared" si="10"/>
        <v>H-242</v>
      </c>
      <c r="I148" s="144">
        <f t="shared" si="10"/>
        <v>2458</v>
      </c>
      <c r="J148" s="131">
        <f t="shared" si="7"/>
        <v>16</v>
      </c>
      <c r="N148" s="98"/>
    </row>
    <row r="149" spans="1:14" s="1" customFormat="1" ht="18" customHeight="1">
      <c r="A149" s="143">
        <f t="shared" si="1"/>
        <v>17</v>
      </c>
      <c r="B149" s="140" t="s">
        <v>125</v>
      </c>
      <c r="C149" s="140" t="s">
        <v>124</v>
      </c>
      <c r="D149" s="139" t="s">
        <v>123</v>
      </c>
      <c r="E149" s="143"/>
      <c r="F149" s="139" t="s">
        <v>362</v>
      </c>
      <c r="G149" s="143">
        <v>1</v>
      </c>
      <c r="H149" s="143" t="s">
        <v>63</v>
      </c>
      <c r="I149" s="130">
        <f>$J$123-92</f>
        <v>2608</v>
      </c>
      <c r="J149" s="131">
        <f t="shared" si="7"/>
        <v>1</v>
      </c>
      <c r="N149" s="98"/>
    </row>
    <row r="150" spans="1:14" s="1" customFormat="1" ht="18" customHeight="1">
      <c r="A150" s="143">
        <f t="shared" si="1"/>
        <v>18</v>
      </c>
      <c r="B150" s="140" t="s">
        <v>125</v>
      </c>
      <c r="C150" s="140" t="s">
        <v>124</v>
      </c>
      <c r="D150" s="139" t="s">
        <v>123</v>
      </c>
      <c r="E150" s="143"/>
      <c r="F150" s="139" t="s">
        <v>363</v>
      </c>
      <c r="G150" s="143">
        <v>1</v>
      </c>
      <c r="H150" s="143" t="s">
        <v>63</v>
      </c>
      <c r="I150" s="130">
        <f>$J$123-92</f>
        <v>2608</v>
      </c>
      <c r="J150" s="131">
        <f t="shared" si="7"/>
        <v>1</v>
      </c>
      <c r="N150" s="98"/>
    </row>
    <row r="151" spans="1:14" s="1" customFormat="1" ht="18" customHeight="1">
      <c r="A151" s="143" t="str">
        <f t="shared" si="1"/>
        <v/>
      </c>
      <c r="B151" s="140"/>
      <c r="C151" s="140"/>
      <c r="D151" s="139"/>
      <c r="E151" s="143"/>
      <c r="F151" s="139"/>
      <c r="G151" s="143"/>
      <c r="H151" s="143"/>
      <c r="I151" s="130"/>
      <c r="J151" s="131">
        <f t="shared" ref="J151:J152" si="11">$J$120*G151</f>
        <v>0</v>
      </c>
      <c r="N151" s="98"/>
    </row>
    <row r="152" spans="1:14" s="1" customFormat="1" ht="18" customHeight="1">
      <c r="A152" s="143" t="str">
        <f t="shared" si="1"/>
        <v/>
      </c>
      <c r="B152" s="140"/>
      <c r="C152" s="140"/>
      <c r="D152" s="139"/>
      <c r="E152" s="143"/>
      <c r="F152" s="139"/>
      <c r="G152" s="143"/>
      <c r="H152" s="143"/>
      <c r="I152" s="130"/>
      <c r="J152" s="131">
        <f t="shared" si="11"/>
        <v>0</v>
      </c>
      <c r="N152" s="98"/>
    </row>
    <row r="153" spans="1:14" s="1" customFormat="1" ht="18" customHeight="1" thickBot="1">
      <c r="A153" s="143" t="str">
        <f t="shared" si="1"/>
        <v/>
      </c>
      <c r="B153" s="167"/>
      <c r="C153" s="167"/>
      <c r="D153" s="168"/>
      <c r="E153" s="166"/>
      <c r="F153" s="168"/>
      <c r="G153" s="166"/>
      <c r="H153" s="166"/>
      <c r="I153" s="171"/>
      <c r="J153" s="172">
        <f t="shared" si="0"/>
        <v>0</v>
      </c>
    </row>
    <row r="154" spans="1:14" s="1" customFormat="1" ht="27" outlineLevel="1" thickBot="1">
      <c r="A154" s="169" t="s">
        <v>2</v>
      </c>
      <c r="B154" s="169" t="s">
        <v>29</v>
      </c>
      <c r="C154" s="169" t="s">
        <v>3</v>
      </c>
      <c r="D154" s="169" t="s">
        <v>4</v>
      </c>
      <c r="E154" s="169" t="s">
        <v>5</v>
      </c>
      <c r="F154" s="177" t="s">
        <v>85</v>
      </c>
      <c r="G154" s="169" t="s">
        <v>22</v>
      </c>
      <c r="H154" s="170" t="s">
        <v>23</v>
      </c>
      <c r="I154" s="540"/>
      <c r="J154" s="541"/>
    </row>
    <row r="155" spans="1:14" s="1" customFormat="1" ht="15" customHeight="1" outlineLevel="1">
      <c r="A155" s="21">
        <f>IF(B155="","",1)</f>
        <v>1</v>
      </c>
      <c r="B155" s="173" t="str">
        <f t="shared" ref="B155:C161" si="12">B133</f>
        <v>เฟรมบน</v>
      </c>
      <c r="C155" s="173" t="str">
        <f t="shared" si="12"/>
        <v>HEAD</v>
      </c>
      <c r="D155" s="174" t="str">
        <f>VLOOKUP(C155,$C$133:$H$153,2,0)</f>
        <v>B24001</v>
      </c>
      <c r="E155" s="175">
        <f t="shared" ref="E155:E161" si="13">VLOOKUP(C155,$C$133:$H$153,3,0)</f>
        <v>1.603</v>
      </c>
      <c r="F155" s="353">
        <f>VLOOKUP(C155,$C$133:$J$153,7,0)</f>
        <v>5640</v>
      </c>
      <c r="G155" s="175">
        <f t="shared" ref="G155:G161" si="14">VLOOKUP(C155,$C$133:$J$153,8,0)</f>
        <v>1</v>
      </c>
      <c r="H155" s="191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ref="A156:A161" si="15">IF(B156="","",+A155+1)</f>
        <v>2</v>
      </c>
      <c r="B156" s="173" t="str">
        <f t="shared" si="12"/>
        <v>บังใบบน</v>
      </c>
      <c r="C156" s="173" t="str">
        <f t="shared" si="12"/>
        <v>DOOR STOP HEAD</v>
      </c>
      <c r="D156" s="174" t="str">
        <f>VLOOKUP(C156,$C$133:$H$153,2,0)</f>
        <v>B24002</v>
      </c>
      <c r="E156" s="175">
        <f t="shared" si="13"/>
        <v>0.27800000000000002</v>
      </c>
      <c r="F156" s="353">
        <f t="shared" ref="F156:F161" si="16">VLOOKUP(C156,$C$133:$I$153,7,0)</f>
        <v>5614</v>
      </c>
      <c r="G156" s="175">
        <f t="shared" si="14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si="15"/>
        <v>3</v>
      </c>
      <c r="B157" s="173" t="str">
        <f t="shared" si="12"/>
        <v xml:space="preserve">เฟรมล่าง </v>
      </c>
      <c r="C157" s="173" t="str">
        <f t="shared" si="12"/>
        <v>SILL</v>
      </c>
      <c r="D157" s="174" t="str">
        <f>VLOOKUP(C157,$C$133:$H$153,2,0)</f>
        <v>B24003</v>
      </c>
      <c r="E157" s="175">
        <f t="shared" si="13"/>
        <v>1.603</v>
      </c>
      <c r="F157" s="353">
        <f t="shared" si="16"/>
        <v>5640</v>
      </c>
      <c r="G157" s="175">
        <f t="shared" si="14"/>
        <v>1</v>
      </c>
      <c r="H157" s="192">
        <f t="shared" ref="H157:H158" si="17">ROUNDUP((F157*G157)/6400,0)</f>
        <v>1</v>
      </c>
      <c r="I157" s="501"/>
      <c r="J157" s="501"/>
    </row>
    <row r="158" spans="1:14" s="1" customFormat="1" ht="15" customHeight="1" outlineLevel="1">
      <c r="A158" s="18">
        <f t="shared" si="15"/>
        <v>4</v>
      </c>
      <c r="B158" s="173" t="str">
        <f t="shared" si="12"/>
        <v>ตัวตับธรณี</v>
      </c>
      <c r="C158" s="173" t="str">
        <f t="shared" si="12"/>
        <v>DOOR STOP SILL</v>
      </c>
      <c r="D158" s="174" t="str">
        <f>VLOOKUP(C158,$C$133:$H$153,2,0)</f>
        <v>B24004</v>
      </c>
      <c r="E158" s="175">
        <f t="shared" si="13"/>
        <v>0.51600000000000001</v>
      </c>
      <c r="F158" s="353">
        <f t="shared" si="16"/>
        <v>5640</v>
      </c>
      <c r="G158" s="175">
        <f t="shared" si="14"/>
        <v>1</v>
      </c>
      <c r="H158" s="192">
        <f t="shared" si="17"/>
        <v>1</v>
      </c>
      <c r="I158" s="501"/>
      <c r="J158" s="501"/>
    </row>
    <row r="159" spans="1:14" s="1" customFormat="1" ht="15" customHeight="1" outlineLevel="1">
      <c r="A159" s="18">
        <f t="shared" si="15"/>
        <v>5</v>
      </c>
      <c r="B159" s="173" t="str">
        <f t="shared" si="12"/>
        <v>เฟรมข้าง (ซ้าย)</v>
      </c>
      <c r="C159" s="173" t="str">
        <f t="shared" si="12"/>
        <v>JAMB (L)</v>
      </c>
      <c r="D159" s="508" t="str">
        <f>VLOOKUP(C159,$C$133:$H$153,2,0)</f>
        <v>B24005</v>
      </c>
      <c r="E159" s="175">
        <f t="shared" si="13"/>
        <v>0.89300000000000002</v>
      </c>
      <c r="F159" s="353">
        <f t="shared" si="16"/>
        <v>2700</v>
      </c>
      <c r="G159" s="175">
        <f t="shared" si="14"/>
        <v>1</v>
      </c>
      <c r="H159" s="516">
        <f>ROUNDUP(((F159*G159)+(F160*G160))/6400,0)</f>
        <v>1</v>
      </c>
      <c r="I159" s="506"/>
      <c r="J159" s="506"/>
    </row>
    <row r="160" spans="1:14" s="1" customFormat="1" ht="15" customHeight="1" outlineLevel="1">
      <c r="A160" s="18">
        <f t="shared" si="15"/>
        <v>6</v>
      </c>
      <c r="B160" s="173" t="str">
        <f t="shared" si="12"/>
        <v>เฟรมข้าง (ขวา)</v>
      </c>
      <c r="C160" s="173" t="str">
        <f t="shared" si="12"/>
        <v>JAMB (R)</v>
      </c>
      <c r="D160" s="509"/>
      <c r="E160" s="175">
        <f t="shared" si="13"/>
        <v>0.89300000000000002</v>
      </c>
      <c r="F160" s="353">
        <f t="shared" si="16"/>
        <v>2700</v>
      </c>
      <c r="G160" s="175">
        <f t="shared" si="14"/>
        <v>1</v>
      </c>
      <c r="H160" s="516"/>
      <c r="I160" s="506"/>
      <c r="J160" s="506"/>
    </row>
    <row r="161" spans="1:23" s="1" customFormat="1" ht="15" customHeight="1" outlineLevel="1">
      <c r="A161" s="18">
        <f t="shared" si="15"/>
        <v>7</v>
      </c>
      <c r="B161" s="173" t="str">
        <f t="shared" si="12"/>
        <v>บังใบข้าง (ซ้าย)</v>
      </c>
      <c r="C161" s="173" t="str">
        <f t="shared" si="12"/>
        <v>DOOR STOP JAMB (L)</v>
      </c>
      <c r="D161" s="508" t="str">
        <f>VLOOKUP(C161,$C$133:$H$153,2,0)</f>
        <v>B24006</v>
      </c>
      <c r="E161" s="175">
        <f t="shared" si="13"/>
        <v>0.23499999999999999</v>
      </c>
      <c r="F161" s="353">
        <f t="shared" si="16"/>
        <v>2604</v>
      </c>
      <c r="G161" s="175">
        <f t="shared" si="14"/>
        <v>1</v>
      </c>
      <c r="H161" s="516">
        <f>ROUNDUP(((F161*G161)+(F162*G162))/6400,0)</f>
        <v>1</v>
      </c>
      <c r="I161" s="501"/>
      <c r="J161" s="501"/>
    </row>
    <row r="162" spans="1:23" s="1" customFormat="1" ht="15" customHeight="1" outlineLevel="1">
      <c r="A162" s="18">
        <f t="shared" ref="A162:A172" si="18">IF(B162="","",+A161+1)</f>
        <v>8</v>
      </c>
      <c r="B162" s="173" t="str">
        <f t="shared" ref="B162:C162" si="19">B140</f>
        <v>บังใบข้าง (ขวา)</v>
      </c>
      <c r="C162" s="173" t="str">
        <f t="shared" si="19"/>
        <v>DOOR STOP JAMB (R)</v>
      </c>
      <c r="D162" s="509"/>
      <c r="E162" s="175">
        <f t="shared" ref="E162:E172" si="20">VLOOKUP(C162,$C$133:$H$153,3,0)</f>
        <v>0.23499999999999999</v>
      </c>
      <c r="F162" s="353">
        <f t="shared" ref="F162:F172" si="21">VLOOKUP(C162,$C$133:$I$153,7,0)</f>
        <v>2604</v>
      </c>
      <c r="G162" s="175">
        <f t="shared" ref="G162:G172" si="22">VLOOKUP(C162,$C$133:$J$153,8,0)</f>
        <v>1</v>
      </c>
      <c r="H162" s="516"/>
      <c r="I162" s="506"/>
      <c r="J162" s="506"/>
    </row>
    <row r="163" spans="1:23" s="1" customFormat="1" ht="13.8" outlineLevel="1">
      <c r="A163" s="18">
        <f t="shared" si="18"/>
        <v>9</v>
      </c>
      <c r="B163" s="173" t="str">
        <f t="shared" ref="B163:C163" si="23">B141</f>
        <v>ขวางบน</v>
      </c>
      <c r="C163" s="173" t="str">
        <f t="shared" si="23"/>
        <v>SASH (Hor) (T)</v>
      </c>
      <c r="D163" s="508" t="str">
        <f t="shared" ref="D163:D171" si="24">VLOOKUP(C163,$C$133:$H$153,2,0)</f>
        <v>B24007</v>
      </c>
      <c r="E163" s="175">
        <f t="shared" si="20"/>
        <v>1.1060000000000001</v>
      </c>
      <c r="F163" s="353">
        <f t="shared" si="21"/>
        <v>590.28125</v>
      </c>
      <c r="G163" s="175">
        <f t="shared" si="22"/>
        <v>8</v>
      </c>
      <c r="H163" s="512">
        <f>ROUNDUP(((F163*G163)+(F164*G164)+(F165*G165)+(F166*G166)+(F167*G167)+(F168*G168))/6400,0)</f>
        <v>8</v>
      </c>
      <c r="I163" s="506"/>
      <c r="J163" s="506"/>
    </row>
    <row r="164" spans="1:23" s="1" customFormat="1" ht="13.8" outlineLevel="1">
      <c r="A164" s="18">
        <f t="shared" si="18"/>
        <v>10</v>
      </c>
      <c r="B164" s="173" t="str">
        <f t="shared" ref="B164:C164" si="25">B142</f>
        <v>ขวางล่าง</v>
      </c>
      <c r="C164" s="173" t="str">
        <f t="shared" si="25"/>
        <v>SASH (Hor) (B)</v>
      </c>
      <c r="D164" s="510"/>
      <c r="E164" s="175">
        <f t="shared" si="20"/>
        <v>1.1060000000000001</v>
      </c>
      <c r="F164" s="353">
        <f t="shared" si="21"/>
        <v>590.28125</v>
      </c>
      <c r="G164" s="175">
        <f t="shared" si="22"/>
        <v>8</v>
      </c>
      <c r="H164" s="514"/>
      <c r="I164" s="506"/>
      <c r="J164" s="506"/>
    </row>
    <row r="165" spans="1:23" s="1" customFormat="1" ht="13.8" outlineLevel="1">
      <c r="A165" s="18">
        <f t="shared" si="18"/>
        <v>11</v>
      </c>
      <c r="B165" s="173" t="str">
        <f t="shared" ref="B165:C165" si="26">B143</f>
        <v>เสา</v>
      </c>
      <c r="C165" s="173" t="str">
        <f t="shared" si="26"/>
        <v xml:space="preserve">SASH (Ver) </v>
      </c>
      <c r="D165" s="510"/>
      <c r="E165" s="175">
        <f t="shared" si="20"/>
        <v>1.1060000000000001</v>
      </c>
      <c r="F165" s="353">
        <f t="shared" si="21"/>
        <v>2608</v>
      </c>
      <c r="G165" s="175">
        <f t="shared" si="22"/>
        <v>12</v>
      </c>
      <c r="H165" s="514"/>
      <c r="I165" s="506"/>
      <c r="J165" s="506"/>
    </row>
    <row r="166" spans="1:23" s="1" customFormat="1" ht="13.8" outlineLevel="1">
      <c r="A166" s="18">
        <f t="shared" si="18"/>
        <v>12</v>
      </c>
      <c r="B166" s="173" t="str">
        <f t="shared" ref="B166:C166" si="27">B144</f>
        <v>เสากุญแจ</v>
      </c>
      <c r="C166" s="173" t="str">
        <f t="shared" si="27"/>
        <v xml:space="preserve">SASH (Ver) LOCK </v>
      </c>
      <c r="D166" s="510"/>
      <c r="E166" s="175">
        <f t="shared" si="20"/>
        <v>1.1060000000000001</v>
      </c>
      <c r="F166" s="353">
        <f t="shared" si="21"/>
        <v>2608</v>
      </c>
      <c r="G166" s="175">
        <f t="shared" si="22"/>
        <v>2</v>
      </c>
      <c r="H166" s="514"/>
      <c r="I166" s="506"/>
      <c r="J166" s="506"/>
    </row>
    <row r="167" spans="1:23" s="1" customFormat="1" ht="13.8" outlineLevel="1">
      <c r="A167" s="18">
        <f t="shared" si="18"/>
        <v>13</v>
      </c>
      <c r="B167" s="173" t="str">
        <f t="shared" ref="B167:C167" si="28">B145</f>
        <v>เสากุญแจ</v>
      </c>
      <c r="C167" s="173" t="str">
        <f t="shared" si="28"/>
        <v xml:space="preserve">SASH (Ver) LOCK  </v>
      </c>
      <c r="D167" s="510"/>
      <c r="E167" s="175">
        <f t="shared" si="20"/>
        <v>1.1060000000000001</v>
      </c>
      <c r="F167" s="353">
        <f t="shared" si="21"/>
        <v>2608</v>
      </c>
      <c r="G167" s="175">
        <f t="shared" si="22"/>
        <v>1</v>
      </c>
      <c r="H167" s="514"/>
      <c r="I167" s="506"/>
      <c r="J167" s="506"/>
    </row>
    <row r="168" spans="1:23" s="1" customFormat="1" ht="13.8" outlineLevel="1">
      <c r="A168" s="18">
        <f t="shared" si="18"/>
        <v>14</v>
      </c>
      <c r="B168" s="173" t="str">
        <f t="shared" ref="B168:C168" si="29">B146</f>
        <v>เสากุญแจมือจับ</v>
      </c>
      <c r="C168" s="173" t="str">
        <f t="shared" si="29"/>
        <v>SASH (Ver) LOCK HANDLE</v>
      </c>
      <c r="D168" s="509"/>
      <c r="E168" s="175">
        <f t="shared" si="20"/>
        <v>1.1060000000000001</v>
      </c>
      <c r="F168" s="353">
        <f t="shared" si="21"/>
        <v>2608</v>
      </c>
      <c r="G168" s="175">
        <f t="shared" si="22"/>
        <v>1</v>
      </c>
      <c r="H168" s="515"/>
      <c r="I168" s="501"/>
      <c r="J168" s="501"/>
    </row>
    <row r="169" spans="1:23" s="1" customFormat="1" ht="13.8" outlineLevel="1">
      <c r="A169" s="18">
        <f t="shared" si="18"/>
        <v>15</v>
      </c>
      <c r="B169" s="173" t="str">
        <f t="shared" ref="B169:C169" si="30">B147</f>
        <v>5-6-8mm คิ้วตบกระจกแนวนอน</v>
      </c>
      <c r="C169" s="173" t="str">
        <f t="shared" si="30"/>
        <v>5-6-8mm GLAZING BEAD HORIZONTAL</v>
      </c>
      <c r="D169" s="508" t="str">
        <f t="shared" si="24"/>
        <v>B24008</v>
      </c>
      <c r="E169" s="175">
        <f t="shared" si="20"/>
        <v>0.23100000000000001</v>
      </c>
      <c r="F169" s="353">
        <f t="shared" si="21"/>
        <v>590.28125</v>
      </c>
      <c r="G169" s="175">
        <f t="shared" si="22"/>
        <v>16</v>
      </c>
      <c r="H169" s="516">
        <f>ROUNDUP(((F169*G169)+(F170*G170))/6400,0)</f>
        <v>8</v>
      </c>
      <c r="I169" s="233"/>
      <c r="J169" s="233"/>
    </row>
    <row r="170" spans="1:23" s="1" customFormat="1" ht="13.8" outlineLevel="1">
      <c r="A170" s="18">
        <f t="shared" si="18"/>
        <v>16</v>
      </c>
      <c r="B170" s="173" t="str">
        <f t="shared" ref="B170:C170" si="31">B148</f>
        <v>5-6mm คิ้วตบกระจกแนวตั้ง</v>
      </c>
      <c r="C170" s="173" t="str">
        <f t="shared" si="31"/>
        <v>5-6mm GLAZING BEAD VERTICAL</v>
      </c>
      <c r="D170" s="509"/>
      <c r="E170" s="175">
        <f t="shared" si="20"/>
        <v>0.23100000000000001</v>
      </c>
      <c r="F170" s="353">
        <f t="shared" si="21"/>
        <v>2458</v>
      </c>
      <c r="G170" s="175">
        <f t="shared" si="22"/>
        <v>16</v>
      </c>
      <c r="H170" s="516"/>
      <c r="I170" s="233"/>
      <c r="J170" s="233"/>
    </row>
    <row r="171" spans="1:23" s="1" customFormat="1" ht="13.8" outlineLevel="1">
      <c r="A171" s="18">
        <f t="shared" si="18"/>
        <v>17</v>
      </c>
      <c r="B171" s="173" t="str">
        <f t="shared" ref="B171:C171" si="32">B149</f>
        <v>บังใบ</v>
      </c>
      <c r="C171" s="173" t="str">
        <f t="shared" si="32"/>
        <v>SASH STOP</v>
      </c>
      <c r="D171" s="508" t="str">
        <f t="shared" si="24"/>
        <v>B24009</v>
      </c>
      <c r="E171" s="175">
        <f t="shared" si="20"/>
        <v>0</v>
      </c>
      <c r="F171" s="353">
        <f t="shared" si="21"/>
        <v>2608</v>
      </c>
      <c r="G171" s="175">
        <f t="shared" si="22"/>
        <v>1</v>
      </c>
      <c r="H171" s="516">
        <f>ROUNDUP(((F171*G171)+(F172*G172))/6400,0)</f>
        <v>1</v>
      </c>
      <c r="I171" s="233"/>
      <c r="J171" s="233"/>
    </row>
    <row r="172" spans="1:23" s="1" customFormat="1" outlineLevel="1" thickBot="1">
      <c r="A172" s="18">
        <f t="shared" si="18"/>
        <v>18</v>
      </c>
      <c r="B172" s="173" t="str">
        <f t="shared" ref="B172:C172" si="33">B150</f>
        <v>บังใบ</v>
      </c>
      <c r="C172" s="173" t="str">
        <f t="shared" si="33"/>
        <v>SASH STOP</v>
      </c>
      <c r="D172" s="511"/>
      <c r="E172" s="175">
        <f t="shared" si="20"/>
        <v>0</v>
      </c>
      <c r="F172" s="353">
        <f t="shared" si="21"/>
        <v>2608</v>
      </c>
      <c r="G172" s="175">
        <f t="shared" si="22"/>
        <v>1</v>
      </c>
      <c r="H172" s="516"/>
      <c r="I172" s="233"/>
      <c r="J172" s="233"/>
    </row>
    <row r="173" spans="1:23" s="1" customFormat="1" ht="24.9" customHeight="1" thickBot="1">
      <c r="A173" s="529" t="s">
        <v>9</v>
      </c>
      <c r="B173" s="530"/>
      <c r="C173" s="530"/>
      <c r="D173" s="530"/>
      <c r="E173" s="530"/>
      <c r="F173" s="530"/>
      <c r="G173" s="530"/>
      <c r="H173" s="530"/>
      <c r="I173" s="530"/>
      <c r="J173" s="531"/>
    </row>
    <row r="174" spans="1:23" s="1" customFormat="1" ht="35.1" customHeight="1" thickBot="1">
      <c r="A174" s="102" t="s">
        <v>2</v>
      </c>
      <c r="B174" s="103" t="s">
        <v>29</v>
      </c>
      <c r="C174" s="103" t="s">
        <v>3</v>
      </c>
      <c r="D174" s="103" t="s">
        <v>199</v>
      </c>
      <c r="E174" s="103" t="s">
        <v>5</v>
      </c>
      <c r="F174" s="104" t="s">
        <v>28</v>
      </c>
      <c r="G174" s="103" t="s">
        <v>19</v>
      </c>
      <c r="H174" s="104" t="s">
        <v>200</v>
      </c>
      <c r="I174" s="104" t="s">
        <v>20</v>
      </c>
      <c r="J174" s="115" t="s">
        <v>201</v>
      </c>
      <c r="N174" s="101" t="s">
        <v>191</v>
      </c>
      <c r="O174" s="246" t="s">
        <v>29</v>
      </c>
      <c r="P174" s="246" t="s">
        <v>3</v>
      </c>
      <c r="Q174" s="246" t="s">
        <v>199</v>
      </c>
      <c r="R174" s="246" t="s">
        <v>5</v>
      </c>
      <c r="S174" s="246" t="s">
        <v>28</v>
      </c>
      <c r="T174" s="246" t="s">
        <v>19</v>
      </c>
      <c r="U174" s="246" t="s">
        <v>200</v>
      </c>
      <c r="V174" s="246" t="s">
        <v>20</v>
      </c>
      <c r="W174" s="246" t="s">
        <v>201</v>
      </c>
    </row>
    <row r="175" spans="1:23" s="1" customFormat="1" ht="18" customHeight="1">
      <c r="A175" s="200">
        <f>IF(B175="","",1)</f>
        <v>1</v>
      </c>
      <c r="B175" s="140" t="s">
        <v>111</v>
      </c>
      <c r="C175" s="140" t="s">
        <v>67</v>
      </c>
      <c r="D175" s="139" t="s">
        <v>74</v>
      </c>
      <c r="E175" s="143"/>
      <c r="F175" s="143" t="s">
        <v>74</v>
      </c>
      <c r="G175" s="143" t="s">
        <v>202</v>
      </c>
      <c r="H175" s="143">
        <v>16</v>
      </c>
      <c r="I175" s="130"/>
      <c r="J175" s="131">
        <f t="shared" ref="J175:J190" si="34">$J$120*H175</f>
        <v>16</v>
      </c>
      <c r="N175" s="101" t="s">
        <v>226</v>
      </c>
      <c r="O175" s="280" t="s">
        <v>252</v>
      </c>
      <c r="P175" s="290" t="s">
        <v>248</v>
      </c>
      <c r="Q175" s="280" t="s">
        <v>69</v>
      </c>
      <c r="R175" s="213"/>
      <c r="S175" s="213" t="s">
        <v>69</v>
      </c>
      <c r="T175" s="213" t="s">
        <v>198</v>
      </c>
      <c r="U175" s="291">
        <f>((($I$141*$G$141)+($I$142*$G$142)+($I$143*$G$143)+($I$144*$G$144)+($I$145*$G$145)+($I$146*$G$146))/1000)*$J$120</f>
        <v>51.172499999999999</v>
      </c>
      <c r="V175" s="291">
        <v>100</v>
      </c>
      <c r="W175" s="292">
        <f>ROUNDUP((U175)/100,0)</f>
        <v>1</v>
      </c>
    </row>
    <row r="176" spans="1:23" s="1" customFormat="1" ht="18" customHeight="1">
      <c r="A176" s="201">
        <f>IF(B176="","",+A175+1)</f>
        <v>2</v>
      </c>
      <c r="B176" s="140" t="s">
        <v>106</v>
      </c>
      <c r="C176" s="140" t="s">
        <v>503</v>
      </c>
      <c r="D176" s="139" t="s">
        <v>75</v>
      </c>
      <c r="E176" s="143"/>
      <c r="F176" s="143" t="s">
        <v>75</v>
      </c>
      <c r="G176" s="143" t="s">
        <v>202</v>
      </c>
      <c r="H176" s="143">
        <v>2</v>
      </c>
      <c r="I176" s="130"/>
      <c r="J176" s="131">
        <f t="shared" si="34"/>
        <v>2</v>
      </c>
      <c r="N176" s="101" t="s">
        <v>230</v>
      </c>
      <c r="O176" s="280" t="s">
        <v>253</v>
      </c>
      <c r="P176" s="290" t="s">
        <v>249</v>
      </c>
      <c r="Q176" s="280" t="s">
        <v>188</v>
      </c>
      <c r="R176" s="213"/>
      <c r="S176" s="213" t="s">
        <v>188</v>
      </c>
      <c r="T176" s="213" t="s">
        <v>198</v>
      </c>
      <c r="U176" s="291">
        <f>((($I$141*$G$141)+($I$142*$G$142)+($I$143*$G$143)+($I$144*$G$144)+($I$145*$G$145)+($I$146*$G$146))/1000)*$J$120</f>
        <v>51.172499999999999</v>
      </c>
      <c r="V176" s="291">
        <v>100</v>
      </c>
      <c r="W176" s="292">
        <f t="shared" ref="W176:W179" si="35">ROUNDUP((U176)/100,0)</f>
        <v>1</v>
      </c>
    </row>
    <row r="177" spans="1:23" s="1" customFormat="1" ht="18" customHeight="1">
      <c r="A177" s="201">
        <f t="shared" ref="A177:A204" si="36">IF(B177="","",+A176+1)</f>
        <v>3</v>
      </c>
      <c r="B177" s="140" t="s">
        <v>107</v>
      </c>
      <c r="C177" s="140" t="s">
        <v>504</v>
      </c>
      <c r="D177" s="139" t="s">
        <v>76</v>
      </c>
      <c r="E177" s="143"/>
      <c r="F177" s="143" t="s">
        <v>76</v>
      </c>
      <c r="G177" s="143" t="s">
        <v>202</v>
      </c>
      <c r="H177" s="143">
        <v>2</v>
      </c>
      <c r="I177" s="130"/>
      <c r="J177" s="131">
        <f t="shared" si="34"/>
        <v>2</v>
      </c>
      <c r="N177" s="101" t="s">
        <v>229</v>
      </c>
      <c r="O177" s="290" t="s">
        <v>254</v>
      </c>
      <c r="P177" s="290" t="s">
        <v>250</v>
      </c>
      <c r="Q177" s="379" t="s">
        <v>70</v>
      </c>
      <c r="R177" s="213"/>
      <c r="S177" s="380" t="s">
        <v>70</v>
      </c>
      <c r="T177" s="213" t="s">
        <v>198</v>
      </c>
      <c r="U177" s="291">
        <f>((($I$141*$G$141)+($I$142*$G$142)+($I$143*$G$143)+($I$144*$G$144)+($I$145*$G$145)+($I$146*$G$146))/1000)*$J$120</f>
        <v>51.172499999999999</v>
      </c>
      <c r="V177" s="291">
        <v>100</v>
      </c>
      <c r="W177" s="292">
        <f t="shared" si="35"/>
        <v>1</v>
      </c>
    </row>
    <row r="178" spans="1:23" s="1" customFormat="1" ht="18" customHeight="1">
      <c r="A178" s="201">
        <f t="shared" si="36"/>
        <v>4</v>
      </c>
      <c r="B178" s="140" t="s">
        <v>108</v>
      </c>
      <c r="C178" s="140" t="s">
        <v>10</v>
      </c>
      <c r="D178" s="139">
        <v>9</v>
      </c>
      <c r="E178" s="143"/>
      <c r="F178" s="143">
        <v>9</v>
      </c>
      <c r="G178" s="143" t="s">
        <v>202</v>
      </c>
      <c r="H178" s="143">
        <v>8</v>
      </c>
      <c r="I178" s="130"/>
      <c r="J178" s="131">
        <f t="shared" si="34"/>
        <v>8</v>
      </c>
      <c r="N178" s="101" t="s">
        <v>231</v>
      </c>
      <c r="O178" s="290" t="s">
        <v>255</v>
      </c>
      <c r="P178" s="290" t="s">
        <v>251</v>
      </c>
      <c r="Q178" s="280" t="s">
        <v>189</v>
      </c>
      <c r="R178" s="213"/>
      <c r="S178" s="213" t="s">
        <v>189</v>
      </c>
      <c r="T178" s="213" t="s">
        <v>198</v>
      </c>
      <c r="U178" s="291">
        <f>((($I$141*$G$141)+($I$142*$G$142)+($I$143*$G$143)+($I$144*$G$144)+($I$145*$G$145)+($I$146*$G$146))/1000)*$J$120</f>
        <v>51.172499999999999</v>
      </c>
      <c r="V178" s="291">
        <v>100</v>
      </c>
      <c r="W178" s="292">
        <f t="shared" si="35"/>
        <v>1</v>
      </c>
    </row>
    <row r="179" spans="1:23" s="1" customFormat="1" ht="18" customHeight="1">
      <c r="A179" s="201">
        <f t="shared" si="36"/>
        <v>5</v>
      </c>
      <c r="B179" s="140" t="s">
        <v>109</v>
      </c>
      <c r="C179" s="140" t="s">
        <v>68</v>
      </c>
      <c r="D179" s="139">
        <v>9</v>
      </c>
      <c r="E179" s="143"/>
      <c r="F179" s="143">
        <v>9</v>
      </c>
      <c r="G179" s="143" t="s">
        <v>202</v>
      </c>
      <c r="H179" s="143">
        <v>110</v>
      </c>
      <c r="I179" s="130"/>
      <c r="J179" s="131">
        <f t="shared" si="34"/>
        <v>110</v>
      </c>
      <c r="N179" s="101" t="s">
        <v>232</v>
      </c>
      <c r="O179" s="290" t="s">
        <v>256</v>
      </c>
      <c r="P179" s="290" t="s">
        <v>247</v>
      </c>
      <c r="Q179" s="379" t="s">
        <v>233</v>
      </c>
      <c r="R179" s="213"/>
      <c r="S179" s="380" t="s">
        <v>233</v>
      </c>
      <c r="T179" s="213" t="s">
        <v>198</v>
      </c>
      <c r="U179" s="291">
        <f>((($I$141*$G$141)+($I$142*$G$142)+($I$143*$G$143)+($I$144*$G$144)+($I$145*$G$145)+($I$146*$G$146))/1000)*$J$120</f>
        <v>51.172499999999999</v>
      </c>
      <c r="V179" s="291">
        <v>100</v>
      </c>
      <c r="W179" s="292">
        <f t="shared" si="35"/>
        <v>1</v>
      </c>
    </row>
    <row r="180" spans="1:23" s="1" customFormat="1" ht="18" customHeight="1">
      <c r="A180" s="201">
        <f t="shared" si="36"/>
        <v>6</v>
      </c>
      <c r="B180" s="140" t="s">
        <v>132</v>
      </c>
      <c r="C180" s="140" t="s">
        <v>79</v>
      </c>
      <c r="D180" s="139" t="s">
        <v>82</v>
      </c>
      <c r="E180" s="143"/>
      <c r="F180" s="143" t="s">
        <v>82</v>
      </c>
      <c r="G180" s="143" t="s">
        <v>185</v>
      </c>
      <c r="H180" s="143">
        <v>1</v>
      </c>
      <c r="I180" s="130"/>
      <c r="J180" s="131">
        <f t="shared" si="34"/>
        <v>1</v>
      </c>
    </row>
    <row r="181" spans="1:23" s="1" customFormat="1" ht="18" customHeight="1">
      <c r="A181" s="201">
        <f t="shared" si="36"/>
        <v>7</v>
      </c>
      <c r="B181" s="140" t="s">
        <v>143</v>
      </c>
      <c r="C181" s="140" t="s">
        <v>121</v>
      </c>
      <c r="D181" s="139" t="s">
        <v>103</v>
      </c>
      <c r="E181" s="143"/>
      <c r="F181" s="143" t="s">
        <v>103</v>
      </c>
      <c r="G181" s="143" t="s">
        <v>185</v>
      </c>
      <c r="H181" s="143">
        <v>2</v>
      </c>
      <c r="I181" s="130"/>
      <c r="J181" s="131">
        <f t="shared" si="34"/>
        <v>2</v>
      </c>
    </row>
    <row r="182" spans="1:23" s="1" customFormat="1" ht="18" customHeight="1">
      <c r="A182" s="201">
        <f t="shared" si="36"/>
        <v>8</v>
      </c>
      <c r="B182" s="140" t="s">
        <v>118</v>
      </c>
      <c r="C182" s="140" t="s">
        <v>77</v>
      </c>
      <c r="D182" s="139" t="s">
        <v>80</v>
      </c>
      <c r="E182" s="143"/>
      <c r="F182" s="143" t="s">
        <v>80</v>
      </c>
      <c r="G182" s="143" t="s">
        <v>185</v>
      </c>
      <c r="H182" s="143">
        <v>1</v>
      </c>
      <c r="I182" s="130"/>
      <c r="J182" s="131">
        <f t="shared" si="34"/>
        <v>1</v>
      </c>
    </row>
    <row r="183" spans="1:23" s="1" customFormat="1" ht="18" customHeight="1">
      <c r="A183" s="201">
        <f t="shared" si="36"/>
        <v>9</v>
      </c>
      <c r="B183" s="140" t="s">
        <v>120</v>
      </c>
      <c r="C183" s="140" t="s">
        <v>94</v>
      </c>
      <c r="D183" s="139" t="s">
        <v>96</v>
      </c>
      <c r="E183" s="143"/>
      <c r="F183" s="143" t="s">
        <v>96</v>
      </c>
      <c r="G183" s="143" t="s">
        <v>185</v>
      </c>
      <c r="H183" s="143">
        <v>1</v>
      </c>
      <c r="I183" s="130"/>
      <c r="J183" s="131">
        <f t="shared" si="34"/>
        <v>1</v>
      </c>
    </row>
    <row r="184" spans="1:23" s="1" customFormat="1" ht="18" customHeight="1">
      <c r="A184" s="201">
        <f t="shared" si="36"/>
        <v>10</v>
      </c>
      <c r="B184" s="140" t="s">
        <v>131</v>
      </c>
      <c r="C184" s="140" t="s">
        <v>100</v>
      </c>
      <c r="D184" s="139" t="s">
        <v>102</v>
      </c>
      <c r="E184" s="143"/>
      <c r="F184" s="143" t="s">
        <v>102</v>
      </c>
      <c r="G184" s="143" t="s">
        <v>185</v>
      </c>
      <c r="H184" s="143">
        <v>3</v>
      </c>
      <c r="I184" s="130"/>
      <c r="J184" s="131">
        <f t="shared" si="34"/>
        <v>3</v>
      </c>
      <c r="N184" s="56"/>
      <c r="O184" s="56"/>
      <c r="P184" s="56"/>
      <c r="Q184" s="289"/>
      <c r="R184" s="289"/>
      <c r="S184" s="289"/>
      <c r="T184" s="17"/>
      <c r="U184" s="17"/>
      <c r="V184" s="17"/>
      <c r="W184" s="56"/>
    </row>
    <row r="185" spans="1:23" s="1" customFormat="1" ht="18" customHeight="1">
      <c r="A185" s="201">
        <f t="shared" si="36"/>
        <v>11</v>
      </c>
      <c r="B185" s="140" t="s">
        <v>113</v>
      </c>
      <c r="C185" s="140" t="s">
        <v>502</v>
      </c>
      <c r="D185" s="139" t="s">
        <v>83</v>
      </c>
      <c r="E185" s="143"/>
      <c r="F185" s="143" t="s">
        <v>83</v>
      </c>
      <c r="G185" s="143" t="s">
        <v>185</v>
      </c>
      <c r="H185" s="143">
        <v>3</v>
      </c>
      <c r="I185" s="144"/>
      <c r="J185" s="131">
        <f t="shared" si="34"/>
        <v>3</v>
      </c>
      <c r="N185" s="101" t="s">
        <v>227</v>
      </c>
      <c r="O185" s="246" t="s">
        <v>29</v>
      </c>
      <c r="P185" s="246" t="s">
        <v>3</v>
      </c>
      <c r="Q185" s="246" t="s">
        <v>199</v>
      </c>
      <c r="R185" s="246" t="s">
        <v>5</v>
      </c>
      <c r="S185" s="246" t="s">
        <v>28</v>
      </c>
      <c r="T185" s="246" t="s">
        <v>19</v>
      </c>
      <c r="U185" s="246" t="s">
        <v>200</v>
      </c>
      <c r="V185" s="246" t="s">
        <v>20</v>
      </c>
      <c r="W185" s="246" t="s">
        <v>201</v>
      </c>
    </row>
    <row r="186" spans="1:23" s="1" customFormat="1" ht="18" customHeight="1">
      <c r="A186" s="201">
        <f t="shared" si="36"/>
        <v>12</v>
      </c>
      <c r="B186" s="140" t="s">
        <v>122</v>
      </c>
      <c r="C186" s="140" t="s">
        <v>101</v>
      </c>
      <c r="D186" s="139" t="s">
        <v>104</v>
      </c>
      <c r="E186" s="143"/>
      <c r="F186" s="143" t="s">
        <v>104</v>
      </c>
      <c r="G186" s="143" t="s">
        <v>185</v>
      </c>
      <c r="H186" s="143">
        <v>1</v>
      </c>
      <c r="I186" s="144"/>
      <c r="J186" s="131">
        <f t="shared" si="34"/>
        <v>1</v>
      </c>
      <c r="N186" s="101" t="s">
        <v>240</v>
      </c>
      <c r="O186" s="290" t="s">
        <v>234</v>
      </c>
      <c r="P186" s="290" t="s">
        <v>236</v>
      </c>
      <c r="Q186" s="280" t="s">
        <v>190</v>
      </c>
      <c r="R186" s="213"/>
      <c r="S186" s="213" t="s">
        <v>190</v>
      </c>
      <c r="T186" s="213" t="s">
        <v>198</v>
      </c>
      <c r="U186" s="291">
        <f>((($I$134*$G$134)+($I$136*$G$136)+($I$139*$G$139))/1000)*$J$120</f>
        <v>13.858000000000001</v>
      </c>
      <c r="V186" s="291">
        <v>300</v>
      </c>
      <c r="W186" s="292">
        <f>ROUNDUP((U186)/V186,0)</f>
        <v>1</v>
      </c>
    </row>
    <row r="187" spans="1:23" s="1" customFormat="1" ht="18" customHeight="1">
      <c r="A187" s="201">
        <f t="shared" si="36"/>
        <v>13</v>
      </c>
      <c r="B187" s="140" t="s">
        <v>112</v>
      </c>
      <c r="C187" s="140" t="s">
        <v>114</v>
      </c>
      <c r="D187" s="128" t="s">
        <v>520</v>
      </c>
      <c r="E187" s="129"/>
      <c r="F187" s="129" t="s">
        <v>520</v>
      </c>
      <c r="G187" s="143" t="s">
        <v>202</v>
      </c>
      <c r="H187" s="143">
        <v>6</v>
      </c>
      <c r="I187" s="130"/>
      <c r="J187" s="131">
        <f t="shared" si="34"/>
        <v>6</v>
      </c>
      <c r="N187" s="101" t="s">
        <v>241</v>
      </c>
      <c r="O187" s="290" t="s">
        <v>235</v>
      </c>
      <c r="P187" s="290" t="s">
        <v>238</v>
      </c>
      <c r="Q187" s="280" t="s">
        <v>71</v>
      </c>
      <c r="R187" s="213"/>
      <c r="S187" s="213" t="s">
        <v>71</v>
      </c>
      <c r="T187" s="213" t="s">
        <v>198</v>
      </c>
      <c r="U187" s="291">
        <f>((($I$134*$G$134)+($I$136*$G$136)+($I$139*$G$139))/1000)*$J$120</f>
        <v>13.858000000000001</v>
      </c>
      <c r="V187" s="291">
        <v>100</v>
      </c>
      <c r="W187" s="292">
        <f t="shared" ref="W187:W189" si="37">ROUNDUP((U187)/V187,0)</f>
        <v>1</v>
      </c>
    </row>
    <row r="188" spans="1:23" s="1" customFormat="1" ht="18" customHeight="1">
      <c r="A188" s="201">
        <f t="shared" si="36"/>
        <v>14</v>
      </c>
      <c r="B188" s="140" t="s">
        <v>115</v>
      </c>
      <c r="C188" s="140" t="s">
        <v>45</v>
      </c>
      <c r="D188" s="139" t="s">
        <v>84</v>
      </c>
      <c r="E188" s="143"/>
      <c r="F188" s="143" t="s">
        <v>84</v>
      </c>
      <c r="G188" s="143" t="s">
        <v>202</v>
      </c>
      <c r="H188" s="143">
        <v>1</v>
      </c>
      <c r="I188" s="130"/>
      <c r="J188" s="131">
        <f t="shared" si="34"/>
        <v>1</v>
      </c>
      <c r="N188" s="101" t="s">
        <v>240</v>
      </c>
      <c r="O188" s="290" t="s">
        <v>245</v>
      </c>
      <c r="P188" s="290" t="s">
        <v>237</v>
      </c>
      <c r="Q188" s="280" t="s">
        <v>72</v>
      </c>
      <c r="R188" s="213"/>
      <c r="S188" s="213" t="s">
        <v>72</v>
      </c>
      <c r="T188" s="213" t="s">
        <v>198</v>
      </c>
      <c r="U188" s="291">
        <f>((($I$141*$G$141*2)+($I$143*$G$143*2)+($I$144*$G$144*2))/1000)*$J$120</f>
        <v>82.468500000000006</v>
      </c>
      <c r="V188" s="291">
        <v>350</v>
      </c>
      <c r="W188" s="292">
        <f t="shared" si="37"/>
        <v>1</v>
      </c>
    </row>
    <row r="189" spans="1:23" s="1" customFormat="1" ht="18" customHeight="1">
      <c r="A189" s="201">
        <f t="shared" si="36"/>
        <v>15</v>
      </c>
      <c r="B189" s="140" t="s">
        <v>110</v>
      </c>
      <c r="C189" s="140" t="s">
        <v>66</v>
      </c>
      <c r="D189" s="139" t="s">
        <v>128</v>
      </c>
      <c r="E189" s="143"/>
      <c r="F189" s="143" t="s">
        <v>128</v>
      </c>
      <c r="G189" s="143" t="s">
        <v>202</v>
      </c>
      <c r="H189" s="143">
        <v>1</v>
      </c>
      <c r="I189" s="130"/>
      <c r="J189" s="131">
        <f t="shared" si="34"/>
        <v>1</v>
      </c>
      <c r="N189" s="101" t="s">
        <v>241</v>
      </c>
      <c r="O189" s="290" t="s">
        <v>246</v>
      </c>
      <c r="P189" s="290" t="s">
        <v>239</v>
      </c>
      <c r="Q189" s="280" t="s">
        <v>193</v>
      </c>
      <c r="R189" s="213"/>
      <c r="S189" s="213" t="s">
        <v>193</v>
      </c>
      <c r="T189" s="213" t="s">
        <v>198</v>
      </c>
      <c r="U189" s="291">
        <f>((($I$141*$G$141*2)+($I$143*$G$143*2)+($I$144*$G$144*2))/1000)*$J$120</f>
        <v>82.468500000000006</v>
      </c>
      <c r="V189" s="291">
        <v>100</v>
      </c>
      <c r="W189" s="292">
        <f t="shared" si="37"/>
        <v>1</v>
      </c>
    </row>
    <row r="190" spans="1:23" s="1" customFormat="1" ht="18" customHeight="1">
      <c r="A190" s="201">
        <f t="shared" si="36"/>
        <v>16</v>
      </c>
      <c r="B190" s="140" t="s">
        <v>110</v>
      </c>
      <c r="C190" s="140" t="s">
        <v>66</v>
      </c>
      <c r="D190" s="139" t="s">
        <v>73</v>
      </c>
      <c r="E190" s="143"/>
      <c r="F190" s="143" t="s">
        <v>73</v>
      </c>
      <c r="G190" s="143" t="s">
        <v>202</v>
      </c>
      <c r="H190" s="143">
        <v>3</v>
      </c>
      <c r="I190" s="130"/>
      <c r="J190" s="131">
        <f t="shared" si="34"/>
        <v>3</v>
      </c>
    </row>
    <row r="191" spans="1:23" s="1" customFormat="1" ht="18" customHeight="1">
      <c r="A191" s="201">
        <f t="shared" si="36"/>
        <v>17</v>
      </c>
      <c r="B191" s="140" t="s">
        <v>647</v>
      </c>
      <c r="C191" s="140" t="s">
        <v>127</v>
      </c>
      <c r="D191" s="139" t="s">
        <v>126</v>
      </c>
      <c r="E191" s="143"/>
      <c r="F191" s="143" t="s">
        <v>126</v>
      </c>
      <c r="G191" s="143" t="s">
        <v>185</v>
      </c>
      <c r="H191" s="143">
        <v>1</v>
      </c>
      <c r="I191" s="130"/>
      <c r="J191" s="131">
        <f>$J$120*H191</f>
        <v>1</v>
      </c>
    </row>
    <row r="192" spans="1:23" s="1" customFormat="1" ht="18" customHeight="1">
      <c r="A192" s="201">
        <f t="shared" si="36"/>
        <v>18</v>
      </c>
      <c r="B192" s="140" t="s">
        <v>648</v>
      </c>
      <c r="C192" s="140" t="s">
        <v>127</v>
      </c>
      <c r="D192" s="139" t="s">
        <v>521</v>
      </c>
      <c r="E192" s="143"/>
      <c r="F192" s="143" t="s">
        <v>521</v>
      </c>
      <c r="G192" s="143" t="s">
        <v>185</v>
      </c>
      <c r="H192" s="143">
        <v>1</v>
      </c>
      <c r="I192" s="130"/>
      <c r="J192" s="131" t="e">
        <f>$J$120*G192</f>
        <v>#VALUE!</v>
      </c>
    </row>
    <row r="193" spans="1:24" s="1" customFormat="1" ht="18" customHeight="1">
      <c r="A193" s="201">
        <f t="shared" si="36"/>
        <v>19</v>
      </c>
      <c r="B193" s="140" t="s">
        <v>512</v>
      </c>
      <c r="C193" s="140" t="s">
        <v>135</v>
      </c>
      <c r="D193" s="139" t="s">
        <v>137</v>
      </c>
      <c r="E193" s="143"/>
      <c r="F193" s="143" t="s">
        <v>137</v>
      </c>
      <c r="G193" s="143" t="s">
        <v>198</v>
      </c>
      <c r="H193" s="261">
        <f>((($I$149*$G$149)+($I$150*$G$150))/1000)*$J$120</f>
        <v>5.2160000000000002</v>
      </c>
      <c r="I193" s="258">
        <v>100</v>
      </c>
      <c r="J193" s="267">
        <f>ROUNDUP((H193)/100,0)</f>
        <v>1</v>
      </c>
    </row>
    <row r="194" spans="1:24" s="1" customFormat="1" ht="18" customHeight="1">
      <c r="A194" s="201">
        <f t="shared" si="36"/>
        <v>20</v>
      </c>
      <c r="B194" s="140" t="s">
        <v>513</v>
      </c>
      <c r="C194" s="140" t="s">
        <v>136</v>
      </c>
      <c r="D194" s="139" t="s">
        <v>138</v>
      </c>
      <c r="E194" s="143"/>
      <c r="F194" s="143" t="s">
        <v>138</v>
      </c>
      <c r="G194" s="143" t="s">
        <v>198</v>
      </c>
      <c r="H194" s="261">
        <f>((($I$144*$G$144)+($I$146*$G$146))/1000)*$J$120</f>
        <v>7.8239999999999998</v>
      </c>
      <c r="I194" s="258">
        <v>100</v>
      </c>
      <c r="J194" s="267">
        <f>ROUNDUP((H194)/100,0)</f>
        <v>1</v>
      </c>
    </row>
    <row r="195" spans="1:24" ht="18" customHeight="1">
      <c r="A195" s="201">
        <f t="shared" si="36"/>
        <v>21</v>
      </c>
      <c r="B195" s="139" t="str">
        <f>IF($D$129="Standard",$O$186,IF($D$129="Soumdproof",$O$187,))</f>
        <v>ยางเฟรมกันน้ำ (ธรรมดา)</v>
      </c>
      <c r="C195" s="139" t="str">
        <f>IF($D$129="Standard",$P$186,IF($D$129="Soumdproof",$P$187,))</f>
        <v>FRAME SEAL (Standard)</v>
      </c>
      <c r="D195" s="139" t="str">
        <f>IF($D$129="Standard",$Q$186,IF($D$129="Soumdproof",$Q$187,))</f>
        <v>02-026</v>
      </c>
      <c r="E195" s="143">
        <f>IF($D$129="Standard",R191,IF($D$129="Soumdproof",R192,))</f>
        <v>0</v>
      </c>
      <c r="F195" s="143" t="str">
        <f>IF($D$129="Standard",$S$186,IF($D$129="Soumdproof",$S$187,))</f>
        <v>02-026</v>
      </c>
      <c r="G195" s="143" t="str">
        <f>IF($D$129="Standard",$T$186,IF($D$129="Soumdproof",$T$187,))</f>
        <v>M</v>
      </c>
      <c r="H195" s="261">
        <f>IF($D$129="Standard",$U$186,IF($D$129="Soumdproof",$U$187,))</f>
        <v>13.858000000000001</v>
      </c>
      <c r="I195" s="258">
        <f>IF($D$129="Standard",$V$186,IF($D$129="Soumdproof",$V$187,))</f>
        <v>300</v>
      </c>
      <c r="J195" s="267">
        <f>ROUNDUP((H195)/100,0)</f>
        <v>1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s="1" customFormat="1" ht="18" customHeight="1">
      <c r="A196" s="201">
        <f t="shared" si="36"/>
        <v>22</v>
      </c>
      <c r="B196" s="139" t="str">
        <f>IF($D$129="Standard",$O$188,IF($D$129="Soumdproof",$O$189,))</f>
        <v>ยางแซชกันน้ำ (ธรรมดา)</v>
      </c>
      <c r="C196" s="139" t="str">
        <f>IF($D$129="Standard",$P$188,IF($D$129="Soumdproof",$P$189,))</f>
        <v>SASH SEAL FOAM (Standard)</v>
      </c>
      <c r="D196" s="139" t="str">
        <f>IF($D$129="Standard",$Q$188,IF($D$129="Soumdproof",$Q$189,))</f>
        <v>02-031</v>
      </c>
      <c r="E196" s="143">
        <f>IF($D$129="Standard",R193,IF($D$129="Soumdproof",R194,))</f>
        <v>0</v>
      </c>
      <c r="F196" s="143" t="str">
        <f>IF($D$129="Standard",$S$188,IF($D$129="Soumdproof",$S$189,))</f>
        <v>02-031</v>
      </c>
      <c r="G196" s="143" t="str">
        <f>IF($D$129="Standard",$T$188,IF($D$129="Soumdproof",$T$189,))</f>
        <v>M</v>
      </c>
      <c r="H196" s="261">
        <f>IF($D$129="Standard",$U$188,IF($D$129="Soumdproof",$U$189,))</f>
        <v>82.468500000000006</v>
      </c>
      <c r="I196" s="258">
        <f>IF($D$129="Standard",$V$188,IF($D$129="Soumdproof",$V$189,))</f>
        <v>350</v>
      </c>
      <c r="J196" s="267">
        <f t="shared" ref="J196:J198" si="38">ROUNDUP((H196)/100,0)</f>
        <v>1</v>
      </c>
    </row>
    <row r="197" spans="1:24" s="1" customFormat="1" ht="18" customHeight="1">
      <c r="A197" s="201">
        <f t="shared" si="36"/>
        <v>23</v>
      </c>
      <c r="B197" s="241" t="str">
        <f>IF($D$127=5,$O$177,IF($D$127=6,$O$178,IF($D$127=8,$O$179,IF($D$127=10,$O$177,IF($D$127=12,$O$177,IF($D$127=14,$O$179,IF($D$127=18,$O$177,IF($D$127=20,$O$178,IF($D$127=22,"")))))))))</f>
        <v>6,20 mm ยางอัดกระจก</v>
      </c>
      <c r="C197" s="241" t="str">
        <f>IF($D$127=5,$P$177,IF($D$127=6,$P$178,IF($D$127=8,$P$179,IF($D$127=10,$P$177,IF($D$127=12,$P$177,IF($D$127=14,$P$179,IF($D$127=18,$P$177,IF($D$127=20,$P$178,IF($D$127=22,"")))))))))</f>
        <v>6,20 mm ROLL IN WEDGE</v>
      </c>
      <c r="D197" s="241" t="str">
        <f>IF($D$127=5,$Q$177,IF($D$127=6,$Q$178,IF($D$127=8,$Q$179,IF($D$127=10,$Q$177,IF($D$127=12,$Q$177,IF($D$127=14,$Q$179,IF($D$127=18,$Q$177,IF($D$127=20,$Q$178,IF($D$127=22,"")))))))))</f>
        <v>02-034</v>
      </c>
      <c r="E197" s="241">
        <f>IF($D$127=5,R182,IF($D$127=6,R183,IF($D$127=8,R184,IF($D$127=10,R182,IF($D$127=12,R182,IF($D$127=14,R184,IF($D$127=18,R182,IF($D$127=20,R183,IF($D$127=22,"",)))))))))</f>
        <v>0</v>
      </c>
      <c r="F197" s="242" t="str">
        <f>IF($D$127=5,$S$177,IF($D$127=6,$S$178,IF($D$127=8,$S$179,IF($D$127=10,$S$177,IF($D$127=12,$S$177,IF($D$127=14,$S$179,IF($D$127=18,$S$177,IF($D$127=20,$S$178,IF($D$127=22,"")))))))))</f>
        <v>02-034</v>
      </c>
      <c r="G197" s="242" t="str">
        <f>IF($D$127=5,$T$177,IF($D$127=6,$T$178,IF($D$127=8,$T$179,IF($D$127=10,$T$177,IF($D$127=12,$T$177,IF($D$127=14,$T$179,IF($D$127=18,$T$177,IF($D$127=20,$T$178,IF($D$127=22,"")))))))))</f>
        <v>M</v>
      </c>
      <c r="H197" s="261">
        <f>IF($D$127=5,$U$177,IF($D$127=6,$U$178,IF($D$127=8,$U$179,IF($D$127=10,$U$177*2,IF($D$127=12,$U$177,IF($D$127=14,$U$179*2,IF($D$127=18,$U$177,IF($D$127=20,$U$178,IF($D$127=22,"")))))))))</f>
        <v>51.172499999999999</v>
      </c>
      <c r="I197" s="258">
        <f>IF($D$127=5,$V$177,IF($D$127=6,$V$178,IF($D$127=8,$V$179,IF($D$127=10,$V$177,IF($D$127=12,$V$177,IF($D$127=14,$V$179,IF($D$127=18,$V$177,IF($D$127=20,$V$178,IF($D$127=22,"")))))))))</f>
        <v>100</v>
      </c>
      <c r="J197" s="267">
        <f t="shared" si="38"/>
        <v>1</v>
      </c>
    </row>
    <row r="198" spans="1:24" s="1" customFormat="1" ht="18" customHeight="1">
      <c r="A198" s="201">
        <f t="shared" si="36"/>
        <v>24</v>
      </c>
      <c r="B198" s="241" t="str">
        <f>IF($D$127=5,$O$175,IF($D$127=6,$O$175,IF($D$127=8,$O$177,IF($D$127=10,"",IF($D$127=12,$O$176,IF($D$127=14,"",IF($D$127=18,$O$175,IF($D$127=20,$O$176,IF($D$127=22,"",)))))))))</f>
        <v>5,6,18 mm ยางรองกระจก</v>
      </c>
      <c r="C198" s="241" t="str">
        <f>IF($D$127=5,$P$175,IF($D$127=6,$P$175,IF($D$127=8,$P$177,IF($D$127=10,"",IF($D$127=12,$P$176,IF($D$127=14,"",IF($D$127=18,$P$175,IF($D$127=20,$P$176,IF($D$127=22,"",)))))))))</f>
        <v>5,6,18 mm CAPTIVE WEDGE</v>
      </c>
      <c r="D198" s="241" t="str">
        <f>IF($D$127=5,$Q$175,IF($D$127=6,$Q$175,IF($D$127=8,$Q$177,IF($D$127=10,"",IF($D$127=12,$Q$176,IF($D$127=14,"",IF($D$127=18,$Q$175,IF($D$127=20,$Q$176,IF($D$127=22,"",)))))))))</f>
        <v>02-022</v>
      </c>
      <c r="E198" s="241">
        <f>IF($D$127=5,R180,IF($D$127=6,R180,IF($D$127=8,R182,IF($D$127=10,"",IF($D$127=12,R181,IF($D$127=14,"",IF($D$127=18,R180,IF($D$127=20,R181,IF($D$127=22,"",)))))))))</f>
        <v>0</v>
      </c>
      <c r="F198" s="242" t="str">
        <f>IF($D$127=5,$S$175,IF($D$127=6,$S$175,IF($D$127=8,$S$177,IF($D$127=10,"",IF($D$127=12,$S$176,IF($D$127=14,"",IF($D$127=18,$S$175,IF($D$127=20,$S$176,IF($D$127=22,"",)))))))))</f>
        <v>02-022</v>
      </c>
      <c r="G198" s="242" t="str">
        <f>IF($D$127=5,$T$175,IF($D$127=6,$T$175,IF($D$127=8,$T$177,IF($D$127=10,"",IF($D$127=12,$T$176,IF($D$127=14,"",IF($D$127=18,$T$175,IF($D$127=20,$T$176,IF($D$127=22,"",)))))))))</f>
        <v>M</v>
      </c>
      <c r="H198" s="261">
        <f>IF($D$127=5,$U$175,IF($D$127=6,$U$175,IF($D$127=8,$U$177,IF($D$127=10,"",IF($D$127=12,$U$176,IF($D$127=14,"",IF($D$127=18,$U$175,IF($D$127=20,$U$176,IF($D$127=22,"")))))))))</f>
        <v>51.172499999999999</v>
      </c>
      <c r="I198" s="258">
        <f>IF($D$127=5,$V$175,IF($D$127=6,$V$175,IF($D$127=8,$V$177,IF($D$127=10,"",IF($D$127=12,$V$176,IF($D$127=14,"",IF($D$127=18,$V$175,IF($D$127=20,$V$176,IF($D$127=22,"",)))))))))</f>
        <v>100</v>
      </c>
      <c r="J198" s="267">
        <f t="shared" si="38"/>
        <v>1</v>
      </c>
    </row>
    <row r="199" spans="1:24" s="1" customFormat="1" ht="18" customHeight="1">
      <c r="A199" s="201" t="str">
        <f t="shared" si="36"/>
        <v/>
      </c>
      <c r="B199" s="140"/>
      <c r="C199" s="140"/>
      <c r="D199" s="139"/>
      <c r="E199" s="143"/>
      <c r="F199" s="143"/>
      <c r="G199" s="143"/>
      <c r="H199" s="143"/>
      <c r="I199" s="130"/>
      <c r="J199" s="131"/>
    </row>
    <row r="200" spans="1:24" s="1" customFormat="1" ht="18" customHeight="1">
      <c r="A200" s="201" t="str">
        <f t="shared" si="36"/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ref="J200" si="39">$J$120*G200</f>
        <v>0</v>
      </c>
    </row>
    <row r="201" spans="1:24" s="1" customFormat="1" ht="18" customHeight="1">
      <c r="A201" s="201" t="str">
        <f t="shared" si="36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ref="J201:J204" si="40">$J$120*G201</f>
        <v>0</v>
      </c>
    </row>
    <row r="202" spans="1:24" s="1" customFormat="1" ht="18" customHeight="1">
      <c r="A202" s="201" t="str">
        <f t="shared" si="36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si="40"/>
        <v>0</v>
      </c>
    </row>
    <row r="203" spans="1:24" s="1" customFormat="1" ht="18" customHeight="1">
      <c r="A203" s="201" t="str">
        <f t="shared" si="36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si="40"/>
        <v>0</v>
      </c>
    </row>
    <row r="204" spans="1:24" s="1" customFormat="1" ht="18" customHeight="1">
      <c r="A204" s="201" t="str">
        <f t="shared" si="36"/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 t="shared" si="40"/>
        <v>0</v>
      </c>
    </row>
    <row r="205" spans="1:24" s="1" customFormat="1" ht="18" customHeight="1">
      <c r="A205" s="317" t="str">
        <f t="shared" ref="A205" si="41">IF(B205="","",+A204+1)</f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 t="shared" ref="J205" si="42">$J$120*G205</f>
        <v>0</v>
      </c>
    </row>
    <row r="206" spans="1:24" s="1" customFormat="1" ht="18" customHeight="1">
      <c r="A206" s="25"/>
      <c r="B206" s="161"/>
      <c r="C206" s="33"/>
      <c r="D206" s="30"/>
      <c r="E206" s="17"/>
      <c r="F206" s="30"/>
      <c r="G206" s="30"/>
      <c r="H206" s="161"/>
      <c r="I206" s="24"/>
      <c r="J206" s="24"/>
    </row>
    <row r="207" spans="1:24" ht="18" customHeight="1">
      <c r="A207" s="17"/>
      <c r="J207" s="99" t="str">
        <f>LEFT($J$111,13)&amp;"-02"</f>
        <v>FG-240-8P3L5R-02</v>
      </c>
    </row>
    <row r="208" spans="1:24" ht="12.75" customHeight="1">
      <c r="B208" s="56"/>
      <c r="C208" s="56"/>
      <c r="D208" s="30"/>
      <c r="E208" s="17"/>
      <c r="F208" s="17"/>
      <c r="G208" s="17"/>
      <c r="H208" s="17"/>
      <c r="K208" s="7"/>
      <c r="L208" s="7"/>
      <c r="M208" s="2"/>
      <c r="N208" s="2"/>
    </row>
    <row r="209" spans="1:14" ht="30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235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235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/>
      <c r="C215"/>
      <c r="D215" s="81"/>
      <c r="E215"/>
      <c r="F215"/>
      <c r="G215"/>
      <c r="H215"/>
      <c r="I215" s="160"/>
      <c r="J215" s="116"/>
    </row>
    <row r="216" spans="1:14" s="1" customFormat="1" ht="15" customHeight="1">
      <c r="A216" s="17"/>
      <c r="B216" s="93"/>
      <c r="C216" s="56"/>
      <c r="D216" s="30"/>
      <c r="E216" s="29"/>
      <c r="F216" s="160"/>
      <c r="G216" s="160"/>
      <c r="H216" s="16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s="1" customFormat="1" ht="15.6">
      <c r="A218" s="109"/>
      <c r="B218" s="33"/>
      <c r="C218" s="327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272</v>
      </c>
      <c r="D220" s="30"/>
      <c r="E220" s="29"/>
      <c r="F220" s="30"/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89"/>
      <c r="J221" s="12"/>
    </row>
    <row r="222" spans="1:14" s="1" customFormat="1" ht="15" customHeight="1">
      <c r="A222" s="109"/>
      <c r="B222" s="33"/>
      <c r="C222" s="327" t="s">
        <v>273</v>
      </c>
      <c r="D222" s="161"/>
      <c r="E222" s="109"/>
      <c r="F222" s="161"/>
      <c r="J222" s="12"/>
    </row>
    <row r="223" spans="1:14" s="1" customFormat="1" ht="15" customHeight="1">
      <c r="A223" s="109"/>
      <c r="B223" s="33"/>
      <c r="C223" s="374">
        <f>$I$133</f>
        <v>5640</v>
      </c>
      <c r="D223" s="161"/>
      <c r="E223" s="35"/>
      <c r="F223" s="161"/>
      <c r="G223" s="68"/>
      <c r="J223" s="12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326"/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326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327"/>
      <c r="D229" s="161"/>
      <c r="E229" s="109"/>
      <c r="F229" s="161"/>
      <c r="H229" s="109"/>
      <c r="I229" s="234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234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234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234"/>
      <c r="J232" s="117"/>
    </row>
    <row r="233" spans="1:10" s="1" customFormat="1" ht="15.9" customHeight="1">
      <c r="A233" s="44"/>
      <c r="B233" s="44"/>
      <c r="C233" s="89" t="s">
        <v>274</v>
      </c>
      <c r="D233" s="84"/>
      <c r="E233" s="44"/>
      <c r="F233" s="44"/>
      <c r="G233" s="109"/>
      <c r="H233" s="109"/>
      <c r="I233" s="234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5614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234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34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109"/>
      <c r="J242" s="24"/>
    </row>
    <row r="243" spans="1:10" s="1" customFormat="1" ht="15.9" customHeight="1">
      <c r="A243" s="109"/>
      <c r="B243" s="33"/>
      <c r="C243" s="89" t="s">
        <v>276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.9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" customHeight="1">
      <c r="A245" s="109"/>
      <c r="B245" s="33"/>
      <c r="C245" s="327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5640</v>
      </c>
      <c r="D246" s="161"/>
      <c r="E246" s="109"/>
      <c r="F246" s="161"/>
      <c r="G246" s="109"/>
      <c r="H246" s="109"/>
      <c r="I246" s="44"/>
      <c r="J246" s="119"/>
    </row>
    <row r="247" spans="1:10" s="1" customFormat="1" ht="15.9" customHeight="1">
      <c r="A247" s="109"/>
      <c r="B247" s="33"/>
      <c r="C247" s="363">
        <f>$J$135</f>
        <v>1</v>
      </c>
      <c r="D247" s="161"/>
      <c r="E247" s="109"/>
      <c r="F247" s="161"/>
      <c r="G247" s="109"/>
      <c r="H247" s="109"/>
      <c r="I247" s="32"/>
      <c r="J247" s="40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0"/>
      <c r="H251" s="109"/>
      <c r="I251" s="24"/>
      <c r="J251" s="24"/>
    </row>
    <row r="252" spans="1:10" s="1" customFormat="1" ht="15.9" customHeight="1">
      <c r="A252" s="109"/>
      <c r="B252" s="33"/>
      <c r="D252" s="161"/>
      <c r="E252" s="109"/>
      <c r="F252" s="109"/>
      <c r="G252" s="109"/>
      <c r="H252" s="109"/>
      <c r="I252" s="24"/>
      <c r="J252" s="24"/>
    </row>
    <row r="253" spans="1:10" s="1" customFormat="1" ht="15.9" customHeight="1">
      <c r="A253" s="44"/>
      <c r="B253" s="44"/>
      <c r="D253" s="84"/>
      <c r="E253" s="44"/>
      <c r="F253" s="44"/>
      <c r="G253" s="109"/>
      <c r="H253" s="109"/>
      <c r="I253" s="24"/>
      <c r="J253" s="24"/>
    </row>
    <row r="254" spans="1:10" s="1" customFormat="1" ht="15.9" customHeight="1">
      <c r="A254" s="40"/>
      <c r="B254" s="40"/>
      <c r="C254" s="89" t="s">
        <v>277</v>
      </c>
      <c r="D254" s="85"/>
      <c r="E254" s="40"/>
      <c r="F254" s="32"/>
      <c r="G254" s="109"/>
      <c r="I254" s="24"/>
      <c r="J254" s="24"/>
    </row>
    <row r="255" spans="1:10" s="1" customFormat="1" ht="15.9" customHeight="1">
      <c r="A255" s="27"/>
      <c r="B255" s="33"/>
      <c r="C255" s="328" t="s">
        <v>275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27" t="s">
        <v>273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74">
        <f>$I$136</f>
        <v>5640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63">
        <f>$J$136</f>
        <v>1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46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161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89" t="s">
        <v>278</v>
      </c>
      <c r="D264" s="161"/>
      <c r="E264" s="109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8" t="s">
        <v>379</v>
      </c>
      <c r="D265" s="328"/>
      <c r="E265" s="328"/>
      <c r="F265" s="109"/>
      <c r="G265" s="109"/>
      <c r="H265" s="109"/>
      <c r="I265" s="24"/>
      <c r="J265" s="24"/>
    </row>
    <row r="266" spans="1:10" s="1" customFormat="1" ht="15.9" customHeight="1">
      <c r="A266" s="27"/>
      <c r="B266" s="33"/>
      <c r="C266" s="327" t="s">
        <v>279</v>
      </c>
      <c r="D266" s="327"/>
      <c r="E266" s="327"/>
      <c r="F266" s="109"/>
      <c r="G266" s="109"/>
      <c r="H266" s="109"/>
      <c r="J266" s="12"/>
    </row>
    <row r="267" spans="1:10" s="1" customFormat="1" ht="15.9" customHeight="1">
      <c r="A267" s="27"/>
      <c r="B267" s="33"/>
      <c r="C267" s="374">
        <f>$I$137</f>
        <v>2700</v>
      </c>
      <c r="D267" s="161"/>
      <c r="E267" s="109"/>
      <c r="F267" s="109"/>
      <c r="G267" s="33"/>
      <c r="H267" s="33"/>
      <c r="J267" s="12"/>
    </row>
    <row r="268" spans="1:10" s="1" customFormat="1" ht="15.9" customHeight="1">
      <c r="A268" s="27"/>
      <c r="B268" s="33"/>
      <c r="C268" s="363">
        <f>$J$137+$J$138</f>
        <v>2</v>
      </c>
      <c r="D268" s="161"/>
      <c r="E268" s="10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D271" s="328"/>
      <c r="E271" s="328"/>
      <c r="F271" s="109"/>
      <c r="G271" s="109"/>
      <c r="H271" s="109"/>
      <c r="J271" s="12"/>
    </row>
    <row r="272" spans="1:10" s="1" customFormat="1" ht="15.9" customHeight="1">
      <c r="A272" s="27"/>
      <c r="D272" s="328"/>
      <c r="E272" s="328"/>
      <c r="F272" s="109"/>
      <c r="G272" s="109"/>
      <c r="H272" s="109"/>
      <c r="J272" s="12"/>
    </row>
    <row r="273" spans="1:10" s="1" customFormat="1" ht="15.9" customHeight="1">
      <c r="A273" s="27"/>
      <c r="B273" s="33"/>
      <c r="D273" s="328"/>
      <c r="E273" s="328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33"/>
      <c r="D274" s="161"/>
      <c r="E274" s="109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89" t="s">
        <v>280</v>
      </c>
      <c r="D275" s="162"/>
      <c r="E275" s="24"/>
      <c r="F275" s="109"/>
      <c r="G275" s="109"/>
      <c r="I275" s="24"/>
      <c r="J275" s="24"/>
    </row>
    <row r="276" spans="1:10" s="1" customFormat="1" ht="15.9" customHeight="1">
      <c r="A276" s="27"/>
      <c r="B276" s="33"/>
      <c r="C276" s="328" t="s">
        <v>649</v>
      </c>
      <c r="D276" s="328"/>
      <c r="E276" s="328"/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433" t="s">
        <v>650</v>
      </c>
      <c r="D277" s="327"/>
      <c r="E277" s="327"/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374">
        <f>$I$139</f>
        <v>2604</v>
      </c>
      <c r="F278" s="109"/>
      <c r="G278" s="109"/>
      <c r="I278" s="109"/>
      <c r="J278" s="24"/>
    </row>
    <row r="279" spans="1:10" s="1" customFormat="1" ht="15.9" customHeight="1">
      <c r="A279" s="27"/>
      <c r="B279" s="33"/>
      <c r="C279" s="363">
        <f>$J$139+$J$140</f>
        <v>2</v>
      </c>
      <c r="F279" s="109"/>
      <c r="G279" s="109"/>
      <c r="I279" s="109"/>
      <c r="J279" s="24"/>
    </row>
    <row r="280" spans="1:10" s="1" customFormat="1" ht="15.9" customHeight="1">
      <c r="A280" s="27"/>
      <c r="B280" s="33"/>
      <c r="F280" s="109"/>
      <c r="G280" s="109"/>
      <c r="H280" s="109"/>
      <c r="J280" s="12"/>
    </row>
    <row r="281" spans="1:10" s="1" customFormat="1" ht="15.9" customHeight="1">
      <c r="A281" s="27"/>
      <c r="B281" s="33"/>
      <c r="C281" s="33"/>
      <c r="D281" s="161"/>
      <c r="E281" s="109"/>
      <c r="F281" s="109"/>
      <c r="G281" s="109"/>
      <c r="H281" s="109"/>
      <c r="J281" s="12"/>
    </row>
    <row r="282" spans="1:10" s="1" customFormat="1" ht="15.9" customHeight="1">
      <c r="A282" s="27"/>
      <c r="B282" s="33"/>
      <c r="C282" s="33"/>
      <c r="D282" s="161"/>
      <c r="E282" s="109"/>
      <c r="F282" s="109"/>
      <c r="G282" s="109"/>
      <c r="H282" s="109"/>
      <c r="J282" s="12"/>
    </row>
    <row r="283" spans="1:10" s="1" customFormat="1" ht="15.75" customHeight="1">
      <c r="A283" s="27"/>
      <c r="B283" s="33"/>
      <c r="F283" s="109"/>
      <c r="G283" s="109"/>
      <c r="H283" s="109"/>
      <c r="J283" s="12"/>
    </row>
    <row r="284" spans="1:10" s="1" customFormat="1" ht="15.9" customHeight="1">
      <c r="A284" s="27"/>
      <c r="B284" s="33"/>
      <c r="F284" s="109"/>
      <c r="G284" s="109"/>
      <c r="H284" s="109"/>
      <c r="I284" s="162"/>
      <c r="J284" s="24"/>
    </row>
    <row r="285" spans="1:10" s="1" customFormat="1" ht="15.9" customHeight="1">
      <c r="A285" s="27"/>
      <c r="B285" s="33"/>
      <c r="C285" s="89" t="s">
        <v>283</v>
      </c>
      <c r="F285" s="109"/>
      <c r="G285" s="109"/>
      <c r="H285" s="109"/>
      <c r="I285" s="109"/>
      <c r="J285" s="24"/>
    </row>
    <row r="286" spans="1:10" s="1" customFormat="1" ht="15.9" customHeight="1">
      <c r="A286" s="27"/>
      <c r="B286" s="33"/>
      <c r="C286" s="94" t="s">
        <v>442</v>
      </c>
      <c r="D286" s="161"/>
      <c r="E286" s="109"/>
      <c r="F286" s="109"/>
      <c r="G286" s="109"/>
      <c r="H286" s="109"/>
      <c r="I286" s="24"/>
      <c r="J286" s="24"/>
    </row>
    <row r="287" spans="1:10" s="1" customFormat="1" ht="15.9" customHeight="1">
      <c r="A287" s="27"/>
      <c r="B287" s="33"/>
      <c r="C287" s="327" t="s">
        <v>443</v>
      </c>
      <c r="D287" s="161"/>
      <c r="E287" s="109"/>
      <c r="F287" s="109"/>
      <c r="G287" s="109"/>
      <c r="H287" s="109"/>
      <c r="I287" s="24"/>
      <c r="J287" s="24"/>
    </row>
    <row r="288" spans="1:10" s="1" customFormat="1" ht="15.9" customHeight="1">
      <c r="A288" s="27"/>
      <c r="B288" s="33"/>
      <c r="C288" s="328" t="s">
        <v>281</v>
      </c>
      <c r="D288" s="328"/>
      <c r="E288" s="328"/>
      <c r="F288" s="109"/>
      <c r="G288" s="109"/>
      <c r="I288" s="24"/>
      <c r="J288" s="24"/>
    </row>
    <row r="289" spans="1:10" s="23" customFormat="1" ht="15.9" customHeight="1">
      <c r="A289" s="27"/>
      <c r="B289" s="33"/>
      <c r="C289" s="327" t="s">
        <v>282</v>
      </c>
      <c r="D289" s="327"/>
      <c r="E289" s="327"/>
      <c r="F289" s="109"/>
      <c r="G289" s="109"/>
      <c r="H289" s="1"/>
      <c r="I289" s="109"/>
      <c r="J289" s="109"/>
    </row>
    <row r="290" spans="1:10" s="1" customFormat="1" ht="15.9" customHeight="1">
      <c r="A290" s="27"/>
      <c r="B290" s="33"/>
      <c r="C290" s="374">
        <f>$I$141</f>
        <v>590.28125</v>
      </c>
      <c r="F290" s="109"/>
      <c r="G290" s="109"/>
      <c r="I290" s="44"/>
      <c r="J290" s="119"/>
    </row>
    <row r="291" spans="1:10" s="1" customFormat="1" ht="15.9" customHeight="1">
      <c r="A291" s="27"/>
      <c r="B291" s="33"/>
      <c r="C291" s="363">
        <f>$J$141+$J$142</f>
        <v>16</v>
      </c>
      <c r="D291" s="161"/>
      <c r="E291" s="109"/>
      <c r="F291" s="109"/>
      <c r="G291" s="109"/>
      <c r="H291" s="161"/>
      <c r="I291" s="32"/>
      <c r="J291" s="40"/>
    </row>
    <row r="292" spans="1:10" s="1" customFormat="1" ht="15.9" customHeight="1">
      <c r="A292" s="27"/>
      <c r="B292" s="33"/>
      <c r="C292" s="374">
        <f>$I$143</f>
        <v>2608</v>
      </c>
      <c r="D292" s="161"/>
      <c r="E292" s="109"/>
      <c r="F292" s="109"/>
      <c r="G292" s="109"/>
      <c r="H292" s="109"/>
      <c r="I292" s="24"/>
      <c r="J292" s="24"/>
    </row>
    <row r="293" spans="1:10" s="1" customFormat="1" ht="15.9" customHeight="1">
      <c r="A293" s="27"/>
      <c r="B293" s="33"/>
      <c r="C293" s="363">
        <f>$J$143+$J$144+$J$145+$J$146</f>
        <v>16</v>
      </c>
      <c r="D293" s="161"/>
      <c r="E293" s="109"/>
      <c r="F293" s="109"/>
      <c r="G293" s="109"/>
      <c r="H293" s="109"/>
      <c r="I293" s="24"/>
      <c r="J293" s="24"/>
    </row>
    <row r="294" spans="1:10" s="1" customFormat="1" ht="15.9" customHeight="1">
      <c r="A294" s="27"/>
      <c r="B294" s="33"/>
      <c r="D294" s="161"/>
      <c r="E294" s="109"/>
      <c r="F294" s="109"/>
      <c r="G294" s="109"/>
      <c r="H294" s="109"/>
      <c r="I294" s="24"/>
      <c r="J294" s="24"/>
    </row>
    <row r="295" spans="1:10" s="1" customFormat="1" ht="15.9" customHeight="1">
      <c r="A295" s="27"/>
      <c r="B295" s="33"/>
      <c r="C295" s="33"/>
      <c r="D295" s="161"/>
      <c r="E295" s="109"/>
      <c r="F295" s="109"/>
      <c r="G295" s="109"/>
      <c r="H295" s="109"/>
      <c r="I295" s="109"/>
      <c r="J295" s="24"/>
    </row>
    <row r="296" spans="1:10" s="1" customFormat="1" ht="15.9" customHeight="1">
      <c r="A296" s="27"/>
      <c r="B296" s="33"/>
      <c r="C296" s="23"/>
      <c r="D296" s="161"/>
      <c r="E296" s="109"/>
      <c r="F296" s="109"/>
      <c r="G296" s="109"/>
      <c r="H296" s="109"/>
      <c r="I296" s="109"/>
      <c r="J296" s="24"/>
    </row>
    <row r="297" spans="1:10" s="1" customFormat="1" ht="15.9" customHeight="1">
      <c r="A297" s="27"/>
      <c r="B297" s="33"/>
      <c r="C297" s="89" t="s">
        <v>284</v>
      </c>
      <c r="D297" s="161"/>
      <c r="E297" s="109"/>
      <c r="F297" s="109"/>
      <c r="G297" s="109"/>
      <c r="H297" s="109"/>
      <c r="I297" s="109"/>
      <c r="J297" s="24"/>
    </row>
    <row r="298" spans="1:10" s="1" customFormat="1" ht="15.9" customHeight="1">
      <c r="A298" s="27"/>
      <c r="B298" s="33"/>
      <c r="C298" s="94" t="s">
        <v>442</v>
      </c>
      <c r="D298" s="161"/>
      <c r="E298" s="109"/>
      <c r="F298" s="109"/>
      <c r="G298" s="44"/>
      <c r="H298" s="44"/>
      <c r="I298" s="109"/>
      <c r="J298" s="24"/>
    </row>
    <row r="299" spans="1:10" s="1" customFormat="1" ht="15.9" customHeight="1">
      <c r="A299" s="27"/>
      <c r="B299" s="33"/>
      <c r="C299" s="327" t="s">
        <v>443</v>
      </c>
      <c r="D299" s="328"/>
      <c r="E299" s="328"/>
      <c r="F299" s="109"/>
      <c r="G299" s="40"/>
      <c r="H299" s="32"/>
      <c r="I299" s="109"/>
      <c r="J299" s="24"/>
    </row>
    <row r="300" spans="1:10" s="1" customFormat="1" ht="15.9" customHeight="1">
      <c r="A300" s="41"/>
      <c r="B300" s="33"/>
      <c r="C300" s="328" t="s">
        <v>286</v>
      </c>
      <c r="D300" s="327"/>
      <c r="E300" s="327"/>
      <c r="F300" s="109"/>
      <c r="G300" s="109"/>
      <c r="H300" s="109"/>
      <c r="I300" s="109"/>
      <c r="J300" s="24"/>
    </row>
    <row r="301" spans="1:10" s="1" customFormat="1" ht="15.9" customHeight="1">
      <c r="A301" s="44"/>
      <c r="B301" s="44"/>
      <c r="C301" s="327" t="s">
        <v>285</v>
      </c>
      <c r="D301" s="86"/>
      <c r="E301" s="79"/>
      <c r="F301" s="44"/>
      <c r="G301" s="109"/>
      <c r="H301" s="109"/>
      <c r="I301" s="109"/>
      <c r="J301" s="24"/>
    </row>
    <row r="302" spans="1:10" s="1" customFormat="1" ht="15.9" customHeight="1">
      <c r="A302" s="40"/>
      <c r="B302" s="40"/>
      <c r="C302" s="374">
        <f>$I$147</f>
        <v>590.28125</v>
      </c>
      <c r="D302" s="87"/>
      <c r="E302" s="80"/>
      <c r="F302" s="32"/>
      <c r="G302" s="109"/>
      <c r="H302" s="109"/>
      <c r="I302" s="109"/>
      <c r="J302" s="24"/>
    </row>
    <row r="303" spans="1:10" s="1" customFormat="1" ht="15.9" customHeight="1">
      <c r="A303" s="109"/>
      <c r="B303" s="33"/>
      <c r="C303" s="363">
        <f>$J$147</f>
        <v>16</v>
      </c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C304" s="374">
        <f>$I$148</f>
        <v>2458</v>
      </c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C305" s="363">
        <f>$J$148</f>
        <v>16</v>
      </c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D306" s="15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D307" s="15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89" t="s">
        <v>288</v>
      </c>
      <c r="D308" s="161"/>
      <c r="E308" s="109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28" t="s">
        <v>281</v>
      </c>
      <c r="D309" s="328"/>
      <c r="E309" s="328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542" t="s">
        <v>282</v>
      </c>
      <c r="D310" s="542"/>
      <c r="E310" s="542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C311" s="374">
        <f>$I$149</f>
        <v>2608</v>
      </c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C312" s="363">
        <f>$J$149+$J$150</f>
        <v>2</v>
      </c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33"/>
      <c r="D314" s="162"/>
      <c r="E314" s="24"/>
      <c r="F314" s="109"/>
      <c r="G314" s="109"/>
      <c r="H314" s="109"/>
      <c r="I314" s="27"/>
      <c r="J314" s="99" t="str">
        <f>LEFT($J$111,13)&amp;"-03"</f>
        <v>FG-240-8P3L5R-03</v>
      </c>
    </row>
    <row r="315" spans="1:14" ht="12.75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30" customHeight="1">
      <c r="A316" s="17"/>
      <c r="B316" s="26"/>
      <c r="C316" s="26"/>
      <c r="D316" s="83"/>
      <c r="E316" s="25"/>
      <c r="F316" s="25"/>
      <c r="G316" s="25"/>
      <c r="H316" s="25"/>
      <c r="I316" s="179"/>
      <c r="J316" s="90" t="str">
        <f>$J$2</f>
        <v>HOMELIFE</v>
      </c>
    </row>
    <row r="317" spans="1:14" ht="24.9" customHeight="1">
      <c r="B317" s="235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235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s="1" customFormat="1" ht="15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  <c r="K320" s="4"/>
      <c r="L320" s="4"/>
      <c r="M320" s="4"/>
      <c r="N320" s="4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72"/>
      <c r="C324" s="56"/>
      <c r="D324" s="30"/>
      <c r="E324" s="29"/>
      <c r="F324" s="160"/>
      <c r="G324" s="160"/>
      <c r="H324" s="160"/>
      <c r="I324" s="31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236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236"/>
      <c r="I331" s="161"/>
      <c r="J331" s="109"/>
    </row>
    <row r="332" spans="1:10" s="1" customFormat="1" ht="15" customHeight="1">
      <c r="A332" s="64" t="str">
        <f>A18</f>
        <v>240-8 Panel (3L5R)</v>
      </c>
      <c r="B332" s="92"/>
      <c r="C332" s="161"/>
      <c r="D332" s="161"/>
      <c r="E332" s="109"/>
      <c r="F332" s="236"/>
      <c r="G332" s="236"/>
      <c r="H332" s="236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92"/>
      <c r="C333" s="161"/>
      <c r="D333" s="161"/>
      <c r="E333" s="109"/>
      <c r="F333" s="236"/>
      <c r="G333" s="236"/>
      <c r="H333" s="236"/>
      <c r="I333" s="109"/>
      <c r="J333" s="109"/>
    </row>
    <row r="334" spans="1:10" s="1" customFormat="1" ht="15.9" customHeight="1">
      <c r="A334" s="109"/>
      <c r="B334" s="45"/>
      <c r="C334" s="42"/>
      <c r="D334" s="161"/>
      <c r="E334" s="109"/>
      <c r="F334" s="507"/>
      <c r="G334" s="507"/>
      <c r="H334" s="236"/>
      <c r="I334" s="109"/>
      <c r="J334" s="109"/>
    </row>
    <row r="335" spans="1:10" s="1" customFormat="1" ht="15.9" customHeight="1">
      <c r="A335" s="39"/>
      <c r="B335" s="109"/>
      <c r="C335" s="161"/>
      <c r="D335" s="161"/>
      <c r="E335" s="109"/>
      <c r="F335" s="37"/>
      <c r="G335" s="38"/>
      <c r="H335" s="109"/>
      <c r="I335" s="109"/>
      <c r="J335" s="109"/>
    </row>
    <row r="336" spans="1:10" s="1" customFormat="1" ht="15.9" customHeight="1">
      <c r="A336" s="44"/>
      <c r="C336" s="43"/>
      <c r="D336" s="161"/>
      <c r="E336" s="109"/>
      <c r="F336" s="109"/>
      <c r="G336" s="109"/>
      <c r="H336" s="109"/>
      <c r="I336" s="44"/>
      <c r="J336" s="119"/>
    </row>
    <row r="337" spans="1:10" s="1" customFormat="1" ht="15.9" customHeight="1">
      <c r="A337" s="40"/>
      <c r="C337" s="44"/>
      <c r="D337" s="84"/>
      <c r="E337" s="44"/>
      <c r="F337" s="44"/>
      <c r="G337" s="44"/>
      <c r="H337" s="44"/>
      <c r="I337" s="32"/>
      <c r="J337" s="40"/>
    </row>
    <row r="338" spans="1:10" s="1" customFormat="1" ht="15.9" customHeight="1">
      <c r="A338" s="109"/>
      <c r="C338" s="161"/>
      <c r="D338" s="85"/>
      <c r="E338" s="40"/>
      <c r="F338" s="32"/>
      <c r="G338" s="40"/>
      <c r="H338" s="32"/>
      <c r="I338" s="24"/>
      <c r="J338" s="24"/>
    </row>
    <row r="339" spans="1:10" s="1" customFormat="1" ht="15.9" customHeight="1">
      <c r="A339" s="109"/>
      <c r="C339" s="163"/>
      <c r="D339" s="161"/>
      <c r="E339" s="109"/>
      <c r="F339" s="161"/>
      <c r="G339" s="109"/>
      <c r="H339" s="109"/>
      <c r="I339" s="24"/>
      <c r="J339" s="24"/>
    </row>
    <row r="340" spans="1:10" s="1" customFormat="1" ht="15.9" customHeight="1">
      <c r="A340" s="109"/>
      <c r="B340" s="33"/>
      <c r="C340" s="161"/>
      <c r="D340" s="161"/>
      <c r="E340" s="109"/>
      <c r="F340" s="161"/>
      <c r="G340" s="109"/>
      <c r="H340" s="109"/>
      <c r="I340" s="162"/>
      <c r="J340" s="162"/>
    </row>
    <row r="341" spans="1:10" s="1" customFormat="1" ht="15.9" customHeight="1">
      <c r="A341" s="109"/>
      <c r="B341" s="33"/>
      <c r="C341" s="44"/>
      <c r="D341" s="161"/>
      <c r="E341" s="109"/>
      <c r="F341" s="161"/>
      <c r="G341" s="109"/>
      <c r="H341" s="162"/>
      <c r="I341" s="161"/>
      <c r="J341" s="161"/>
    </row>
    <row r="342" spans="1:10" s="1" customFormat="1" ht="15.9" customHeight="1">
      <c r="A342" s="109"/>
      <c r="B342" s="33"/>
      <c r="C342" s="42"/>
      <c r="D342" s="161"/>
      <c r="E342" s="109"/>
      <c r="F342" s="161"/>
      <c r="G342" s="109"/>
      <c r="H342" s="161"/>
      <c r="I342" s="161"/>
      <c r="J342" s="161"/>
    </row>
    <row r="343" spans="1:10" s="1" customFormat="1" ht="15.9" customHeight="1">
      <c r="A343" s="109"/>
      <c r="B343" s="33"/>
      <c r="C343" s="163"/>
      <c r="D343" s="161"/>
      <c r="E343" s="109"/>
      <c r="F343" s="161"/>
      <c r="G343" s="109"/>
      <c r="H343" s="161"/>
      <c r="I343" s="109"/>
      <c r="J343" s="24"/>
    </row>
    <row r="344" spans="1:10" s="1" customFormat="1" ht="15.9" customHeight="1">
      <c r="A344" s="109"/>
      <c r="B344" s="33"/>
      <c r="C344" s="161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44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3"/>
      <c r="D350" s="161"/>
      <c r="E350" s="109"/>
      <c r="F350" s="161"/>
      <c r="G350" s="109"/>
      <c r="H350" s="109"/>
      <c r="I350" s="109"/>
      <c r="J350" s="24"/>
    </row>
    <row r="351" spans="1:10" s="1" customFormat="1" ht="15.9" customHeight="1">
      <c r="A351" s="109"/>
      <c r="B351" s="33"/>
      <c r="C351" s="161"/>
      <c r="D351" s="161"/>
      <c r="E351" s="109"/>
      <c r="F351" s="161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1" customFormat="1" ht="15" customHeight="1">
      <c r="A353" s="109"/>
      <c r="B353" s="33"/>
      <c r="C353" s="33"/>
      <c r="D353" s="161"/>
      <c r="E353" s="109"/>
      <c r="F353" s="109"/>
      <c r="G353" s="109"/>
      <c r="H353" s="107"/>
      <c r="I353" s="24"/>
      <c r="J353" s="24"/>
    </row>
    <row r="354" spans="1:10" s="23" customFormat="1" ht="15.9" customHeight="1">
      <c r="A354" s="109"/>
      <c r="B354" s="33"/>
      <c r="C354" s="33"/>
      <c r="D354" s="161"/>
      <c r="E354" s="109"/>
      <c r="F354" s="109"/>
      <c r="G354" s="109"/>
      <c r="H354" s="109"/>
      <c r="I354" s="109"/>
      <c r="J354" s="109"/>
    </row>
    <row r="355" spans="1:10" s="1" customFormat="1" ht="15.9" customHeight="1">
      <c r="A355" s="44"/>
      <c r="B355" s="33"/>
      <c r="C355" s="33"/>
      <c r="D355" s="161"/>
      <c r="E355" s="109"/>
      <c r="F355" s="109"/>
      <c r="G355" s="109"/>
      <c r="H355" s="109"/>
      <c r="I355" s="44"/>
      <c r="J355" s="119"/>
    </row>
    <row r="356" spans="1:10" s="1" customFormat="1" ht="15.9" customHeight="1">
      <c r="A356" s="40"/>
      <c r="B356" s="44"/>
      <c r="C356" s="44"/>
      <c r="D356" s="84"/>
      <c r="E356" s="44"/>
      <c r="F356" s="44"/>
      <c r="G356" s="44"/>
      <c r="H356" s="44"/>
      <c r="I356" s="32"/>
      <c r="J356" s="40"/>
    </row>
    <row r="357" spans="1:10" s="1" customFormat="1" ht="15.9" customHeight="1">
      <c r="A357" s="27"/>
      <c r="B357" s="40"/>
      <c r="C357" s="44"/>
      <c r="D357" s="85"/>
      <c r="E357" s="40"/>
      <c r="F357" s="32"/>
      <c r="G357" s="40"/>
      <c r="H357" s="32"/>
      <c r="I357" s="24"/>
      <c r="J357" s="24"/>
    </row>
    <row r="358" spans="1:10" s="1" customFormat="1" ht="15.9" customHeight="1">
      <c r="A358" s="27"/>
      <c r="B358" s="33"/>
      <c r="C358" s="42"/>
      <c r="D358" s="161"/>
      <c r="E358" s="109"/>
      <c r="F358" s="109"/>
      <c r="G358" s="109"/>
      <c r="H358" s="42"/>
      <c r="I358" s="163"/>
      <c r="J358" s="163"/>
    </row>
    <row r="359" spans="1:10" s="1" customFormat="1" ht="15.9" customHeight="1">
      <c r="A359" s="27"/>
      <c r="B359" s="33"/>
      <c r="C359" s="163"/>
      <c r="D359" s="161"/>
      <c r="E359" s="109"/>
      <c r="F359" s="109"/>
      <c r="G359" s="109"/>
      <c r="H359" s="163"/>
      <c r="I359" s="161"/>
      <c r="J359" s="161"/>
    </row>
    <row r="360" spans="1:10" s="1" customFormat="1" ht="15.9" customHeight="1">
      <c r="A360" s="27"/>
      <c r="B360" s="33"/>
      <c r="C360" s="161"/>
      <c r="D360" s="161"/>
      <c r="E360" s="109"/>
      <c r="F360" s="109"/>
      <c r="G360" s="109"/>
      <c r="H360" s="161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46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161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D372" s="161"/>
      <c r="E372" s="109"/>
      <c r="F372" s="109"/>
      <c r="G372" s="33"/>
      <c r="H372" s="33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42"/>
      <c r="I376" s="163"/>
      <c r="J376" s="163"/>
    </row>
    <row r="377" spans="1:10" s="1" customFormat="1" ht="15.9" customHeight="1">
      <c r="A377" s="27"/>
      <c r="B377" s="33"/>
      <c r="C377" s="47"/>
      <c r="D377" s="161"/>
      <c r="E377" s="109"/>
      <c r="F377" s="109"/>
      <c r="G377" s="109"/>
      <c r="H377" s="163"/>
      <c r="I377" s="161"/>
      <c r="J377" s="161"/>
    </row>
    <row r="378" spans="1:10" s="1" customFormat="1" ht="15.9" customHeight="1">
      <c r="A378" s="27"/>
      <c r="B378" s="33"/>
      <c r="C378" s="46"/>
      <c r="D378" s="161"/>
      <c r="E378" s="109"/>
      <c r="F378" s="109"/>
      <c r="G378" s="109"/>
      <c r="H378" s="161"/>
      <c r="I378" s="24"/>
      <c r="J378" s="24"/>
    </row>
    <row r="379" spans="1:10" s="1" customFormat="1" ht="15.9" customHeight="1">
      <c r="A379" s="27"/>
      <c r="B379" s="33"/>
      <c r="C379" s="161"/>
      <c r="D379" s="161"/>
      <c r="E379" s="109"/>
      <c r="F379" s="109"/>
      <c r="G379" s="109"/>
      <c r="H379" s="42"/>
      <c r="I379" s="163"/>
      <c r="J379" s="163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3"/>
      <c r="I380" s="161"/>
      <c r="J380" s="161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1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64"/>
      <c r="J388" s="16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4"/>
      <c r="I389" s="165"/>
      <c r="J389" s="165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5"/>
      <c r="I390" s="161"/>
      <c r="J390" s="161"/>
    </row>
    <row r="391" spans="1:10" s="1" customFormat="1" ht="15.9" customHeight="1">
      <c r="A391" s="27"/>
      <c r="B391" s="33"/>
      <c r="C391" s="47"/>
      <c r="D391" s="161"/>
      <c r="E391" s="109"/>
      <c r="F391" s="109"/>
      <c r="G391" s="109"/>
      <c r="H391" s="161"/>
      <c r="I391" s="24"/>
      <c r="J391" s="24"/>
    </row>
    <row r="392" spans="1:10" s="1" customFormat="1" ht="15.9" customHeight="1">
      <c r="A392" s="27"/>
      <c r="B392" s="33"/>
      <c r="C392" s="46"/>
      <c r="D392" s="161"/>
      <c r="E392" s="109"/>
      <c r="F392" s="109"/>
      <c r="G392" s="109"/>
      <c r="H392" s="109"/>
      <c r="I392" s="109"/>
      <c r="J392" s="24"/>
    </row>
    <row r="393" spans="1:10" s="1" customFormat="1" ht="15.9" customHeight="1">
      <c r="A393" s="27"/>
      <c r="B393" s="33"/>
      <c r="C393" s="161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23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1" customFormat="1" ht="15.9" customHeight="1">
      <c r="A405" s="44"/>
      <c r="B405" s="33"/>
      <c r="C405" s="33"/>
      <c r="D405" s="161"/>
      <c r="E405" s="109"/>
      <c r="F405" s="109"/>
      <c r="G405" s="109"/>
      <c r="H405" s="109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75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75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75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75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75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109"/>
      <c r="B419" s="44"/>
      <c r="C419" s="44"/>
      <c r="D419" s="84"/>
      <c r="E419" s="44"/>
      <c r="F419" s="44"/>
      <c r="G419" s="44"/>
      <c r="H419" s="44"/>
      <c r="I419" s="24"/>
      <c r="J419" s="24"/>
      <c r="K419" s="71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LEFT($J$111,13)&amp;"-04"</f>
        <v>FG-240-8P3L5R-04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A423" s="109"/>
      <c r="B423" s="33"/>
      <c r="C423" s="33"/>
      <c r="D423" s="161"/>
      <c r="E423" s="109"/>
      <c r="F423" s="109"/>
      <c r="G423" s="109"/>
      <c r="H423" s="109"/>
      <c r="I423" s="109"/>
      <c r="J423" s="90" t="str">
        <f>$J$2</f>
        <v>HOMELIFE</v>
      </c>
      <c r="K423" s="7"/>
      <c r="L423" s="7"/>
      <c r="M423" s="2"/>
      <c r="N423" s="2"/>
    </row>
    <row r="424" spans="1:14" ht="24.9" customHeight="1">
      <c r="A424" s="109"/>
      <c r="B424" s="33"/>
      <c r="C424" s="33"/>
      <c r="D424" s="161"/>
      <c r="E424" s="109"/>
      <c r="F424" s="109"/>
      <c r="G424" s="109"/>
      <c r="H424" s="109"/>
      <c r="I424" s="109"/>
      <c r="J424" s="91" t="str">
        <f>$J$3</f>
        <v>Fabricators Guide</v>
      </c>
      <c r="K424" s="7"/>
      <c r="L424" s="7"/>
      <c r="M424" s="2"/>
      <c r="N424" s="2"/>
    </row>
    <row r="425" spans="1:14" ht="24.9" customHeight="1">
      <c r="B425" s="235"/>
      <c r="C425" s="28"/>
      <c r="D425" s="28"/>
      <c r="E425" s="28"/>
      <c r="F425" s="28"/>
      <c r="G425" s="28"/>
      <c r="H425" s="28"/>
      <c r="I425" s="28"/>
      <c r="J425" s="91" t="str">
        <f>$J$4</f>
        <v xml:space="preserve">240 Series Bi Fold Door </v>
      </c>
      <c r="K425" s="48"/>
      <c r="L425" s="48"/>
      <c r="M425" s="4"/>
      <c r="N425" s="4"/>
    </row>
    <row r="426" spans="1:14" s="1" customFormat="1" ht="15" customHeight="1" thickBot="1">
      <c r="A426" s="78"/>
      <c r="B426" s="8"/>
      <c r="C426" s="28"/>
      <c r="D426" s="28"/>
      <c r="E426" s="28"/>
      <c r="F426" s="28"/>
      <c r="G426" s="28"/>
      <c r="H426" s="2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  <c r="K427" s="4"/>
      <c r="L427" s="4"/>
      <c r="M427" s="4"/>
      <c r="N427" s="4"/>
    </row>
    <row r="428" spans="1:14" s="1" customFormat="1" ht="15" customHeight="1">
      <c r="A428" s="193"/>
      <c r="B428" s="194"/>
      <c r="C428" s="194"/>
      <c r="D428" s="194"/>
      <c r="E428" s="194"/>
      <c r="F428" s="194"/>
      <c r="G428" s="194"/>
      <c r="H428" s="194"/>
      <c r="I428" s="193"/>
      <c r="K428" s="56"/>
      <c r="L428" s="56"/>
      <c r="M428" s="56"/>
      <c r="N428" s="56"/>
    </row>
    <row r="429" spans="1:14" s="1" customFormat="1" ht="15" customHeight="1">
      <c r="A429" s="45"/>
      <c r="B429" s="193"/>
      <c r="C429" s="193"/>
      <c r="D429" s="193"/>
      <c r="E429" s="193"/>
      <c r="F429" s="193"/>
      <c r="G429" s="193"/>
      <c r="H429" s="193"/>
      <c r="I429" s="44"/>
      <c r="J429" s="119"/>
    </row>
    <row r="430" spans="1:14" s="1" customFormat="1" ht="15" customHeight="1">
      <c r="A430" s="109"/>
      <c r="B430" s="39"/>
      <c r="C430" s="33"/>
      <c r="D430" s="161"/>
      <c r="E430" s="35"/>
      <c r="F430" s="39"/>
      <c r="G430" s="193"/>
      <c r="H430" s="44"/>
      <c r="I430" s="44"/>
      <c r="J430" s="119"/>
    </row>
    <row r="431" spans="1:14" s="1" customFormat="1" ht="15" customHeight="1">
      <c r="A431" s="109"/>
      <c r="B431" s="33"/>
      <c r="C431" s="33"/>
      <c r="D431" s="161"/>
      <c r="E431" s="35"/>
      <c r="F431" s="161"/>
      <c r="G431" s="193"/>
      <c r="H431" s="44"/>
      <c r="I431" s="44"/>
      <c r="J431" s="119"/>
    </row>
    <row r="432" spans="1:14" s="1" customFormat="1" ht="15" customHeight="1">
      <c r="A432" s="109"/>
      <c r="B432" s="56"/>
      <c r="C432" s="56"/>
      <c r="D432" s="30"/>
      <c r="E432" s="29"/>
      <c r="F432" s="30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109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3"/>
      <c r="H434" s="44"/>
      <c r="I434" s="44"/>
      <c r="J434" s="119"/>
    </row>
    <row r="435" spans="1:10" s="1" customFormat="1" ht="15" customHeight="1">
      <c r="A435" s="109"/>
      <c r="B435" s="33"/>
      <c r="C435" s="161"/>
      <c r="D435" s="161"/>
      <c r="E435" s="35"/>
      <c r="F435" s="161"/>
      <c r="H435" s="44"/>
      <c r="I435" s="44"/>
      <c r="J435" s="119"/>
    </row>
    <row r="436" spans="1:10" s="1" customFormat="1" ht="15" customHeight="1">
      <c r="A436" s="39"/>
      <c r="B436" s="33"/>
      <c r="C436" s="42"/>
      <c r="D436" s="161"/>
      <c r="E436" s="109"/>
      <c r="F436" s="69"/>
      <c r="H436" s="44"/>
      <c r="I436" s="44"/>
      <c r="J436" s="119"/>
    </row>
    <row r="437" spans="1:10" s="1" customFormat="1" ht="15" customHeight="1">
      <c r="A437" s="92"/>
      <c r="B437" s="39"/>
      <c r="C437" s="163"/>
      <c r="D437" s="161"/>
      <c r="E437" s="109"/>
      <c r="F437" s="68"/>
      <c r="H437" s="44"/>
      <c r="I437" s="44"/>
      <c r="J437" s="119"/>
    </row>
    <row r="438" spans="1:10" s="1" customFormat="1" ht="15" customHeight="1">
      <c r="B438" s="92"/>
      <c r="C438" s="161"/>
      <c r="D438" s="161"/>
      <c r="E438" s="109"/>
      <c r="F438" s="236"/>
      <c r="H438" s="44"/>
      <c r="I438" s="44"/>
      <c r="J438" s="119"/>
    </row>
    <row r="439" spans="1:10" s="1" customFormat="1" ht="15" customHeight="1">
      <c r="A439" s="64" t="str">
        <f>A18</f>
        <v>240-8 Panel (3L5R)</v>
      </c>
      <c r="B439" s="92"/>
      <c r="C439" s="161"/>
      <c r="D439" s="161"/>
      <c r="E439" s="109"/>
      <c r="F439" s="236"/>
      <c r="H439" s="44"/>
      <c r="I439" s="44"/>
      <c r="J439" s="119"/>
    </row>
    <row r="440" spans="1:10" s="1" customFormat="1" ht="15.9" customHeight="1">
      <c r="A440" s="76" t="str">
        <f>A19</f>
        <v xml:space="preserve">Outside Bi Fold Door </v>
      </c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44"/>
      <c r="B442" s="38"/>
      <c r="C442" s="43"/>
      <c r="D442" s="161"/>
      <c r="E442" s="109"/>
      <c r="F442" s="109"/>
      <c r="H442" s="44"/>
      <c r="I442" s="44"/>
      <c r="J442" s="119"/>
    </row>
    <row r="443" spans="1:10" s="1" customFormat="1" ht="15.9" customHeight="1">
      <c r="A443" s="40"/>
      <c r="C443" s="44"/>
      <c r="D443" s="84"/>
      <c r="E443" s="44"/>
      <c r="F443" s="44"/>
      <c r="H443" s="44"/>
      <c r="I443" s="44"/>
      <c r="J443" s="119"/>
    </row>
    <row r="444" spans="1:10" ht="15.6">
      <c r="B444" s="64"/>
      <c r="C444" s="163"/>
      <c r="D444" s="161"/>
      <c r="E444" s="109"/>
      <c r="F444" s="161"/>
      <c r="G444" s="109"/>
      <c r="H444" s="109"/>
    </row>
    <row r="449" spans="1:10" s="1" customFormat="1" ht="15.9" customHeight="1">
      <c r="A449" s="109"/>
      <c r="B449"/>
      <c r="C449"/>
      <c r="D449" s="81"/>
      <c r="E449"/>
      <c r="F449"/>
      <c r="G449"/>
      <c r="H449"/>
      <c r="I449" s="24"/>
      <c r="J449" s="24"/>
    </row>
    <row r="450" spans="1:10" s="1" customFormat="1" ht="15.9" customHeight="1">
      <c r="A450" s="109"/>
      <c r="B450" s="33"/>
      <c r="C450" s="33"/>
      <c r="D450" s="161"/>
      <c r="E450" s="109"/>
      <c r="F450" s="161"/>
      <c r="G450" s="109"/>
      <c r="H450" s="109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44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161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3"/>
      <c r="D455" s="161"/>
      <c r="E455" s="109"/>
      <c r="F455" s="161"/>
      <c r="G455" s="109"/>
      <c r="H455" s="109"/>
      <c r="I455" s="109"/>
      <c r="J455" s="24"/>
    </row>
    <row r="456" spans="1:10" s="1" customFormat="1" ht="15.9" customHeight="1">
      <c r="A456" s="109"/>
      <c r="B456" s="33"/>
      <c r="C456" s="161"/>
      <c r="D456" s="161"/>
      <c r="E456" s="109"/>
      <c r="F456" s="161"/>
      <c r="G456" s="109"/>
      <c r="H456" s="109"/>
      <c r="I456" s="24"/>
      <c r="J456" s="24"/>
    </row>
    <row r="457" spans="1:10" s="1" customFormat="1" ht="15.9" customHeight="1">
      <c r="A457" s="109"/>
      <c r="B457" s="33"/>
      <c r="C457" s="33"/>
      <c r="D457" s="161"/>
      <c r="E457" s="109"/>
      <c r="F457" s="109"/>
      <c r="G457" s="109"/>
      <c r="H457" s="109"/>
      <c r="I457" s="24"/>
      <c r="J457" s="24"/>
    </row>
    <row r="458" spans="1:10" s="1" customFormat="1" ht="15" customHeight="1">
      <c r="A458" s="109"/>
      <c r="B458" s="33"/>
      <c r="C458" s="33"/>
      <c r="D458" s="161"/>
      <c r="E458" s="109"/>
      <c r="F458" s="109"/>
      <c r="G458" s="109"/>
      <c r="H458" s="107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9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23" customFormat="1" ht="15.9" customHeight="1">
      <c r="A476" s="109"/>
      <c r="B476" s="33"/>
      <c r="C476" s="33"/>
      <c r="D476" s="161"/>
      <c r="E476" s="109"/>
      <c r="F476" s="109"/>
      <c r="G476" s="109"/>
      <c r="H476" s="109"/>
      <c r="I476" s="109"/>
      <c r="J476" s="109"/>
    </row>
    <row r="477" spans="1:10" s="1" customFormat="1" ht="15.9" customHeight="1">
      <c r="A477" s="44"/>
      <c r="B477" s="33"/>
      <c r="C477" s="33"/>
      <c r="D477" s="161"/>
      <c r="E477" s="109"/>
      <c r="F477" s="109"/>
      <c r="G477" s="109"/>
      <c r="H477" s="109"/>
      <c r="I477" s="44"/>
      <c r="J477" s="119"/>
    </row>
    <row r="478" spans="1:10" s="1" customFormat="1" ht="15.9" customHeight="1">
      <c r="A478" s="40"/>
      <c r="B478" s="44"/>
      <c r="C478" s="44"/>
      <c r="D478" s="84"/>
      <c r="E478" s="44"/>
      <c r="F478" s="44"/>
      <c r="G478" s="44"/>
      <c r="H478" s="44"/>
      <c r="I478" s="32"/>
      <c r="J478" s="40"/>
    </row>
    <row r="479" spans="1:10" s="1" customFormat="1" ht="15.9" customHeight="1">
      <c r="A479" s="27"/>
      <c r="B479" s="40"/>
      <c r="C479" s="44"/>
      <c r="D479" s="85"/>
      <c r="E479" s="40"/>
      <c r="F479" s="32"/>
      <c r="G479" s="40"/>
      <c r="H479" s="32"/>
      <c r="I479" s="24"/>
      <c r="J479" s="24"/>
    </row>
    <row r="480" spans="1:10" s="1" customFormat="1" ht="15.9" customHeight="1">
      <c r="A480" s="27"/>
      <c r="B480" s="33"/>
      <c r="C480" s="42"/>
      <c r="D480" s="161"/>
      <c r="E480" s="109"/>
      <c r="F480" s="109"/>
      <c r="G480" s="109"/>
      <c r="H480" s="42"/>
      <c r="I480" s="67"/>
      <c r="J480" s="165"/>
    </row>
    <row r="481" spans="1:10" s="1" customFormat="1" ht="15.9" customHeight="1">
      <c r="A481" s="27"/>
      <c r="B481" s="33"/>
      <c r="C481" s="163"/>
      <c r="D481" s="161"/>
      <c r="E481" s="109"/>
      <c r="F481" s="109"/>
      <c r="G481" s="109"/>
      <c r="H481" s="67"/>
      <c r="I481" s="38"/>
      <c r="J481" s="109"/>
    </row>
    <row r="482" spans="1:10" s="1" customFormat="1" ht="15.9" customHeight="1">
      <c r="A482" s="27"/>
      <c r="B482" s="33"/>
      <c r="C482" s="161"/>
      <c r="D482" s="161"/>
      <c r="E482" s="109"/>
      <c r="F482" s="109"/>
      <c r="G482" s="109"/>
      <c r="H482" s="38"/>
      <c r="I482" s="24"/>
      <c r="J482" s="24"/>
    </row>
    <row r="483" spans="1:10" s="1" customFormat="1" ht="15.9" customHeight="1">
      <c r="A483" s="27"/>
      <c r="B483" s="33"/>
      <c r="C483" s="33"/>
      <c r="D483" s="161"/>
      <c r="E483" s="109"/>
      <c r="F483" s="109"/>
      <c r="G483" s="109"/>
      <c r="H483" s="109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46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161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33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B492" s="33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D494" s="161"/>
      <c r="E494" s="109"/>
      <c r="F494" s="109"/>
      <c r="G494" s="33"/>
      <c r="H494" s="33"/>
      <c r="I494" s="24"/>
      <c r="J494" s="24"/>
    </row>
    <row r="495" spans="1:10" s="1" customFormat="1" ht="15.9" customHeight="1">
      <c r="A495" s="27"/>
      <c r="B495" s="33"/>
      <c r="C495" s="33"/>
      <c r="D495" s="161"/>
      <c r="E495" s="109"/>
      <c r="F495" s="109"/>
      <c r="G495" s="109"/>
      <c r="H495" s="109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42"/>
      <c r="I498" s="67"/>
      <c r="J498" s="165"/>
    </row>
    <row r="499" spans="1:10" s="1" customFormat="1" ht="15.9" customHeight="1">
      <c r="A499" s="27"/>
      <c r="B499" s="33"/>
      <c r="C499" s="47"/>
      <c r="D499" s="161"/>
      <c r="E499" s="109"/>
      <c r="F499" s="109"/>
      <c r="G499" s="109"/>
      <c r="H499" s="67"/>
      <c r="I499" s="38"/>
      <c r="J499" s="109"/>
    </row>
    <row r="500" spans="1:10" s="1" customFormat="1" ht="15.9" customHeight="1">
      <c r="A500" s="27"/>
      <c r="B500" s="33"/>
      <c r="C500" s="46"/>
      <c r="D500" s="161"/>
      <c r="E500" s="109"/>
      <c r="F500" s="109"/>
      <c r="G500" s="109"/>
      <c r="H500" s="38"/>
      <c r="I500" s="24"/>
      <c r="J500" s="24"/>
    </row>
    <row r="501" spans="1:10" s="1" customFormat="1" ht="15.9" customHeight="1">
      <c r="A501" s="27"/>
      <c r="B501" s="33"/>
      <c r="C501" s="161"/>
      <c r="D501" s="161"/>
      <c r="E501" s="109"/>
      <c r="F501" s="109"/>
      <c r="G501" s="109"/>
      <c r="H501" s="42"/>
      <c r="I501" s="67"/>
      <c r="J501" s="165"/>
    </row>
    <row r="502" spans="1:10" s="1" customFormat="1" ht="15.9" customHeight="1">
      <c r="A502" s="27"/>
      <c r="B502" s="33"/>
      <c r="C502" s="33"/>
      <c r="D502" s="161"/>
      <c r="E502" s="109"/>
      <c r="F502" s="109"/>
      <c r="G502" s="109"/>
      <c r="H502" s="67"/>
      <c r="I502" s="38"/>
      <c r="J502" s="109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38"/>
      <c r="I503" s="24"/>
      <c r="J503" s="24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109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109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109"/>
      <c r="J512" s="24"/>
    </row>
    <row r="513" spans="1:15" s="1" customFormat="1" ht="15.9" customHeight="1">
      <c r="A513" s="27"/>
      <c r="B513" s="33"/>
      <c r="C513" s="33"/>
      <c r="D513" s="161"/>
      <c r="E513" s="109"/>
      <c r="F513" s="109"/>
      <c r="G513" s="109"/>
      <c r="H513" s="109"/>
      <c r="I513" s="109"/>
      <c r="J513" s="24"/>
    </row>
    <row r="514" spans="1:15" s="1" customFormat="1" ht="15.9" customHeight="1">
      <c r="A514" s="27"/>
      <c r="B514" s="33"/>
      <c r="C514" s="33"/>
      <c r="D514" s="161"/>
      <c r="E514" s="109"/>
      <c r="F514" s="109"/>
      <c r="G514" s="109"/>
      <c r="H514" s="109"/>
      <c r="I514" s="43"/>
      <c r="J514" s="107"/>
    </row>
    <row r="515" spans="1:15" s="1" customFormat="1" ht="15.9" customHeight="1">
      <c r="A515" s="27"/>
      <c r="B515" s="33"/>
      <c r="C515" s="33"/>
      <c r="D515" s="161"/>
      <c r="E515" s="109"/>
      <c r="F515" s="109"/>
      <c r="G515" s="109"/>
      <c r="H515" s="66"/>
      <c r="I515" s="38"/>
      <c r="J515" s="109"/>
    </row>
    <row r="516" spans="1:15" s="1" customFormat="1" ht="15.9" customHeight="1">
      <c r="A516" s="44"/>
      <c r="B516" s="44"/>
      <c r="C516" s="44"/>
      <c r="D516" s="84"/>
      <c r="E516" s="44"/>
      <c r="F516" s="44"/>
      <c r="G516" s="44"/>
      <c r="H516" s="44"/>
      <c r="I516" s="44"/>
      <c r="J516" s="119"/>
    </row>
    <row r="517" spans="1:15" s="1" customFormat="1" ht="15.9" customHeight="1">
      <c r="B517" s="44"/>
      <c r="C517" s="44"/>
      <c r="D517" s="84"/>
      <c r="E517" s="44"/>
      <c r="F517" s="44"/>
      <c r="G517" s="44"/>
      <c r="H517" s="44"/>
    </row>
    <row r="518" spans="1:15" s="1" customFormat="1" ht="15.9" customHeight="1" thickBot="1"/>
    <row r="519" spans="1:15" s="1" customFormat="1" ht="24.9" customHeight="1" thickBot="1">
      <c r="A519" s="502" t="s">
        <v>401</v>
      </c>
      <c r="B519" s="503"/>
      <c r="C519" s="503"/>
      <c r="D519" s="503"/>
      <c r="E519" s="503"/>
      <c r="F519" s="503"/>
      <c r="G519" s="503"/>
      <c r="H519" s="503"/>
      <c r="I519" s="503"/>
      <c r="J519" s="504"/>
    </row>
    <row r="520" spans="1:15" s="1" customFormat="1" ht="35.1" customHeight="1" thickBot="1">
      <c r="A520" s="102" t="s">
        <v>2</v>
      </c>
      <c r="B520" s="103" t="s">
        <v>3</v>
      </c>
      <c r="C520" s="103" t="s">
        <v>3</v>
      </c>
      <c r="D520" s="104" t="s">
        <v>35</v>
      </c>
      <c r="E520" s="103" t="s">
        <v>5</v>
      </c>
      <c r="F520" s="339" t="s">
        <v>27</v>
      </c>
      <c r="G520" s="305"/>
      <c r="H520" s="104" t="s">
        <v>27</v>
      </c>
      <c r="I520" s="104" t="s">
        <v>26</v>
      </c>
      <c r="J520" s="115" t="s">
        <v>6</v>
      </c>
      <c r="N520" s="249" t="s">
        <v>3</v>
      </c>
      <c r="O520" s="249" t="s">
        <v>3</v>
      </c>
    </row>
    <row r="521" spans="1:15" s="1" customFormat="1" ht="15.9" customHeight="1">
      <c r="A521" s="123">
        <f>IF(C521="","",1)</f>
        <v>1</v>
      </c>
      <c r="B521" s="121" t="str">
        <f>IF($D$127=5,N521,IF($D$127=6,N522,IF($D$127=8,N523,IF($D$127=10,N524,IF($D$127=12,N525,IF($D$127=14,N526,IF($D$127=18,N527,IF($D$127=20,N528,IF($D$127=22,N529,)))))))))</f>
        <v>กระจก 6 mm (สูง) (กว้าง)</v>
      </c>
      <c r="C521" s="121" t="str">
        <f>IF($D$127=5,O521,IF($D$127=6,O522,IF($D$127=8,O523,IF($D$127=10,O524,IF($D$127=12,O525,IF($D$127=14,O526,IF($D$127=18,O527,IF($D$127=20,O528,IF($D$127=22,O529,)))))))))</f>
        <v>GLASS thk.6 mm (H) (W)</v>
      </c>
      <c r="D521" s="124">
        <f>$J$123-215</f>
        <v>2485</v>
      </c>
      <c r="E521" s="123" t="s">
        <v>11</v>
      </c>
      <c r="F521" s="527" t="s">
        <v>271</v>
      </c>
      <c r="G521" s="528"/>
      <c r="H521" s="123" t="s">
        <v>410</v>
      </c>
      <c r="I521" s="124">
        <f>(($J$126-185-(113.25*7))/8)-13</f>
        <v>577.28125</v>
      </c>
      <c r="J521" s="151">
        <f>$J$120*8</f>
        <v>8</v>
      </c>
      <c r="M521" s="1">
        <f>ROW()</f>
        <v>521</v>
      </c>
      <c r="N521" s="19" t="s">
        <v>194</v>
      </c>
      <c r="O521" s="19" t="s">
        <v>195</v>
      </c>
    </row>
    <row r="522" spans="1:15" s="1" customFormat="1" ht="15.9" customHeight="1">
      <c r="A522" s="346"/>
      <c r="B522" s="295"/>
      <c r="C522" s="295"/>
      <c r="D522" s="296"/>
      <c r="E522" s="238"/>
      <c r="F522" s="251"/>
      <c r="G522" s="297"/>
      <c r="H522" s="238"/>
      <c r="I522" s="298"/>
      <c r="J522" s="299"/>
      <c r="M522" s="1">
        <f>ROW()</f>
        <v>522</v>
      </c>
      <c r="N522" s="19" t="s">
        <v>53</v>
      </c>
      <c r="O522" s="19" t="s">
        <v>54</v>
      </c>
    </row>
    <row r="523" spans="1:15" s="1" customFormat="1" ht="15.9" customHeight="1">
      <c r="A523" s="346"/>
      <c r="B523" s="295"/>
      <c r="C523" s="295"/>
      <c r="D523" s="296"/>
      <c r="E523" s="238"/>
      <c r="F523" s="251"/>
      <c r="G523" s="297"/>
      <c r="H523" s="238"/>
      <c r="I523" s="298"/>
      <c r="J523" s="299"/>
      <c r="M523" s="1">
        <f>ROW()</f>
        <v>523</v>
      </c>
      <c r="N523" s="19" t="s">
        <v>257</v>
      </c>
      <c r="O523" s="19" t="s">
        <v>258</v>
      </c>
    </row>
    <row r="524" spans="1:15" s="1" customFormat="1" ht="15.9" customHeight="1">
      <c r="A524" s="129" t="str">
        <f>IF(B524="","",+#REF!+1)</f>
        <v/>
      </c>
      <c r="B524" s="127"/>
      <c r="C524" s="127"/>
      <c r="D524" s="128"/>
      <c r="E524" s="129"/>
      <c r="F524" s="155"/>
      <c r="G524" s="157"/>
      <c r="H524" s="129"/>
      <c r="I524" s="144"/>
      <c r="J524" s="130"/>
      <c r="M524" s="1">
        <f>ROW()</f>
        <v>524</v>
      </c>
      <c r="N524" s="19" t="s">
        <v>259</v>
      </c>
      <c r="O524" s="19" t="s">
        <v>265</v>
      </c>
    </row>
    <row r="525" spans="1:15" s="1" customFormat="1" ht="15.9" customHeight="1">
      <c r="A525" s="135" t="str">
        <f>IF(B525="","",+A524+1)</f>
        <v/>
      </c>
      <c r="B525" s="133"/>
      <c r="C525" s="133"/>
      <c r="D525" s="134"/>
      <c r="E525" s="135"/>
      <c r="F525" s="158"/>
      <c r="G525" s="159"/>
      <c r="H525" s="135"/>
      <c r="I525" s="145"/>
      <c r="J525" s="136"/>
      <c r="M525" s="1">
        <f>ROW()</f>
        <v>525</v>
      </c>
      <c r="N525" s="19" t="s">
        <v>260</v>
      </c>
      <c r="O525" s="19" t="s">
        <v>266</v>
      </c>
    </row>
    <row r="526" spans="1:15" s="1" customFormat="1" ht="15.9" customHeight="1">
      <c r="A526" s="17"/>
      <c r="B526" s="56"/>
      <c r="C526" s="56"/>
      <c r="D526" s="30"/>
      <c r="E526" s="17"/>
      <c r="F526" s="17"/>
      <c r="G526" s="17"/>
      <c r="H526" s="109"/>
      <c r="I526" s="109"/>
      <c r="J526" s="24"/>
      <c r="M526" s="1">
        <f>ROW()</f>
        <v>526</v>
      </c>
      <c r="N526" s="19" t="s">
        <v>261</v>
      </c>
      <c r="O526" s="19" t="s">
        <v>267</v>
      </c>
    </row>
    <row r="527" spans="1:15">
      <c r="H527" s="294"/>
      <c r="I527" s="294"/>
      <c r="J527" s="99" t="str">
        <f>LEFT($J$111,13)&amp;"-05"</f>
        <v>FG-240-8P3L5R-05</v>
      </c>
      <c r="M527" s="1">
        <f>ROW()</f>
        <v>527</v>
      </c>
      <c r="N527" s="19" t="s">
        <v>262</v>
      </c>
      <c r="O527" s="19" t="s">
        <v>268</v>
      </c>
    </row>
    <row r="528" spans="1:15">
      <c r="M528" s="1">
        <f>ROW()</f>
        <v>528</v>
      </c>
      <c r="N528" s="19" t="s">
        <v>263</v>
      </c>
      <c r="O528" s="19" t="s">
        <v>269</v>
      </c>
    </row>
    <row r="529" spans="13:15">
      <c r="M529" s="1">
        <f>ROW()</f>
        <v>529</v>
      </c>
      <c r="N529" s="19" t="s">
        <v>264</v>
      </c>
      <c r="O529" s="19" t="s">
        <v>270</v>
      </c>
    </row>
  </sheetData>
  <sheetProtection selectLockedCells="1" selectUnlockedCells="1"/>
  <dataConsolidate function="product">
    <dataRefs count="1">
      <dataRef ref="N129:N131" sheet="240_7Panel(6L1R)" r:id="rId1"/>
    </dataRefs>
  </dataConsolidate>
  <mergeCells count="46">
    <mergeCell ref="D161:D162"/>
    <mergeCell ref="D163:D168"/>
    <mergeCell ref="D169:D170"/>
    <mergeCell ref="D171:D172"/>
    <mergeCell ref="H163:H168"/>
    <mergeCell ref="H161:H162"/>
    <mergeCell ref="H169:H170"/>
    <mergeCell ref="H171:H172"/>
    <mergeCell ref="A173:J173"/>
    <mergeCell ref="I168:J168"/>
    <mergeCell ref="I162:J165"/>
    <mergeCell ref="I166:J167"/>
    <mergeCell ref="D127:G127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I161:J161"/>
    <mergeCell ref="D129:G129"/>
    <mergeCell ref="H123:I124"/>
    <mergeCell ref="J123:J124"/>
    <mergeCell ref="A125:B125"/>
    <mergeCell ref="H126:I127"/>
    <mergeCell ref="J126:J127"/>
    <mergeCell ref="D123:G123"/>
    <mergeCell ref="D125:G125"/>
    <mergeCell ref="A6:J6"/>
    <mergeCell ref="H120:I121"/>
    <mergeCell ref="J120:J121"/>
    <mergeCell ref="A117:J117"/>
    <mergeCell ref="D119:G119"/>
    <mergeCell ref="D121:G121"/>
    <mergeCell ref="F521:G521"/>
    <mergeCell ref="A519:J519"/>
    <mergeCell ref="A427:J427"/>
    <mergeCell ref="A320:J320"/>
    <mergeCell ref="A213:J213"/>
    <mergeCell ref="F331:G331"/>
    <mergeCell ref="F334:G334"/>
    <mergeCell ref="F330:G330"/>
    <mergeCell ref="C310:E310"/>
  </mergeCells>
  <dataValidations count="4">
    <dataValidation type="list" allowBlank="1" showInputMessage="1" showErrorMessage="1" sqref="C206">
      <formula1>$O$175:$O$193</formula1>
    </dataValidation>
    <dataValidation type="list" allowBlank="1" showInputMessage="1" showErrorMessage="1" sqref="D123:G123">
      <formula1>$P$118:$P$128</formula1>
    </dataValidation>
    <dataValidation type="list" allowBlank="1" showInputMessage="1" showErrorMessage="1" sqref="D127:G127">
      <formula1>$N$119:$N$127</formula1>
    </dataValidation>
    <dataValidation type="list" allowBlank="1" showInputMessage="1" showErrorMessage="1" sqref="D129:G129">
      <formula1>$O$119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4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16383" man="1"/>
    <brk id="421" max="9" man="1"/>
  </rowBreaks>
  <drawing r:id="rId3"/>
  <legacyDrawing r:id="rId4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0">
    <tabColor theme="5" tint="-0.249977111117893"/>
  </sheetPr>
  <dimension ref="A1:X528"/>
  <sheetViews>
    <sheetView showGridLines="0" view="pageBreakPreview" zoomScale="75" zoomScaleNormal="75" zoomScaleSheetLayoutView="75" workbookViewId="0"/>
  </sheetViews>
  <sheetFormatPr defaultRowHeight="14.4" outlineLevelRow="1" outlineLevelCol="1"/>
  <cols>
    <col min="1" max="1" width="7" customWidth="1"/>
    <col min="2" max="2" width="40.6640625" customWidth="1"/>
    <col min="3" max="3" width="61.10937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7.6640625" customWidth="1"/>
    <col min="9" max="9" width="11.109375" bestFit="1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19.8867187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79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79"/>
      <c r="E3" s="279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420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/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>
      <c r="G55" s="10"/>
    </row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419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79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79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8">
      <c r="A118" s="12"/>
      <c r="C118" s="8"/>
      <c r="D118" s="15"/>
      <c r="E118" s="13"/>
      <c r="J118" s="350"/>
      <c r="K118" s="11"/>
      <c r="L118" s="56"/>
      <c r="M118" s="56"/>
      <c r="N118" s="243" t="s">
        <v>191</v>
      </c>
      <c r="O118" s="12" t="s">
        <v>227</v>
      </c>
      <c r="P118" s="247" t="s">
        <v>16</v>
      </c>
    </row>
    <row r="119" spans="1:16" s="1" customFormat="1" ht="17.100000000000001" customHeight="1">
      <c r="A119" s="12"/>
      <c r="C119" s="110" t="s">
        <v>635</v>
      </c>
      <c r="D119" s="524" t="s">
        <v>671</v>
      </c>
      <c r="E119" s="525"/>
      <c r="F119" s="525"/>
      <c r="G119" s="526"/>
      <c r="I119" s="16"/>
      <c r="J119" s="12"/>
      <c r="N119" s="244">
        <v>5</v>
      </c>
      <c r="O119" s="12" t="s">
        <v>243</v>
      </c>
      <c r="P119" s="335" t="s">
        <v>389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5">
        <v>6</v>
      </c>
      <c r="O120" s="12" t="s">
        <v>244</v>
      </c>
      <c r="P120" s="336" t="s">
        <v>390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8</v>
      </c>
      <c r="P121" s="336" t="s">
        <v>391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10</v>
      </c>
      <c r="P122" s="336" t="s">
        <v>392</v>
      </c>
    </row>
    <row r="123" spans="1:16" s="1" customFormat="1" ht="15" customHeight="1">
      <c r="A123" s="12"/>
      <c r="C123" s="110" t="s">
        <v>629</v>
      </c>
      <c r="D123" s="524" t="s">
        <v>392</v>
      </c>
      <c r="E123" s="525"/>
      <c r="F123" s="525"/>
      <c r="G123" s="526"/>
      <c r="H123" s="519" t="s">
        <v>638</v>
      </c>
      <c r="I123" s="520"/>
      <c r="J123" s="517">
        <v>2400</v>
      </c>
      <c r="N123" s="245">
        <v>12</v>
      </c>
      <c r="P123" s="335" t="s">
        <v>393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14</v>
      </c>
      <c r="P124" s="335" t="s">
        <v>394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347"/>
      <c r="L125" s="77"/>
      <c r="N125" s="245">
        <v>18</v>
      </c>
      <c r="P125" s="335" t="s">
        <v>395</v>
      </c>
    </row>
    <row r="126" spans="1:16" s="1" customFormat="1" ht="15" customHeight="1">
      <c r="A126" s="350"/>
      <c r="B126" s="350"/>
      <c r="C126" s="423" t="s">
        <v>631</v>
      </c>
      <c r="D126" s="15"/>
      <c r="H126" s="519" t="s">
        <v>639</v>
      </c>
      <c r="I126" s="520"/>
      <c r="J126" s="517">
        <v>4170</v>
      </c>
      <c r="K126" s="347"/>
      <c r="L126" s="77"/>
      <c r="N126" s="245">
        <v>20</v>
      </c>
      <c r="P126" s="335" t="s">
        <v>396</v>
      </c>
    </row>
    <row r="127" spans="1:16" s="1" customFormat="1" ht="15" customHeight="1">
      <c r="A127" s="350"/>
      <c r="B127" s="350"/>
      <c r="C127" s="110" t="s">
        <v>633</v>
      </c>
      <c r="D127" s="534">
        <v>6</v>
      </c>
      <c r="E127" s="535"/>
      <c r="F127" s="535"/>
      <c r="G127" s="536"/>
      <c r="H127" s="520"/>
      <c r="I127" s="520"/>
      <c r="J127" s="518"/>
      <c r="N127" s="245">
        <v>22</v>
      </c>
      <c r="P127" s="335" t="s">
        <v>397</v>
      </c>
    </row>
    <row r="128" spans="1:16" s="1" customFormat="1" ht="18.75" customHeight="1">
      <c r="C128" s="423" t="s">
        <v>632</v>
      </c>
      <c r="I128" s="12"/>
      <c r="J128" s="12"/>
    </row>
    <row r="129" spans="1:23" s="1" customFormat="1" ht="15" customHeight="1">
      <c r="A129" s="88" t="str">
        <f>A18</f>
        <v>240-8 Panel (4L4R)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4110</v>
      </c>
      <c r="J133" s="125">
        <f t="shared" ref="J133:J153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16</v>
      </c>
      <c r="U133" s="283" t="s">
        <v>301</v>
      </c>
      <c r="V133" s="285">
        <f>($J$126-185-(113.25*7))/8</f>
        <v>399.03125</v>
      </c>
      <c r="W133" s="286">
        <f>$J$120*T133</f>
        <v>16</v>
      </c>
    </row>
    <row r="134" spans="1:23" s="1" customFormat="1" ht="18" customHeight="1">
      <c r="A134" s="143">
        <f t="shared" ref="A134:A153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4084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16</v>
      </c>
      <c r="U134" s="129" t="s">
        <v>301</v>
      </c>
      <c r="V134" s="144">
        <f t="shared" ref="V134:V135" si="2">($J$126-185-(113.25*7))/8</f>
        <v>399.03125</v>
      </c>
      <c r="W134" s="131">
        <f t="shared" ref="W134:W135" si="3">$J$120*T134</f>
        <v>16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4110</v>
      </c>
      <c r="J135" s="131">
        <f t="shared" ref="J135:J152" si="4">$J$120*G135</f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16</v>
      </c>
      <c r="U135" s="135" t="s">
        <v>301</v>
      </c>
      <c r="V135" s="145">
        <f t="shared" si="2"/>
        <v>399.03125</v>
      </c>
      <c r="W135" s="293">
        <f t="shared" si="3"/>
        <v>16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4110</v>
      </c>
      <c r="J136" s="131">
        <f t="shared" si="4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16</v>
      </c>
      <c r="U136" s="283" t="s">
        <v>64</v>
      </c>
      <c r="V136" s="288">
        <f>$J$123-242</f>
        <v>2158</v>
      </c>
      <c r="W136" s="286">
        <f>$J$120*T136</f>
        <v>16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2400</v>
      </c>
      <c r="J137" s="131">
        <f t="shared" si="4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16</v>
      </c>
      <c r="U137" s="129" t="s">
        <v>64</v>
      </c>
      <c r="V137" s="130">
        <f>$J$123-242</f>
        <v>2158</v>
      </c>
      <c r="W137" s="131">
        <f t="shared" ref="W137:W138" si="5">$J$120*T137</f>
        <v>16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2400</v>
      </c>
      <c r="J138" s="131">
        <f t="shared" si="4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16</v>
      </c>
      <c r="U138" s="135" t="s">
        <v>64</v>
      </c>
      <c r="V138" s="136">
        <f>$J$123-242</f>
        <v>2158</v>
      </c>
      <c r="W138" s="293">
        <f t="shared" si="5"/>
        <v>16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2304</v>
      </c>
      <c r="J139" s="131">
        <f t="shared" si="4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2304</v>
      </c>
      <c r="J140" s="131">
        <f t="shared" ref="J140" si="6">$J$120*G140</f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8</v>
      </c>
      <c r="H141" s="143" t="s">
        <v>301</v>
      </c>
      <c r="I141" s="178">
        <f>($J$126-185-(113.25*7))/8</f>
        <v>399.03125</v>
      </c>
      <c r="J141" s="131">
        <f t="shared" ref="J141:J147" si="7">$J$120*G141</f>
        <v>8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8</v>
      </c>
      <c r="H142" s="143" t="s">
        <v>301</v>
      </c>
      <c r="I142" s="178">
        <f>($J$126-185-(113.25*7))/8</f>
        <v>399.03125</v>
      </c>
      <c r="J142" s="131">
        <f t="shared" si="7"/>
        <v>8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12</v>
      </c>
      <c r="H143" s="143" t="s">
        <v>63</v>
      </c>
      <c r="I143" s="130">
        <f>$J$123-92</f>
        <v>2308</v>
      </c>
      <c r="J143" s="131">
        <f t="shared" si="7"/>
        <v>12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2</v>
      </c>
      <c r="H144" s="143" t="s">
        <v>63</v>
      </c>
      <c r="I144" s="130">
        <f t="shared" ref="I144:I145" si="8">$J$123-92</f>
        <v>2308</v>
      </c>
      <c r="J144" s="131">
        <f t="shared" si="7"/>
        <v>2</v>
      </c>
      <c r="N144" s="98"/>
    </row>
    <row r="145" spans="1:14" s="1" customFormat="1" ht="18" customHeight="1">
      <c r="A145" s="143">
        <f t="shared" si="1"/>
        <v>13</v>
      </c>
      <c r="B145" s="140" t="s">
        <v>8</v>
      </c>
      <c r="C145" s="140" t="s">
        <v>151</v>
      </c>
      <c r="D145" s="139" t="s">
        <v>50</v>
      </c>
      <c r="E145" s="143">
        <v>1.1060000000000001</v>
      </c>
      <c r="F145" s="139" t="s">
        <v>496</v>
      </c>
      <c r="G145" s="143">
        <v>2</v>
      </c>
      <c r="H145" s="143" t="s">
        <v>63</v>
      </c>
      <c r="I145" s="130">
        <f t="shared" si="8"/>
        <v>2308</v>
      </c>
      <c r="J145" s="131">
        <f t="shared" si="7"/>
        <v>2</v>
      </c>
      <c r="N145" s="98"/>
    </row>
    <row r="146" spans="1:14" s="1" customFormat="1" ht="18" customHeight="1">
      <c r="A146" s="143">
        <f t="shared" si="1"/>
        <v>14</v>
      </c>
      <c r="B146" s="127" t="str">
        <f t="shared" ref="B146:I146" si="9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27" t="str">
        <f t="shared" si="9"/>
        <v>5-6mm GLAZING BEAD HORIZONTAL</v>
      </c>
      <c r="D146" s="127" t="str">
        <f t="shared" si="9"/>
        <v>B24008</v>
      </c>
      <c r="E146" s="127">
        <f t="shared" si="9"/>
        <v>0.23100000000000001</v>
      </c>
      <c r="F146" s="127" t="str">
        <f t="shared" si="9"/>
        <v>B24008-001</v>
      </c>
      <c r="G146" s="129">
        <f t="shared" si="9"/>
        <v>16</v>
      </c>
      <c r="H146" s="129" t="str">
        <f t="shared" si="9"/>
        <v>(W-185-(113.25 × 7))/8</v>
      </c>
      <c r="I146" s="178">
        <f t="shared" si="9"/>
        <v>399.03125</v>
      </c>
      <c r="J146" s="131">
        <f t="shared" si="7"/>
        <v>16</v>
      </c>
      <c r="N146" s="98"/>
    </row>
    <row r="147" spans="1:14" s="1" customFormat="1" ht="18" customHeight="1">
      <c r="A147" s="143">
        <f t="shared" si="1"/>
        <v>15</v>
      </c>
      <c r="B147" s="127" t="str">
        <f t="shared" ref="B147:I147" si="10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27" t="str">
        <f t="shared" si="10"/>
        <v>5-6mm GLAZING BEAD VERTICAL</v>
      </c>
      <c r="D147" s="127" t="str">
        <f t="shared" si="10"/>
        <v>B24008</v>
      </c>
      <c r="E147" s="127">
        <f t="shared" si="10"/>
        <v>0.23100000000000001</v>
      </c>
      <c r="F147" s="127" t="str">
        <f t="shared" si="10"/>
        <v>B24008-002</v>
      </c>
      <c r="G147" s="129">
        <f t="shared" si="10"/>
        <v>16</v>
      </c>
      <c r="H147" s="129" t="str">
        <f t="shared" si="10"/>
        <v>H-242</v>
      </c>
      <c r="I147" s="144">
        <f t="shared" si="10"/>
        <v>2158</v>
      </c>
      <c r="J147" s="131">
        <f t="shared" si="7"/>
        <v>16</v>
      </c>
      <c r="N147" s="98"/>
    </row>
    <row r="148" spans="1:14" s="1" customFormat="1" ht="18" customHeight="1">
      <c r="A148" s="143" t="str">
        <f t="shared" si="1"/>
        <v/>
      </c>
      <c r="B148" s="140"/>
      <c r="C148" s="140"/>
      <c r="D148" s="139"/>
      <c r="E148" s="143"/>
      <c r="F148" s="139"/>
      <c r="G148" s="143"/>
      <c r="H148" s="143"/>
      <c r="I148" s="130"/>
      <c r="J148" s="131"/>
      <c r="N148" s="98"/>
    </row>
    <row r="149" spans="1:14" s="1" customFormat="1" ht="18" customHeight="1">
      <c r="A149" s="143" t="str">
        <f t="shared" si="1"/>
        <v/>
      </c>
      <c r="B149" s="140"/>
      <c r="C149" s="140"/>
      <c r="D149" s="139"/>
      <c r="E149" s="143"/>
      <c r="F149" s="139"/>
      <c r="G149" s="143"/>
      <c r="H149" s="143"/>
      <c r="I149" s="130"/>
      <c r="J149" s="131"/>
      <c r="N149" s="98"/>
    </row>
    <row r="150" spans="1:14" s="1" customFormat="1" ht="18" customHeight="1">
      <c r="A150" s="143" t="str">
        <f t="shared" si="1"/>
        <v/>
      </c>
      <c r="B150" s="140"/>
      <c r="C150" s="140"/>
      <c r="D150" s="139"/>
      <c r="E150" s="143"/>
      <c r="F150" s="139"/>
      <c r="G150" s="143"/>
      <c r="H150" s="143"/>
      <c r="I150" s="130"/>
      <c r="J150" s="131">
        <f t="shared" si="4"/>
        <v>0</v>
      </c>
      <c r="N150" s="98"/>
    </row>
    <row r="151" spans="1:14" s="1" customFormat="1" ht="18" customHeight="1">
      <c r="A151" s="143" t="str">
        <f t="shared" si="1"/>
        <v/>
      </c>
      <c r="B151" s="140"/>
      <c r="C151" s="140"/>
      <c r="D151" s="139"/>
      <c r="E151" s="143"/>
      <c r="F151" s="139"/>
      <c r="G151" s="143"/>
      <c r="H151" s="143"/>
      <c r="I151" s="130"/>
      <c r="J151" s="131">
        <f t="shared" si="4"/>
        <v>0</v>
      </c>
      <c r="N151" s="98"/>
    </row>
    <row r="152" spans="1:14" s="1" customFormat="1" ht="18" customHeight="1">
      <c r="A152" s="143" t="str">
        <f t="shared" si="1"/>
        <v/>
      </c>
      <c r="B152" s="140"/>
      <c r="C152" s="140"/>
      <c r="D152" s="139"/>
      <c r="E152" s="143"/>
      <c r="F152" s="139"/>
      <c r="G152" s="143"/>
      <c r="H152" s="143"/>
      <c r="I152" s="130"/>
      <c r="J152" s="131">
        <f t="shared" si="4"/>
        <v>0</v>
      </c>
      <c r="N152" s="98"/>
    </row>
    <row r="153" spans="1:14" s="1" customFormat="1" ht="18" customHeight="1" thickBot="1">
      <c r="A153" s="143" t="str">
        <f t="shared" si="1"/>
        <v/>
      </c>
      <c r="B153" s="167"/>
      <c r="C153" s="167"/>
      <c r="D153" s="168"/>
      <c r="E153" s="166"/>
      <c r="F153" s="168"/>
      <c r="G153" s="166"/>
      <c r="H153" s="166"/>
      <c r="I153" s="171"/>
      <c r="J153" s="172">
        <f t="shared" si="0"/>
        <v>0</v>
      </c>
    </row>
    <row r="154" spans="1:14" s="1" customFormat="1" ht="27" outlineLevel="1" thickBot="1">
      <c r="A154" s="169" t="s">
        <v>2</v>
      </c>
      <c r="B154" s="169" t="s">
        <v>29</v>
      </c>
      <c r="C154" s="169" t="s">
        <v>3</v>
      </c>
      <c r="D154" s="169" t="s">
        <v>4</v>
      </c>
      <c r="E154" s="169" t="s">
        <v>5</v>
      </c>
      <c r="F154" s="177" t="s">
        <v>85</v>
      </c>
      <c r="G154" s="169" t="s">
        <v>22</v>
      </c>
      <c r="H154" s="170" t="s">
        <v>23</v>
      </c>
      <c r="I154" s="540"/>
      <c r="J154" s="541"/>
    </row>
    <row r="155" spans="1:14" s="1" customFormat="1" ht="15" customHeight="1" outlineLevel="1">
      <c r="A155" s="21">
        <f>IF(B155="","",1)</f>
        <v>1</v>
      </c>
      <c r="B155" s="173" t="str">
        <f t="shared" ref="B155:C161" si="11">B133</f>
        <v>เฟรมบน</v>
      </c>
      <c r="C155" s="173" t="str">
        <f t="shared" si="11"/>
        <v>HEAD</v>
      </c>
      <c r="D155" s="174" t="str">
        <f>VLOOKUP(C155,$C$133:$H$153,2,0)</f>
        <v>B24001</v>
      </c>
      <c r="E155" s="175">
        <f t="shared" ref="E155:E161" si="12">VLOOKUP(C155,$C$133:$H$153,3,0)</f>
        <v>1.603</v>
      </c>
      <c r="F155" s="353">
        <f>VLOOKUP(C155,$C$133:$J$153,7,0)</f>
        <v>4110</v>
      </c>
      <c r="G155" s="175">
        <f t="shared" ref="G155:G161" si="13">VLOOKUP(C155,$C$133:$J$153,8,0)</f>
        <v>1</v>
      </c>
      <c r="H155" s="191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ref="A156" si="14">IF(B156="","",+A155+1)</f>
        <v>2</v>
      </c>
      <c r="B156" s="173" t="str">
        <f t="shared" si="11"/>
        <v>บังใบบน</v>
      </c>
      <c r="C156" s="173" t="str">
        <f t="shared" si="11"/>
        <v>DOOR STOP HEAD</v>
      </c>
      <c r="D156" s="174" t="str">
        <f>VLOOKUP(C156,$C$133:$H$153,2,0)</f>
        <v>B24002</v>
      </c>
      <c r="E156" s="175">
        <f t="shared" si="12"/>
        <v>0.27800000000000002</v>
      </c>
      <c r="F156" s="353">
        <f t="shared" ref="F156:F161" si="15">VLOOKUP(C156,$C$133:$I$153,7,0)</f>
        <v>4084</v>
      </c>
      <c r="G156" s="175">
        <f t="shared" si="13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ref="A157:A161" si="16">IF(B157="","",+A156+1)</f>
        <v>3</v>
      </c>
      <c r="B157" s="173" t="str">
        <f t="shared" si="11"/>
        <v xml:space="preserve">เฟรมล่าง </v>
      </c>
      <c r="C157" s="173" t="str">
        <f t="shared" si="11"/>
        <v>SILL</v>
      </c>
      <c r="D157" s="174" t="str">
        <f>VLOOKUP(C157,$C$133:$H$153,2,0)</f>
        <v>B24003</v>
      </c>
      <c r="E157" s="175">
        <f t="shared" si="12"/>
        <v>1.603</v>
      </c>
      <c r="F157" s="353">
        <f t="shared" si="15"/>
        <v>4110</v>
      </c>
      <c r="G157" s="175">
        <f t="shared" si="13"/>
        <v>1</v>
      </c>
      <c r="H157" s="192">
        <f t="shared" ref="H157:H158" si="17">ROUNDUP((F157*G157)/6400,0)</f>
        <v>1</v>
      </c>
      <c r="I157" s="501"/>
      <c r="J157" s="501"/>
    </row>
    <row r="158" spans="1:14" s="1" customFormat="1" ht="15" customHeight="1" outlineLevel="1">
      <c r="A158" s="18">
        <f t="shared" si="16"/>
        <v>4</v>
      </c>
      <c r="B158" s="173" t="str">
        <f t="shared" si="11"/>
        <v>ตัวตับธรณี</v>
      </c>
      <c r="C158" s="173" t="str">
        <f t="shared" si="11"/>
        <v>DOOR STOP SILL</v>
      </c>
      <c r="D158" s="174" t="str">
        <f>VLOOKUP(C158,$C$133:$H$153,2,0)</f>
        <v>B24004</v>
      </c>
      <c r="E158" s="175">
        <f t="shared" si="12"/>
        <v>0.51600000000000001</v>
      </c>
      <c r="F158" s="353">
        <f t="shared" si="15"/>
        <v>4110</v>
      </c>
      <c r="G158" s="175">
        <f t="shared" si="13"/>
        <v>1</v>
      </c>
      <c r="H158" s="192">
        <f t="shared" si="17"/>
        <v>1</v>
      </c>
      <c r="I158" s="501"/>
      <c r="J158" s="501"/>
    </row>
    <row r="159" spans="1:14" s="1" customFormat="1" ht="15" customHeight="1" outlineLevel="1">
      <c r="A159" s="18">
        <f t="shared" si="16"/>
        <v>5</v>
      </c>
      <c r="B159" s="173" t="str">
        <f t="shared" si="11"/>
        <v>เฟรมข้าง (ซ้าย)</v>
      </c>
      <c r="C159" s="173" t="str">
        <f t="shared" si="11"/>
        <v>JAMB (L)</v>
      </c>
      <c r="D159" s="508" t="str">
        <f>VLOOKUP(C159,$C$133:$H$153,2,0)</f>
        <v>B24005</v>
      </c>
      <c r="E159" s="175">
        <f t="shared" si="12"/>
        <v>0.89300000000000002</v>
      </c>
      <c r="F159" s="353">
        <f t="shared" si="15"/>
        <v>2400</v>
      </c>
      <c r="G159" s="175">
        <f t="shared" si="13"/>
        <v>1</v>
      </c>
      <c r="H159" s="516">
        <f>ROUNDUP(((F159*G159)+(F160*G160))/6400,0)</f>
        <v>1</v>
      </c>
      <c r="I159" s="506"/>
      <c r="J159" s="506"/>
    </row>
    <row r="160" spans="1:14" s="1" customFormat="1" ht="15" customHeight="1" outlineLevel="1">
      <c r="A160" s="18">
        <f t="shared" si="16"/>
        <v>6</v>
      </c>
      <c r="B160" s="173" t="str">
        <f t="shared" si="11"/>
        <v>เฟรมข้าง (ขวา)</v>
      </c>
      <c r="C160" s="173" t="str">
        <f t="shared" si="11"/>
        <v>JAMB (R)</v>
      </c>
      <c r="D160" s="509"/>
      <c r="E160" s="175">
        <f t="shared" si="12"/>
        <v>0.89300000000000002</v>
      </c>
      <c r="F160" s="353">
        <f t="shared" si="15"/>
        <v>2400</v>
      </c>
      <c r="G160" s="175">
        <f t="shared" si="13"/>
        <v>1</v>
      </c>
      <c r="H160" s="516"/>
      <c r="I160" s="506"/>
      <c r="J160" s="506"/>
    </row>
    <row r="161" spans="1:23" s="1" customFormat="1" ht="15" customHeight="1" outlineLevel="1">
      <c r="A161" s="18">
        <f t="shared" si="16"/>
        <v>7</v>
      </c>
      <c r="B161" s="173" t="str">
        <f t="shared" si="11"/>
        <v>บังใบข้าง (ซ้าย)</v>
      </c>
      <c r="C161" s="173" t="str">
        <f t="shared" si="11"/>
        <v>DOOR STOP JAMB (L)</v>
      </c>
      <c r="D161" s="508" t="str">
        <f>VLOOKUP(C161,$C$133:$H$153,2,0)</f>
        <v>B24006</v>
      </c>
      <c r="E161" s="175">
        <f t="shared" si="12"/>
        <v>0.23499999999999999</v>
      </c>
      <c r="F161" s="353">
        <f t="shared" si="15"/>
        <v>2304</v>
      </c>
      <c r="G161" s="175">
        <f t="shared" si="13"/>
        <v>1</v>
      </c>
      <c r="H161" s="516">
        <f>ROUNDUP(((F161*G161)+(F162*G162))/6400,0)</f>
        <v>1</v>
      </c>
      <c r="I161" s="501"/>
      <c r="J161" s="501"/>
    </row>
    <row r="162" spans="1:23" s="1" customFormat="1" ht="15" customHeight="1" outlineLevel="1">
      <c r="A162" s="18">
        <f t="shared" ref="A162:A169" si="18">IF(B162="","",+A161+1)</f>
        <v>8</v>
      </c>
      <c r="B162" s="173" t="str">
        <f t="shared" ref="B162:C162" si="19">B140</f>
        <v>บังใบข้าง (ขวา)</v>
      </c>
      <c r="C162" s="173" t="str">
        <f t="shared" si="19"/>
        <v>DOOR STOP JAMB (R)</v>
      </c>
      <c r="D162" s="509"/>
      <c r="E162" s="175">
        <f t="shared" ref="E162:E169" si="20">VLOOKUP(C162,$C$133:$H$153,3,0)</f>
        <v>0.23499999999999999</v>
      </c>
      <c r="F162" s="353">
        <f t="shared" ref="F162:F169" si="21">VLOOKUP(C162,$C$133:$I$153,7,0)</f>
        <v>2304</v>
      </c>
      <c r="G162" s="175">
        <f t="shared" ref="G162:G169" si="22">VLOOKUP(C162,$C$133:$J$153,8,0)</f>
        <v>1</v>
      </c>
      <c r="H162" s="516"/>
      <c r="I162" s="506"/>
      <c r="J162" s="506"/>
    </row>
    <row r="163" spans="1:23" s="1" customFormat="1" ht="13.8" outlineLevel="1">
      <c r="A163" s="18">
        <f t="shared" si="18"/>
        <v>9</v>
      </c>
      <c r="B163" s="173" t="str">
        <f t="shared" ref="B163:C163" si="23">B141</f>
        <v>ขวางบน</v>
      </c>
      <c r="C163" s="173" t="str">
        <f t="shared" si="23"/>
        <v>SASH (Hor) (T)</v>
      </c>
      <c r="D163" s="508" t="str">
        <f t="shared" ref="D163:D168" si="24">VLOOKUP(C163,$C$133:$H$153,2,0)</f>
        <v>B24007</v>
      </c>
      <c r="E163" s="175">
        <f t="shared" si="20"/>
        <v>1.1060000000000001</v>
      </c>
      <c r="F163" s="353">
        <f t="shared" si="21"/>
        <v>399.03125</v>
      </c>
      <c r="G163" s="175">
        <f t="shared" si="22"/>
        <v>8</v>
      </c>
      <c r="H163" s="512">
        <f>ROUNDUP(((F163*G163)+(F164*G164)+(F165*G165)+(F166*G166)+(F167*G167))/6400,0)</f>
        <v>7</v>
      </c>
      <c r="I163" s="506"/>
      <c r="J163" s="506"/>
    </row>
    <row r="164" spans="1:23" s="1" customFormat="1" ht="13.8" outlineLevel="1">
      <c r="A164" s="18">
        <f t="shared" si="18"/>
        <v>10</v>
      </c>
      <c r="B164" s="173" t="str">
        <f t="shared" ref="B164:C164" si="25">B142</f>
        <v>ขวางล่าง</v>
      </c>
      <c r="C164" s="173" t="str">
        <f t="shared" si="25"/>
        <v>SASH (Hor) (B)</v>
      </c>
      <c r="D164" s="510"/>
      <c r="E164" s="175">
        <f t="shared" si="20"/>
        <v>1.1060000000000001</v>
      </c>
      <c r="F164" s="353">
        <f t="shared" si="21"/>
        <v>399.03125</v>
      </c>
      <c r="G164" s="175">
        <f t="shared" si="22"/>
        <v>8</v>
      </c>
      <c r="H164" s="514"/>
      <c r="I164" s="506"/>
      <c r="J164" s="506"/>
    </row>
    <row r="165" spans="1:23" s="1" customFormat="1" ht="13.8" outlineLevel="1">
      <c r="A165" s="18">
        <f t="shared" si="18"/>
        <v>11</v>
      </c>
      <c r="B165" s="173" t="str">
        <f t="shared" ref="B165:C165" si="26">B143</f>
        <v>เสา</v>
      </c>
      <c r="C165" s="173" t="str">
        <f t="shared" si="26"/>
        <v xml:space="preserve">SASH (Ver) </v>
      </c>
      <c r="D165" s="510"/>
      <c r="E165" s="175">
        <f t="shared" si="20"/>
        <v>1.1060000000000001</v>
      </c>
      <c r="F165" s="353">
        <f t="shared" si="21"/>
        <v>2308</v>
      </c>
      <c r="G165" s="175">
        <f t="shared" si="22"/>
        <v>12</v>
      </c>
      <c r="H165" s="514"/>
      <c r="I165" s="506"/>
      <c r="J165" s="506"/>
    </row>
    <row r="166" spans="1:23" s="1" customFormat="1" ht="13.8" outlineLevel="1">
      <c r="A166" s="18">
        <f t="shared" si="18"/>
        <v>12</v>
      </c>
      <c r="B166" s="173" t="str">
        <f t="shared" ref="B166:C166" si="27">B144</f>
        <v>เสากุญแจ</v>
      </c>
      <c r="C166" s="173" t="str">
        <f t="shared" si="27"/>
        <v xml:space="preserve">SASH (Ver) LOCK </v>
      </c>
      <c r="D166" s="510"/>
      <c r="E166" s="175">
        <f t="shared" si="20"/>
        <v>1.1060000000000001</v>
      </c>
      <c r="F166" s="353">
        <f t="shared" si="21"/>
        <v>2308</v>
      </c>
      <c r="G166" s="175">
        <f t="shared" si="22"/>
        <v>2</v>
      </c>
      <c r="H166" s="514"/>
      <c r="I166" s="506"/>
      <c r="J166" s="506"/>
    </row>
    <row r="167" spans="1:23" s="1" customFormat="1" ht="15" customHeight="1" outlineLevel="1">
      <c r="A167" s="18">
        <f t="shared" si="18"/>
        <v>13</v>
      </c>
      <c r="B167" s="173" t="str">
        <f t="shared" ref="B167:C167" si="28">B145</f>
        <v>เสากุญแจ</v>
      </c>
      <c r="C167" s="173" t="str">
        <f t="shared" si="28"/>
        <v xml:space="preserve">SASH (Ver) LOCK  </v>
      </c>
      <c r="D167" s="509"/>
      <c r="E167" s="175">
        <f t="shared" si="20"/>
        <v>1.1060000000000001</v>
      </c>
      <c r="F167" s="353">
        <f t="shared" si="21"/>
        <v>2308</v>
      </c>
      <c r="G167" s="175">
        <f t="shared" si="22"/>
        <v>2</v>
      </c>
      <c r="H167" s="515"/>
      <c r="I167" s="506"/>
      <c r="J167" s="506"/>
    </row>
    <row r="168" spans="1:23" s="1" customFormat="1" ht="13.8" outlineLevel="1">
      <c r="A168" s="18">
        <f t="shared" si="18"/>
        <v>14</v>
      </c>
      <c r="B168" s="173" t="str">
        <f t="shared" ref="B168:C168" si="29">B146</f>
        <v>5-6mm คิ้วตบกระจกแนวนอน</v>
      </c>
      <c r="C168" s="173" t="str">
        <f t="shared" si="29"/>
        <v>5-6mm GLAZING BEAD HORIZONTAL</v>
      </c>
      <c r="D168" s="508" t="str">
        <f t="shared" si="24"/>
        <v>B24008</v>
      </c>
      <c r="E168" s="175">
        <f t="shared" si="20"/>
        <v>0.23100000000000001</v>
      </c>
      <c r="F168" s="353">
        <f t="shared" si="21"/>
        <v>399.03125</v>
      </c>
      <c r="G168" s="175">
        <f t="shared" si="22"/>
        <v>16</v>
      </c>
      <c r="H168" s="516">
        <f>ROUNDUP(((F168*G168)+(F169*G169))/6400,0)</f>
        <v>7</v>
      </c>
      <c r="I168" s="501"/>
      <c r="J168" s="501"/>
    </row>
    <row r="169" spans="1:23" s="1" customFormat="1" outlineLevel="1" thickBot="1">
      <c r="A169" s="18">
        <f t="shared" si="18"/>
        <v>15</v>
      </c>
      <c r="B169" s="173" t="str">
        <f t="shared" ref="B169:C169" si="30">B147</f>
        <v>5-6mm คิ้วตบกระจกแนวตั้ง</v>
      </c>
      <c r="C169" s="173" t="str">
        <f t="shared" si="30"/>
        <v>5-6mm GLAZING BEAD VERTICAL</v>
      </c>
      <c r="D169" s="511"/>
      <c r="E169" s="175">
        <f t="shared" si="20"/>
        <v>0.23100000000000001</v>
      </c>
      <c r="F169" s="353">
        <f t="shared" si="21"/>
        <v>2158</v>
      </c>
      <c r="G169" s="175">
        <f t="shared" si="22"/>
        <v>16</v>
      </c>
      <c r="H169" s="516"/>
      <c r="I169" s="348"/>
      <c r="J169" s="348"/>
    </row>
    <row r="170" spans="1:23" s="1" customFormat="1" ht="24.9" customHeight="1" thickBot="1">
      <c r="A170" s="529" t="s">
        <v>9</v>
      </c>
      <c r="B170" s="530"/>
      <c r="C170" s="530"/>
      <c r="D170" s="530"/>
      <c r="E170" s="530"/>
      <c r="F170" s="530"/>
      <c r="G170" s="530"/>
      <c r="H170" s="530"/>
      <c r="I170" s="530"/>
      <c r="J170" s="531"/>
    </row>
    <row r="171" spans="1:23" s="1" customFormat="1" ht="35.1" customHeight="1" thickBot="1">
      <c r="A171" s="102" t="s">
        <v>2</v>
      </c>
      <c r="B171" s="103" t="s">
        <v>29</v>
      </c>
      <c r="C171" s="103" t="s">
        <v>3</v>
      </c>
      <c r="D171" s="103" t="s">
        <v>199</v>
      </c>
      <c r="E171" s="103" t="s">
        <v>5</v>
      </c>
      <c r="F171" s="104" t="s">
        <v>28</v>
      </c>
      <c r="G171" s="103" t="s">
        <v>19</v>
      </c>
      <c r="H171" s="104" t="s">
        <v>200</v>
      </c>
      <c r="I171" s="104" t="s">
        <v>20</v>
      </c>
      <c r="J171" s="115" t="s">
        <v>201</v>
      </c>
      <c r="N171" s="101" t="s">
        <v>191</v>
      </c>
      <c r="O171" s="246" t="s">
        <v>29</v>
      </c>
      <c r="P171" s="246" t="s">
        <v>3</v>
      </c>
      <c r="Q171" s="246" t="s">
        <v>199</v>
      </c>
      <c r="R171" s="246" t="s">
        <v>5</v>
      </c>
      <c r="S171" s="246" t="s">
        <v>28</v>
      </c>
      <c r="T171" s="246" t="s">
        <v>19</v>
      </c>
      <c r="U171" s="246" t="s">
        <v>200</v>
      </c>
      <c r="V171" s="246" t="s">
        <v>20</v>
      </c>
      <c r="W171" s="246" t="s">
        <v>201</v>
      </c>
    </row>
    <row r="172" spans="1:23" s="1" customFormat="1" ht="18" customHeight="1">
      <c r="A172" s="200">
        <f>IF(B172="","",1)</f>
        <v>1</v>
      </c>
      <c r="B172" s="140" t="s">
        <v>111</v>
      </c>
      <c r="C172" s="140" t="s">
        <v>67</v>
      </c>
      <c r="D172" s="139" t="s">
        <v>74</v>
      </c>
      <c r="E172" s="143"/>
      <c r="F172" s="143" t="s">
        <v>74</v>
      </c>
      <c r="G172" s="143" t="s">
        <v>202</v>
      </c>
      <c r="H172" s="143">
        <v>16</v>
      </c>
      <c r="I172" s="130"/>
      <c r="J172" s="131">
        <f t="shared" ref="J172:J182" si="31">$J$120*H172</f>
        <v>16</v>
      </c>
      <c r="N172" s="101" t="s">
        <v>226</v>
      </c>
      <c r="O172" s="280" t="s">
        <v>252</v>
      </c>
      <c r="P172" s="290" t="s">
        <v>248</v>
      </c>
      <c r="Q172" s="280" t="s">
        <v>69</v>
      </c>
      <c r="R172" s="213"/>
      <c r="S172" s="213" t="s">
        <v>69</v>
      </c>
      <c r="T172" s="213" t="s">
        <v>198</v>
      </c>
      <c r="U172" s="291">
        <f>((($I$141*$G$141)+($I$142*$G$142)+($I$143*$G$143)+($I$144*$G$144)+($I$145*$G$145))/1000)*$J$120</f>
        <v>43.3125</v>
      </c>
      <c r="V172" s="291">
        <v>100</v>
      </c>
      <c r="W172" s="292">
        <f>ROUNDUP((U172)/100,0)</f>
        <v>1</v>
      </c>
    </row>
    <row r="173" spans="1:23" s="1" customFormat="1" ht="18" customHeight="1">
      <c r="A173" s="201">
        <f>IF(B173="","",+A172+1)</f>
        <v>2</v>
      </c>
      <c r="B173" s="140" t="s">
        <v>106</v>
      </c>
      <c r="C173" s="140" t="s">
        <v>503</v>
      </c>
      <c r="D173" s="139" t="s">
        <v>75</v>
      </c>
      <c r="E173" s="143"/>
      <c r="F173" s="143" t="s">
        <v>75</v>
      </c>
      <c r="G173" s="143" t="s">
        <v>202</v>
      </c>
      <c r="H173" s="143">
        <v>2</v>
      </c>
      <c r="I173" s="130"/>
      <c r="J173" s="131">
        <f t="shared" si="31"/>
        <v>2</v>
      </c>
      <c r="N173" s="101" t="s">
        <v>230</v>
      </c>
      <c r="O173" s="280" t="s">
        <v>253</v>
      </c>
      <c r="P173" s="290" t="s">
        <v>249</v>
      </c>
      <c r="Q173" s="280" t="s">
        <v>188</v>
      </c>
      <c r="R173" s="213"/>
      <c r="S173" s="213" t="s">
        <v>188</v>
      </c>
      <c r="T173" s="213" t="s">
        <v>198</v>
      </c>
      <c r="U173" s="291">
        <f>((($I$141*$G$141)+($I$142*$G$142)+($I$143*$G$143)+($I$144*$G$144)+($I$145*$G$145))/1000)*$J$120</f>
        <v>43.3125</v>
      </c>
      <c r="V173" s="291">
        <v>100</v>
      </c>
      <c r="W173" s="292">
        <f t="shared" ref="W173:W176" si="32">ROUNDUP((U173)/100,0)</f>
        <v>1</v>
      </c>
    </row>
    <row r="174" spans="1:23" s="1" customFormat="1" ht="18" customHeight="1">
      <c r="A174" s="201">
        <f t="shared" ref="A174:A203" si="33">IF(B174="","",+A173+1)</f>
        <v>3</v>
      </c>
      <c r="B174" s="140" t="s">
        <v>107</v>
      </c>
      <c r="C174" s="140" t="s">
        <v>504</v>
      </c>
      <c r="D174" s="139" t="s">
        <v>76</v>
      </c>
      <c r="E174" s="143"/>
      <c r="F174" s="143" t="s">
        <v>76</v>
      </c>
      <c r="G174" s="143" t="s">
        <v>202</v>
      </c>
      <c r="H174" s="143">
        <v>2</v>
      </c>
      <c r="I174" s="130"/>
      <c r="J174" s="131">
        <f t="shared" si="31"/>
        <v>2</v>
      </c>
      <c r="N174" s="101" t="s">
        <v>229</v>
      </c>
      <c r="O174" s="290" t="s">
        <v>254</v>
      </c>
      <c r="P174" s="290" t="s">
        <v>250</v>
      </c>
      <c r="Q174" s="280" t="s">
        <v>70</v>
      </c>
      <c r="R174" s="213"/>
      <c r="S174" s="213" t="s">
        <v>70</v>
      </c>
      <c r="T174" s="213" t="s">
        <v>198</v>
      </c>
      <c r="U174" s="291">
        <f>((($I$141*$G$141)+($I$142*$G$142)+($I$143*$G$143)+($I$144*$G$144)+($I$145*$G$145))/1000)*$J$120</f>
        <v>43.3125</v>
      </c>
      <c r="V174" s="291">
        <v>100</v>
      </c>
      <c r="W174" s="292">
        <f t="shared" si="32"/>
        <v>1</v>
      </c>
    </row>
    <row r="175" spans="1:23" s="1" customFormat="1" ht="18" customHeight="1">
      <c r="A175" s="201">
        <f t="shared" si="33"/>
        <v>4</v>
      </c>
      <c r="B175" s="140" t="s">
        <v>108</v>
      </c>
      <c r="C175" s="140" t="s">
        <v>10</v>
      </c>
      <c r="D175" s="139">
        <v>9</v>
      </c>
      <c r="E175" s="143"/>
      <c r="F175" s="143">
        <v>9</v>
      </c>
      <c r="G175" s="143" t="s">
        <v>202</v>
      </c>
      <c r="H175" s="143">
        <v>8</v>
      </c>
      <c r="I175" s="130"/>
      <c r="J175" s="131">
        <f t="shared" si="31"/>
        <v>8</v>
      </c>
      <c r="N175" s="101" t="s">
        <v>231</v>
      </c>
      <c r="O175" s="290" t="s">
        <v>255</v>
      </c>
      <c r="P175" s="290" t="s">
        <v>251</v>
      </c>
      <c r="Q175" s="280" t="s">
        <v>189</v>
      </c>
      <c r="R175" s="213"/>
      <c r="S175" s="213" t="s">
        <v>189</v>
      </c>
      <c r="T175" s="213" t="s">
        <v>198</v>
      </c>
      <c r="U175" s="291">
        <f>((($I$141*$G$141)+($I$142*$G$142)+($I$143*$G$143)+($I$144*$G$144)+($I$145*$G$145))/1000)*$J$120</f>
        <v>43.3125</v>
      </c>
      <c r="V175" s="291">
        <v>100</v>
      </c>
      <c r="W175" s="292">
        <f t="shared" si="32"/>
        <v>1</v>
      </c>
    </row>
    <row r="176" spans="1:23" s="1" customFormat="1" ht="18" customHeight="1">
      <c r="A176" s="201">
        <f t="shared" si="33"/>
        <v>5</v>
      </c>
      <c r="B176" s="140" t="s">
        <v>109</v>
      </c>
      <c r="C176" s="140" t="s">
        <v>68</v>
      </c>
      <c r="D176" s="139">
        <v>9</v>
      </c>
      <c r="E176" s="143"/>
      <c r="F176" s="143">
        <v>9</v>
      </c>
      <c r="G176" s="143" t="s">
        <v>202</v>
      </c>
      <c r="H176" s="143">
        <v>110</v>
      </c>
      <c r="I176" s="130"/>
      <c r="J176" s="131">
        <f t="shared" si="31"/>
        <v>110</v>
      </c>
      <c r="N176" s="101" t="s">
        <v>232</v>
      </c>
      <c r="O176" s="290" t="s">
        <v>256</v>
      </c>
      <c r="P176" s="290" t="s">
        <v>247</v>
      </c>
      <c r="Q176" s="280" t="s">
        <v>233</v>
      </c>
      <c r="R176" s="213"/>
      <c r="S176" s="213" t="s">
        <v>233</v>
      </c>
      <c r="T176" s="213" t="s">
        <v>198</v>
      </c>
      <c r="U176" s="291">
        <f>((($I$141*$G$141)+($I$142*$G$142)+($I$143*$G$143)+($I$144*$G$144)+($I$145*$G$145))/1000)*$J$120</f>
        <v>43.3125</v>
      </c>
      <c r="V176" s="291">
        <v>100</v>
      </c>
      <c r="W176" s="292">
        <f t="shared" si="32"/>
        <v>1</v>
      </c>
    </row>
    <row r="177" spans="1:24" s="1" customFormat="1" ht="18" customHeight="1">
      <c r="A177" s="201">
        <f t="shared" si="33"/>
        <v>6</v>
      </c>
      <c r="B177" s="140" t="s">
        <v>143</v>
      </c>
      <c r="C177" s="140" t="s">
        <v>121</v>
      </c>
      <c r="D177" s="139" t="s">
        <v>103</v>
      </c>
      <c r="E177" s="143"/>
      <c r="F177" s="143" t="s">
        <v>103</v>
      </c>
      <c r="G177" s="143" t="s">
        <v>185</v>
      </c>
      <c r="H177" s="143">
        <v>4</v>
      </c>
      <c r="I177" s="130"/>
      <c r="J177" s="131">
        <f t="shared" si="31"/>
        <v>4</v>
      </c>
    </row>
    <row r="178" spans="1:24" s="1" customFormat="1" ht="18" customHeight="1">
      <c r="A178" s="201">
        <f t="shared" si="33"/>
        <v>7</v>
      </c>
      <c r="B178" s="140" t="s">
        <v>118</v>
      </c>
      <c r="C178" s="140" t="s">
        <v>77</v>
      </c>
      <c r="D178" s="139" t="s">
        <v>80</v>
      </c>
      <c r="E178" s="143"/>
      <c r="F178" s="143" t="s">
        <v>80</v>
      </c>
      <c r="G178" s="143" t="s">
        <v>185</v>
      </c>
      <c r="H178" s="143">
        <v>1</v>
      </c>
      <c r="I178" s="130"/>
      <c r="J178" s="131">
        <f t="shared" si="31"/>
        <v>1</v>
      </c>
    </row>
    <row r="179" spans="1:24" s="1" customFormat="1" ht="18" customHeight="1">
      <c r="A179" s="201">
        <f t="shared" si="33"/>
        <v>8</v>
      </c>
      <c r="B179" s="140" t="s">
        <v>120</v>
      </c>
      <c r="C179" s="140" t="s">
        <v>94</v>
      </c>
      <c r="D179" s="139" t="s">
        <v>96</v>
      </c>
      <c r="E179" s="143"/>
      <c r="F179" s="143" t="s">
        <v>96</v>
      </c>
      <c r="G179" s="143" t="s">
        <v>185</v>
      </c>
      <c r="H179" s="143">
        <v>1</v>
      </c>
      <c r="I179" s="130"/>
      <c r="J179" s="131">
        <f t="shared" si="31"/>
        <v>1</v>
      </c>
    </row>
    <row r="180" spans="1:24" s="1" customFormat="1" ht="18" customHeight="1">
      <c r="A180" s="201">
        <f t="shared" si="33"/>
        <v>9</v>
      </c>
      <c r="B180" s="140" t="s">
        <v>131</v>
      </c>
      <c r="C180" s="140" t="s">
        <v>130</v>
      </c>
      <c r="D180" s="139" t="s">
        <v>129</v>
      </c>
      <c r="E180" s="143"/>
      <c r="F180" s="143" t="s">
        <v>129</v>
      </c>
      <c r="G180" s="143" t="s">
        <v>185</v>
      </c>
      <c r="H180" s="143">
        <v>1</v>
      </c>
      <c r="I180" s="130"/>
      <c r="J180" s="131">
        <f t="shared" si="31"/>
        <v>1</v>
      </c>
    </row>
    <row r="181" spans="1:24" s="1" customFormat="1" ht="18" customHeight="1">
      <c r="A181" s="201">
        <f t="shared" si="33"/>
        <v>10</v>
      </c>
      <c r="B181" s="140" t="s">
        <v>131</v>
      </c>
      <c r="C181" s="140" t="s">
        <v>100</v>
      </c>
      <c r="D181" s="139" t="s">
        <v>102</v>
      </c>
      <c r="E181" s="143"/>
      <c r="F181" s="143" t="s">
        <v>102</v>
      </c>
      <c r="G181" s="143" t="s">
        <v>185</v>
      </c>
      <c r="H181" s="143">
        <v>2</v>
      </c>
      <c r="I181" s="130"/>
      <c r="J181" s="131">
        <f t="shared" si="31"/>
        <v>2</v>
      </c>
      <c r="N181" s="56"/>
      <c r="O181" s="56"/>
      <c r="P181" s="56"/>
      <c r="Q181" s="289"/>
      <c r="R181" s="289"/>
      <c r="S181" s="289"/>
      <c r="T181" s="17"/>
      <c r="U181" s="17"/>
      <c r="V181" s="17"/>
      <c r="W181" s="56"/>
    </row>
    <row r="182" spans="1:24" s="1" customFormat="1" ht="18" customHeight="1">
      <c r="A182" s="201">
        <f t="shared" si="33"/>
        <v>11</v>
      </c>
      <c r="B182" s="140" t="s">
        <v>113</v>
      </c>
      <c r="C182" s="140" t="s">
        <v>502</v>
      </c>
      <c r="D182" s="139" t="s">
        <v>83</v>
      </c>
      <c r="E182" s="143"/>
      <c r="F182" s="143" t="s">
        <v>83</v>
      </c>
      <c r="G182" s="143" t="s">
        <v>185</v>
      </c>
      <c r="H182" s="143">
        <v>4</v>
      </c>
      <c r="I182" s="144"/>
      <c r="J182" s="131">
        <f t="shared" si="31"/>
        <v>4</v>
      </c>
      <c r="N182" s="101" t="s">
        <v>227</v>
      </c>
      <c r="O182" s="246" t="s">
        <v>29</v>
      </c>
      <c r="P182" s="246" t="s">
        <v>3</v>
      </c>
      <c r="Q182" s="246" t="s">
        <v>199</v>
      </c>
      <c r="R182" s="246" t="s">
        <v>5</v>
      </c>
      <c r="S182" s="246" t="s">
        <v>28</v>
      </c>
      <c r="T182" s="246" t="s">
        <v>19</v>
      </c>
      <c r="U182" s="246" t="s">
        <v>200</v>
      </c>
      <c r="V182" s="246" t="s">
        <v>20</v>
      </c>
      <c r="W182" s="246" t="s">
        <v>201</v>
      </c>
    </row>
    <row r="183" spans="1:24" s="1" customFormat="1" ht="18" customHeight="1">
      <c r="A183" s="201">
        <f t="shared" si="33"/>
        <v>12</v>
      </c>
      <c r="B183" s="140" t="s">
        <v>112</v>
      </c>
      <c r="C183" s="140" t="s">
        <v>114</v>
      </c>
      <c r="D183" s="128" t="s">
        <v>520</v>
      </c>
      <c r="E183" s="129"/>
      <c r="F183" s="129" t="s">
        <v>520</v>
      </c>
      <c r="G183" s="143" t="s">
        <v>202</v>
      </c>
      <c r="H183" s="143">
        <v>8</v>
      </c>
      <c r="I183" s="130"/>
      <c r="J183" s="131">
        <f>$J$120*H183</f>
        <v>8</v>
      </c>
      <c r="N183" s="101" t="s">
        <v>240</v>
      </c>
      <c r="O183" s="290" t="s">
        <v>234</v>
      </c>
      <c r="P183" s="290" t="s">
        <v>236</v>
      </c>
      <c r="Q183" s="280" t="s">
        <v>190</v>
      </c>
      <c r="R183" s="213"/>
      <c r="S183" s="213" t="s">
        <v>190</v>
      </c>
      <c r="T183" s="213" t="s">
        <v>198</v>
      </c>
      <c r="U183" s="291">
        <f>((($I$134*$G$134)+($I$136*$G$136)+($I$139*$G$139))/1000)*$J$120</f>
        <v>10.497999999999999</v>
      </c>
      <c r="V183" s="291">
        <v>300</v>
      </c>
      <c r="W183" s="292">
        <f>ROUNDUP((U183)/V183,0)</f>
        <v>1</v>
      </c>
    </row>
    <row r="184" spans="1:24" s="1" customFormat="1" ht="18" customHeight="1">
      <c r="A184" s="201">
        <f t="shared" si="33"/>
        <v>13</v>
      </c>
      <c r="B184" s="140" t="s">
        <v>115</v>
      </c>
      <c r="C184" s="140" t="s">
        <v>45</v>
      </c>
      <c r="D184" s="139" t="s">
        <v>84</v>
      </c>
      <c r="E184" s="143"/>
      <c r="F184" s="143" t="s">
        <v>84</v>
      </c>
      <c r="G184" s="143" t="s">
        <v>202</v>
      </c>
      <c r="H184" s="143">
        <v>1</v>
      </c>
      <c r="I184" s="130"/>
      <c r="J184" s="131">
        <f>$J$120*H184</f>
        <v>1</v>
      </c>
      <c r="N184" s="101" t="s">
        <v>241</v>
      </c>
      <c r="O184" s="290" t="s">
        <v>235</v>
      </c>
      <c r="P184" s="290" t="s">
        <v>238</v>
      </c>
      <c r="Q184" s="280" t="s">
        <v>71</v>
      </c>
      <c r="R184" s="213"/>
      <c r="S184" s="213" t="s">
        <v>71</v>
      </c>
      <c r="T184" s="213" t="s">
        <v>198</v>
      </c>
      <c r="U184" s="291">
        <f>((($I$134*$G$134)+($I$136*$G$136)+($I$139*$G$139))/1000)*$J$120</f>
        <v>10.497999999999999</v>
      </c>
      <c r="V184" s="291">
        <v>100</v>
      </c>
      <c r="W184" s="292">
        <f t="shared" ref="W184:W186" si="34">ROUNDUP((U184)/V184,0)</f>
        <v>1</v>
      </c>
    </row>
    <row r="185" spans="1:24" s="1" customFormat="1" ht="18" customHeight="1">
      <c r="A185" s="201">
        <f t="shared" si="33"/>
        <v>14</v>
      </c>
      <c r="B185" s="140" t="s">
        <v>110</v>
      </c>
      <c r="C185" s="140" t="s">
        <v>66</v>
      </c>
      <c r="D185" s="139" t="s">
        <v>73</v>
      </c>
      <c r="E185" s="143"/>
      <c r="F185" s="143" t="s">
        <v>73</v>
      </c>
      <c r="G185" s="143" t="s">
        <v>202</v>
      </c>
      <c r="H185" s="143">
        <v>4</v>
      </c>
      <c r="I185" s="258"/>
      <c r="J185" s="131">
        <f>$J$120*H185</f>
        <v>4</v>
      </c>
      <c r="N185" s="101" t="s">
        <v>240</v>
      </c>
      <c r="O185" s="290" t="s">
        <v>245</v>
      </c>
      <c r="P185" s="290" t="s">
        <v>237</v>
      </c>
      <c r="Q185" s="280" t="s">
        <v>72</v>
      </c>
      <c r="R185" s="213"/>
      <c r="S185" s="213" t="s">
        <v>72</v>
      </c>
      <c r="T185" s="213" t="s">
        <v>198</v>
      </c>
      <c r="U185" s="291">
        <f>((($I$141*$G$141*2)+($I$143*$G$143*2)+($I$144*$G$144*2))/1000)*$J$120</f>
        <v>71.008499999999998</v>
      </c>
      <c r="V185" s="291">
        <v>350</v>
      </c>
      <c r="W185" s="292">
        <f t="shared" si="34"/>
        <v>1</v>
      </c>
    </row>
    <row r="186" spans="1:24" s="1" customFormat="1" ht="18" customHeight="1">
      <c r="A186" s="201">
        <f t="shared" si="33"/>
        <v>15</v>
      </c>
      <c r="B186" s="139" t="str">
        <f>IF($D$129="Standard",$O$183,IF($D$129="Soumdproof",$O$184,))</f>
        <v>ยางเฟรมกันน้ำ (ธรรมดา)</v>
      </c>
      <c r="C186" s="139" t="str">
        <f>IF($D$129="Standard",$P$183,IF($D$129="Soumdproof",$P$184,))</f>
        <v>FRAME SEAL (Standard)</v>
      </c>
      <c r="D186" s="139" t="str">
        <f>IF($D$129="Standard",$Q$183,IF($D$129="Soumdproof",$Q$184,))</f>
        <v>02-026</v>
      </c>
      <c r="E186" s="143">
        <f>IF($D$129="Standard",R188,IF($D$129="Soumdproof",R189,))</f>
        <v>0</v>
      </c>
      <c r="F186" s="143" t="str">
        <f>IF($D$129="Standard",$S$183,IF($D$129="Soumdproof",$S$184,))</f>
        <v>02-026</v>
      </c>
      <c r="G186" s="143" t="str">
        <f>IF($D$129="Standard",$T$183,IF($D$129="Soumdproof",$T$184,))</f>
        <v>M</v>
      </c>
      <c r="H186" s="261">
        <f>IF($D$129="Standard",$U$183,IF($D$129="Soumdproof",$U$184,))</f>
        <v>10.497999999999999</v>
      </c>
      <c r="I186" s="258">
        <f>IF($D$129="Standard",$V$183,IF($D$129="Soumdproof",$V$184,))</f>
        <v>300</v>
      </c>
      <c r="J186" s="267">
        <f>ROUNDUP((H186)/100,0)</f>
        <v>1</v>
      </c>
      <c r="N186" s="101" t="s">
        <v>241</v>
      </c>
      <c r="O186" s="290" t="s">
        <v>246</v>
      </c>
      <c r="P186" s="290" t="s">
        <v>239</v>
      </c>
      <c r="Q186" s="280" t="s">
        <v>193</v>
      </c>
      <c r="R186" s="213"/>
      <c r="S186" s="213" t="s">
        <v>193</v>
      </c>
      <c r="T186" s="213" t="s">
        <v>198</v>
      </c>
      <c r="U186" s="291">
        <f>((($I$141*$G$141*2)+($I$143*$G$143*2)+($I$144*$G$144*2))/1000)*$J$120</f>
        <v>71.008499999999998</v>
      </c>
      <c r="V186" s="291">
        <v>100</v>
      </c>
      <c r="W186" s="292">
        <f t="shared" si="34"/>
        <v>1</v>
      </c>
    </row>
    <row r="187" spans="1:24" s="1" customFormat="1" ht="18" customHeight="1">
      <c r="A187" s="201">
        <f t="shared" si="33"/>
        <v>16</v>
      </c>
      <c r="B187" s="139" t="str">
        <f>IF($D$129="Standard",$O$185,IF($D$129="Soumdproof",$O$186,))</f>
        <v>ยางแซชกันน้ำ (ธรรมดา)</v>
      </c>
      <c r="C187" s="139" t="str">
        <f>IF($D$129="Standard",$P$185,IF($D$129="Soumdproof",$P$186,))</f>
        <v>SASH SEAL FOAM (Standard)</v>
      </c>
      <c r="D187" s="139" t="str">
        <f>IF($D$129="Standard",$Q$185,IF($D$129="Soumdproof",$Q$186,))</f>
        <v>02-031</v>
      </c>
      <c r="E187" s="143">
        <f>IF($D$129="Standard",R190,IF($D$129="Soumdproof",R191,))</f>
        <v>0</v>
      </c>
      <c r="F187" s="143" t="str">
        <f>IF($D$129="Standard",$S$185,IF($D$129="Soumdproof",$S$186,))</f>
        <v>02-031</v>
      </c>
      <c r="G187" s="143" t="str">
        <f>IF($D$129="Standard",$T$185,IF($D$129="Soumdproof",$T$186,))</f>
        <v>M</v>
      </c>
      <c r="H187" s="261">
        <f>IF($D$129="Standard",$U$185,IF($D$129="Soumdproof",$U$186,))</f>
        <v>71.008499999999998</v>
      </c>
      <c r="I187" s="258">
        <f>IF($D$129="Standard",$V$185,IF($D$129="Soumdproof",$V$186,))</f>
        <v>350</v>
      </c>
      <c r="J187" s="267">
        <f t="shared" ref="J187:J189" si="35">ROUNDUP((H187)/100,0)</f>
        <v>1</v>
      </c>
    </row>
    <row r="188" spans="1:24" s="1" customFormat="1" ht="18" customHeight="1">
      <c r="A188" s="201">
        <f t="shared" si="33"/>
        <v>17</v>
      </c>
      <c r="B188" s="241" t="str">
        <f>IF($D$127=5,$O$174,IF($D$127=6,$O$175,IF($D$127=8,$O$176,IF($D$127=10,$O$174,IF($D$127=12,$O$174,IF($D$127=14,$O$176,IF($D$127=18,$O$174,IF($D$127=20,$O$175,IF($D$127=22,"")))))))))</f>
        <v>6,20 mm ยางอัดกระจก</v>
      </c>
      <c r="C188" s="241" t="str">
        <f>IF($D$127=5,$P$174,IF($D$127=6,$P$175,IF($D$127=8,$P$176,IF($D$127=10,$P$174,IF($D$127=12,$P$174,IF($D$127=14,$P$176,IF($D$127=18,$P$174,IF($D$127=20,$P$175,IF($D$127=22,"")))))))))</f>
        <v>6,20 mm ROLL IN WEDGE</v>
      </c>
      <c r="D188" s="241" t="str">
        <f>IF($D$127=5,$Q$174,IF($D$127=6,$Q$175,IF($D$127=8,$Q$176,IF($D$127=10,$Q$174,IF($D$127=12,$Q$174,IF($D$127=14,$Q$176,IF($D$127=18,$Q$174,IF($D$127=20,$Q$175,IF($D$127=22,"")))))))))</f>
        <v>02-034</v>
      </c>
      <c r="E188" s="241">
        <f>IF($D$127=5,R179,IF($D$127=6,R180,IF($D$127=8,R181,IF($D$127=10,R179,IF($D$127=12,R179,IF($D$127=14,R181,IF($D$127=18,R179,IF($D$127=20,R180,IF($D$127=22,"",)))))))))</f>
        <v>0</v>
      </c>
      <c r="F188" s="242" t="str">
        <f>IF($D$127=5,$S$174,IF($D$127=6,$S$175,IF($D$127=8,$S$176,IF($D$127=10,$S$174,IF($D$127=12,$S$174,IF($D$127=14,$S$176,IF($D$127=18,$S$174,IF($D$127=20,$S$175,IF($D$127=22,"")))))))))</f>
        <v>02-034</v>
      </c>
      <c r="G188" s="242" t="str">
        <f>IF($D$127=5,$T$174,IF($D$127=6,$T$175,IF($D$127=8,$T$176,IF($D$127=10,$T$174,IF($D$127=12,$T$174,IF($D$127=14,$T$176,IF($D$127=18,$T$174,IF($D$127=20,$T$175,IF($D$127=22,"")))))))))</f>
        <v>M</v>
      </c>
      <c r="H188" s="261">
        <f>IF($D$127=5,$U$174,IF($D$127=6,$U$175,IF($D$127=8,$U$176,IF($D$127=10,$U$174*2,IF($D$127=12,$U$174,IF($D$127=14,$U$176*2,IF($D$127=18,$U$174,IF($D$127=20,$U$175,IF($D$127=22,"")))))))))</f>
        <v>43.3125</v>
      </c>
      <c r="I188" s="258">
        <f>IF($D$127=5,$V$174,IF($D$127=6,$V$175,IF($D$127=8,$V$176,IF($D$127=10,$V$174,IF($D$127=12,$V$174,IF($D$127=14,$V$176,IF($D$127=18,$V$174,IF($D$127=20,$V$175,IF($D$127=22,"")))))))))</f>
        <v>100</v>
      </c>
      <c r="J188" s="267">
        <f t="shared" si="35"/>
        <v>1</v>
      </c>
    </row>
    <row r="189" spans="1:24" s="1" customFormat="1" ht="18" customHeight="1">
      <c r="A189" s="201">
        <f t="shared" si="33"/>
        <v>18</v>
      </c>
      <c r="B189" s="241" t="str">
        <f>IF($D$127=5,$O$172,IF($D$127=6,$O$172,IF($D$127=8,$O$174,IF($D$127=10,"",IF($D$127=12,$O$173,IF($D$127=14,"",IF($D$127=18,$O$172,IF($D$127=20,$O$173,IF($D$127=22,"",)))))))))</f>
        <v>5,6,18 mm ยางรองกระจก</v>
      </c>
      <c r="C189" s="241" t="str">
        <f>IF($D$127=5,$P$172,IF($D$127=6,$P$172,IF($D$127=8,$P$174,IF($D$127=10,"",IF($D$127=12,$P$173,IF($D$127=14,"",IF($D$127=18,$P$172,IF($D$127=20,$P$173,IF($D$127=22,"",)))))))))</f>
        <v>5,6,18 mm CAPTIVE WEDGE</v>
      </c>
      <c r="D189" s="241" t="str">
        <f>IF($D$127=5,$Q$172,IF($D$127=6,$Q$172,IF($D$127=8,$Q$174,IF($D$127=10,"",IF($D$127=12,$Q$173,IF($D$127=14,"",IF($D$127=18,$Q$172,IF($D$127=20,$Q$173,IF($D$127=22,"",)))))))))</f>
        <v>02-022</v>
      </c>
      <c r="E189" s="241">
        <f>IF($D$127=5,R177,IF($D$127=6,R177,IF($D$127=8,R179,IF($D$127=10,"",IF($D$127=12,R178,IF($D$127=14,"",IF($D$127=18,R177,IF($D$127=20,R178,IF($D$127=22,"",)))))))))</f>
        <v>0</v>
      </c>
      <c r="F189" s="242" t="str">
        <f>IF($D$127=5,$S$172,IF($D$127=6,$S$172,IF($D$127=8,$S$174,IF($D$127=10,"",IF($D$127=12,$S$173,IF($D$127=14,"",IF($D$127=18,$S$172,IF($D$127=20,$S$173,IF($D$127=22,"",)))))))))</f>
        <v>02-022</v>
      </c>
      <c r="G189" s="242" t="str">
        <f>IF($D$127=5,$T$172,IF($D$127=6,$T$172,IF($D$127=8,$T$174,IF($D$127=10,"",IF($D$127=12,$T$173,IF($D$127=14,"",IF($D$127=18,$T$172,IF($D$127=20,$T$173,IF($D$127=22,"",)))))))))</f>
        <v>M</v>
      </c>
      <c r="H189" s="261">
        <f>IF($D$127=5,$U$172,IF($D$127=6,$U$172,IF($D$127=8,$U$174,IF($D$127=10,"",IF($D$127=12,$U$173,IF($D$127=14,"",IF($D$127=18,$U$172,IF($D$127=20,$U$173,IF($D$127=22,"")))))))))</f>
        <v>43.3125</v>
      </c>
      <c r="I189" s="258">
        <f>IF($D$127=5,$V$172,IF($D$127=6,$V$172,IF($D$127=8,$V$174,IF($D$127=10,"",IF($D$127=12,$V$173,IF($D$127=14,"",IF($D$127=18,$V$172,IF($D$127=20,$V$173,IF($D$127=22,"",)))))))))</f>
        <v>100</v>
      </c>
      <c r="J189" s="267">
        <f t="shared" si="35"/>
        <v>1</v>
      </c>
    </row>
    <row r="190" spans="1:24" s="1" customFormat="1" ht="18" customHeight="1">
      <c r="A190" s="201" t="str">
        <f t="shared" si="33"/>
        <v/>
      </c>
      <c r="B190" s="140"/>
      <c r="C190" s="140"/>
      <c r="D190" s="139"/>
      <c r="E190" s="143"/>
      <c r="F190" s="143"/>
      <c r="G190" s="143"/>
      <c r="H190" s="143"/>
      <c r="I190" s="130"/>
      <c r="J190" s="131"/>
    </row>
    <row r="191" spans="1:24" s="1" customFormat="1" ht="18" customHeight="1">
      <c r="A191" s="201" t="str">
        <f t="shared" si="33"/>
        <v/>
      </c>
      <c r="B191" s="140"/>
      <c r="C191" s="140"/>
      <c r="D191" s="139"/>
      <c r="E191" s="143"/>
      <c r="F191" s="143"/>
      <c r="G191" s="143"/>
      <c r="H191" s="143"/>
      <c r="I191" s="130"/>
      <c r="J191" s="131"/>
    </row>
    <row r="192" spans="1:24" ht="18" customHeight="1">
      <c r="A192" s="201" t="str">
        <f t="shared" si="33"/>
        <v/>
      </c>
      <c r="B192" s="140"/>
      <c r="C192" s="140"/>
      <c r="D192" s="140"/>
      <c r="E192" s="140"/>
      <c r="F192" s="140"/>
      <c r="G192" s="140"/>
      <c r="H192" s="140"/>
      <c r="I192" s="354"/>
      <c r="J192" s="354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14" s="1" customFormat="1" ht="18" customHeight="1">
      <c r="A193" s="201" t="str">
        <f t="shared" si="33"/>
        <v/>
      </c>
      <c r="B193" s="140"/>
      <c r="C193" s="140"/>
      <c r="D193" s="139"/>
      <c r="E193" s="143"/>
      <c r="F193" s="143"/>
      <c r="G193" s="143"/>
      <c r="H193" s="143"/>
      <c r="I193" s="130"/>
      <c r="J193" s="131"/>
    </row>
    <row r="194" spans="1:14" s="1" customFormat="1" ht="18" customHeight="1">
      <c r="A194" s="201" t="str">
        <f t="shared" si="33"/>
        <v/>
      </c>
      <c r="B194" s="140"/>
      <c r="C194" s="140"/>
      <c r="D194" s="139"/>
      <c r="E194" s="143"/>
      <c r="F194" s="143"/>
      <c r="G194" s="143"/>
      <c r="H194" s="261"/>
      <c r="I194" s="258"/>
      <c r="J194" s="267"/>
    </row>
    <row r="195" spans="1:14" s="1" customFormat="1" ht="18" customHeight="1">
      <c r="A195" s="201" t="str">
        <f t="shared" si="33"/>
        <v/>
      </c>
      <c r="B195" s="140"/>
      <c r="C195" s="140"/>
      <c r="D195" s="139"/>
      <c r="E195" s="143"/>
      <c r="F195" s="143"/>
      <c r="G195" s="143"/>
      <c r="H195" s="261"/>
      <c r="I195" s="258"/>
      <c r="J195" s="267"/>
    </row>
    <row r="196" spans="1:14" s="1" customFormat="1" ht="18" customHeight="1">
      <c r="A196" s="201" t="str">
        <f t="shared" si="33"/>
        <v/>
      </c>
      <c r="B196" s="140"/>
      <c r="C196" s="140"/>
      <c r="D196" s="139"/>
      <c r="E196" s="143"/>
      <c r="F196" s="143"/>
      <c r="G196" s="143"/>
      <c r="H196" s="261"/>
      <c r="I196" s="258"/>
      <c r="J196" s="267"/>
    </row>
    <row r="197" spans="1:14" s="1" customFormat="1" ht="18" customHeight="1">
      <c r="A197" s="201" t="str">
        <f t="shared" si="33"/>
        <v/>
      </c>
      <c r="B197" s="140"/>
      <c r="C197" s="140"/>
      <c r="D197" s="139"/>
      <c r="E197" s="143"/>
      <c r="F197" s="143"/>
      <c r="G197" s="143"/>
      <c r="H197" s="261"/>
      <c r="I197" s="258"/>
      <c r="J197" s="267"/>
    </row>
    <row r="198" spans="1:14" s="1" customFormat="1" ht="18" customHeight="1">
      <c r="A198" s="201" t="str">
        <f t="shared" si="33"/>
        <v/>
      </c>
      <c r="B198" s="140"/>
      <c r="C198" s="140"/>
      <c r="D198" s="139"/>
      <c r="E198" s="143"/>
      <c r="F198" s="143"/>
      <c r="G198" s="143"/>
      <c r="H198" s="261"/>
      <c r="I198" s="258"/>
      <c r="J198" s="267"/>
    </row>
    <row r="199" spans="1:14" s="1" customFormat="1" ht="18" customHeight="1">
      <c r="A199" s="201" t="str">
        <f t="shared" si="33"/>
        <v/>
      </c>
      <c r="B199" s="140"/>
      <c r="C199" s="140"/>
      <c r="D199" s="139"/>
      <c r="E199" s="143"/>
      <c r="F199" s="143"/>
      <c r="G199" s="143"/>
      <c r="H199" s="261"/>
      <c r="I199" s="258"/>
      <c r="J199" s="267"/>
    </row>
    <row r="200" spans="1:14" s="1" customFormat="1" ht="18" customHeight="1">
      <c r="A200" s="201" t="str">
        <f t="shared" si="33"/>
        <v/>
      </c>
      <c r="B200" s="140"/>
      <c r="C200" s="140"/>
      <c r="D200" s="139"/>
      <c r="E200" s="143"/>
      <c r="F200" s="143"/>
      <c r="G200" s="143"/>
      <c r="H200" s="261"/>
      <c r="I200" s="258"/>
      <c r="J200" s="267"/>
    </row>
    <row r="201" spans="1:14" s="1" customFormat="1" ht="18" customHeight="1">
      <c r="A201" s="201" t="str">
        <f t="shared" si="33"/>
        <v/>
      </c>
      <c r="B201" s="140"/>
      <c r="C201" s="140"/>
      <c r="D201" s="139"/>
      <c r="E201" s="143"/>
      <c r="F201" s="143"/>
      <c r="G201" s="143"/>
      <c r="H201" s="261"/>
      <c r="I201" s="258"/>
      <c r="J201" s="267"/>
    </row>
    <row r="202" spans="1:14" s="1" customFormat="1" ht="18" customHeight="1">
      <c r="A202" s="201" t="str">
        <f t="shared" si="33"/>
        <v/>
      </c>
      <c r="B202" s="140"/>
      <c r="C202" s="140"/>
      <c r="D202" s="139"/>
      <c r="E202" s="143"/>
      <c r="F202" s="143"/>
      <c r="G202" s="143"/>
      <c r="H202" s="261"/>
      <c r="I202" s="258"/>
      <c r="J202" s="267"/>
    </row>
    <row r="203" spans="1:14" s="1" customFormat="1" ht="18" customHeight="1">
      <c r="A203" s="201" t="str">
        <f t="shared" si="33"/>
        <v/>
      </c>
      <c r="B203" s="140"/>
      <c r="C203" s="140"/>
      <c r="D203" s="139"/>
      <c r="E203" s="143"/>
      <c r="F203" s="143"/>
      <c r="G203" s="143"/>
      <c r="H203" s="261"/>
      <c r="I203" s="258"/>
      <c r="J203" s="267"/>
    </row>
    <row r="204" spans="1:14" s="1" customFormat="1" ht="18" customHeight="1">
      <c r="A204" s="317" t="str">
        <f t="shared" ref="A204" si="36">IF(B204="","",+A203+1)</f>
        <v/>
      </c>
      <c r="B204" s="142"/>
      <c r="C204" s="142"/>
      <c r="D204" s="141"/>
      <c r="E204" s="240"/>
      <c r="F204" s="240"/>
      <c r="G204" s="240"/>
      <c r="H204" s="240"/>
      <c r="I204" s="136"/>
      <c r="J204" s="293">
        <f t="shared" ref="J204" si="37">$J$120*G204</f>
        <v>0</v>
      </c>
    </row>
    <row r="205" spans="1:14" s="1" customFormat="1" ht="18" customHeight="1">
      <c r="A205" s="25"/>
      <c r="B205" s="161"/>
      <c r="C205" s="33"/>
      <c r="D205" s="30"/>
      <c r="E205" s="17"/>
      <c r="F205" s="30"/>
      <c r="G205" s="30"/>
      <c r="H205" s="161"/>
      <c r="I205" s="24"/>
      <c r="J205" s="24"/>
    </row>
    <row r="206" spans="1:14" ht="18" customHeight="1">
      <c r="A206" s="17"/>
      <c r="J206" s="99" t="str">
        <f>LEFT($J$111,13)&amp;"-02"</f>
        <v>FG-240-8P4L4R-02</v>
      </c>
    </row>
    <row r="207" spans="1:14" ht="12.75" customHeight="1">
      <c r="B207" s="56"/>
      <c r="C207" s="56"/>
      <c r="D207" s="30"/>
      <c r="E207" s="17"/>
      <c r="F207" s="17"/>
      <c r="G207" s="17"/>
      <c r="H207" s="17"/>
      <c r="K207" s="7"/>
      <c r="L207" s="7"/>
      <c r="M207" s="2"/>
      <c r="N207" s="2"/>
    </row>
    <row r="208" spans="1:14" ht="30" customHeight="1">
      <c r="I208" s="95"/>
      <c r="J208" s="90" t="str">
        <f>$J$2</f>
        <v>HOMELIFE</v>
      </c>
      <c r="K208" s="11"/>
      <c r="L208" s="11"/>
      <c r="M208" s="2"/>
      <c r="N208" s="2"/>
    </row>
    <row r="209" spans="1:14" ht="24.9" customHeight="1">
      <c r="B209" s="279"/>
      <c r="C209" s="5"/>
      <c r="D209" s="95"/>
      <c r="E209" s="95"/>
      <c r="F209" s="95"/>
      <c r="G209" s="95"/>
      <c r="H209" s="95"/>
      <c r="I209" s="28"/>
      <c r="J209" s="91" t="str">
        <f>$J$3</f>
        <v>Fabricators Guide</v>
      </c>
      <c r="K209" s="11"/>
      <c r="L209" s="11"/>
      <c r="M209" s="2"/>
      <c r="N209" s="2"/>
    </row>
    <row r="210" spans="1:14" ht="24.9" customHeight="1">
      <c r="B210" s="279"/>
      <c r="C210" s="28"/>
      <c r="D210" s="28"/>
      <c r="E210" s="28"/>
      <c r="F210" s="28"/>
      <c r="G210" s="28"/>
      <c r="H210" s="28"/>
      <c r="I210" s="28"/>
      <c r="J210" s="91" t="str">
        <f>$J$4</f>
        <v xml:space="preserve">240 Series Bi Fold Door </v>
      </c>
      <c r="K210" s="48"/>
      <c r="L210" s="48"/>
      <c r="M210" s="4"/>
      <c r="N210" s="4"/>
    </row>
    <row r="211" spans="1:14" s="1" customFormat="1" ht="15" customHeight="1" thickBot="1">
      <c r="A211" s="78"/>
      <c r="B211" s="8"/>
      <c r="C211" s="28"/>
      <c r="D211" s="28"/>
      <c r="E211" s="28"/>
      <c r="F211" s="28"/>
      <c r="G211" s="28"/>
      <c r="H211" s="28"/>
      <c r="I211" s="78"/>
      <c r="J211" s="113"/>
      <c r="K211" s="4"/>
      <c r="L211" s="4"/>
      <c r="M211" s="4"/>
      <c r="N211" s="4"/>
    </row>
    <row r="212" spans="1:14" s="1" customFormat="1" ht="24.9" customHeight="1" thickBot="1">
      <c r="A212" s="502" t="s">
        <v>30</v>
      </c>
      <c r="B212" s="503"/>
      <c r="C212" s="503"/>
      <c r="D212" s="503"/>
      <c r="E212" s="503"/>
      <c r="F212" s="503"/>
      <c r="G212" s="503"/>
      <c r="H212" s="503"/>
      <c r="I212" s="503"/>
      <c r="J212" s="504"/>
      <c r="K212" s="56"/>
      <c r="L212" s="56"/>
      <c r="M212" s="56"/>
      <c r="N212" s="56"/>
    </row>
    <row r="214" spans="1:14" s="1" customFormat="1" ht="15" customHeight="1">
      <c r="A214" s="93"/>
      <c r="B214"/>
      <c r="C214"/>
      <c r="D214" s="81"/>
      <c r="E214"/>
      <c r="F214"/>
      <c r="G214"/>
      <c r="H214"/>
      <c r="I214" s="160"/>
      <c r="J214" s="116"/>
    </row>
    <row r="215" spans="1:14" s="1" customFormat="1" ht="15" customHeight="1">
      <c r="A215" s="17"/>
      <c r="B215" s="93"/>
      <c r="C215" s="56"/>
      <c r="D215" s="30"/>
      <c r="E215" s="29"/>
      <c r="F215" s="160"/>
      <c r="G215" s="160"/>
      <c r="H215" s="160"/>
      <c r="J215" s="17"/>
    </row>
    <row r="216" spans="1:14" s="1" customFormat="1" ht="15" customHeight="1">
      <c r="A216" s="17"/>
      <c r="B216" s="56"/>
      <c r="C216" s="328"/>
      <c r="D216" s="30"/>
      <c r="E216" s="29"/>
      <c r="F216" s="30"/>
      <c r="J216" s="17"/>
    </row>
    <row r="217" spans="1:14" s="1" customFormat="1" ht="15.6">
      <c r="A217" s="109"/>
      <c r="B217" s="33"/>
      <c r="C217" s="349"/>
      <c r="D217" s="161"/>
      <c r="E217" s="109"/>
      <c r="F217" s="161"/>
      <c r="H217" s="328"/>
      <c r="J217" s="109"/>
    </row>
    <row r="218" spans="1:14" s="1" customFormat="1" ht="15" customHeight="1">
      <c r="A218" s="93"/>
      <c r="B218" s="93"/>
      <c r="C218" s="56"/>
      <c r="D218" s="30"/>
      <c r="E218" s="29"/>
      <c r="F218" s="160"/>
      <c r="H218" s="328"/>
      <c r="I218" s="109"/>
      <c r="J218" s="109"/>
    </row>
    <row r="219" spans="1:14" s="1" customFormat="1" ht="15" customHeight="1">
      <c r="A219" s="17"/>
      <c r="B219" s="56"/>
      <c r="C219" s="89" t="s">
        <v>272</v>
      </c>
      <c r="D219" s="30"/>
      <c r="E219" s="29"/>
      <c r="F219" s="30"/>
      <c r="I219" s="109"/>
      <c r="J219" s="109"/>
    </row>
    <row r="220" spans="1:14" s="1" customFormat="1" ht="15" customHeight="1">
      <c r="A220" s="17"/>
      <c r="B220" s="56"/>
      <c r="C220" s="328" t="s">
        <v>275</v>
      </c>
      <c r="D220" s="30"/>
      <c r="E220" s="29"/>
      <c r="F220" s="30"/>
      <c r="H220" s="89"/>
      <c r="J220" s="12"/>
    </row>
    <row r="221" spans="1:14" s="1" customFormat="1" ht="15" customHeight="1">
      <c r="A221" s="109"/>
      <c r="B221" s="33"/>
      <c r="C221" s="349" t="s">
        <v>273</v>
      </c>
      <c r="D221" s="161"/>
      <c r="E221" s="109"/>
      <c r="F221" s="161"/>
      <c r="J221" s="12"/>
    </row>
    <row r="222" spans="1:14" s="1" customFormat="1" ht="15" customHeight="1">
      <c r="A222" s="109"/>
      <c r="B222" s="33"/>
      <c r="C222" s="374">
        <f>$I$133</f>
        <v>4110</v>
      </c>
      <c r="D222" s="161"/>
      <c r="E222" s="35"/>
      <c r="F222" s="161"/>
      <c r="G222" s="68"/>
      <c r="J222" s="12"/>
    </row>
    <row r="223" spans="1:14" s="1" customFormat="1" ht="15" customHeight="1">
      <c r="A223" s="109"/>
      <c r="B223" s="33"/>
      <c r="C223" s="363">
        <f>$J$133</f>
        <v>1</v>
      </c>
      <c r="D223" s="161"/>
      <c r="E223" s="35"/>
      <c r="F223" s="161"/>
      <c r="G223" s="347"/>
      <c r="I223" s="109"/>
      <c r="J223" s="109"/>
    </row>
    <row r="224" spans="1:14" s="1" customFormat="1" ht="15" customHeight="1">
      <c r="A224" s="109"/>
      <c r="B224" s="33"/>
      <c r="D224" s="161"/>
      <c r="E224" s="109"/>
      <c r="F224" s="161"/>
      <c r="G224" s="347"/>
      <c r="I224" s="109"/>
      <c r="J224" s="109"/>
    </row>
    <row r="225" spans="1:10" s="1" customFormat="1" ht="15.9" customHeight="1">
      <c r="A225" s="92"/>
      <c r="B225" s="92"/>
      <c r="C225" s="13"/>
      <c r="D225" s="161"/>
      <c r="E225" s="109"/>
      <c r="F225" s="161"/>
      <c r="G225" s="68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H226" s="109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32"/>
      <c r="J227" s="40"/>
    </row>
    <row r="228" spans="1:10" s="1" customFormat="1" ht="15.9" customHeight="1">
      <c r="A228" s="92"/>
      <c r="B228" s="92"/>
      <c r="C228" s="349"/>
      <c r="D228" s="161"/>
      <c r="E228" s="109"/>
      <c r="F228" s="161"/>
      <c r="H228" s="109"/>
      <c r="I228" s="328"/>
      <c r="J228" s="117"/>
    </row>
    <row r="229" spans="1:10" s="1" customFormat="1" ht="15.9" customHeight="1">
      <c r="A229" s="45"/>
      <c r="B229" s="45"/>
      <c r="D229" s="161"/>
      <c r="E229" s="109"/>
      <c r="F229" s="161"/>
      <c r="I229" s="328"/>
      <c r="J229" s="117"/>
    </row>
    <row r="230" spans="1:10" s="1" customFormat="1" ht="15.9" customHeight="1">
      <c r="A230" s="109"/>
      <c r="B230" s="109"/>
      <c r="D230" s="161"/>
      <c r="E230" s="109"/>
      <c r="F230" s="161"/>
      <c r="I230" s="328"/>
      <c r="J230" s="117"/>
    </row>
    <row r="231" spans="1:10" s="1" customFormat="1" ht="15.9" customHeight="1">
      <c r="A231" s="39"/>
      <c r="B231" s="38"/>
      <c r="D231" s="161"/>
      <c r="E231" s="109"/>
      <c r="F231" s="109"/>
      <c r="I231" s="328"/>
      <c r="J231" s="117"/>
    </row>
    <row r="232" spans="1:10" s="1" customFormat="1" ht="15.9" customHeight="1">
      <c r="A232" s="44"/>
      <c r="B232" s="44"/>
      <c r="C232" s="89" t="s">
        <v>274</v>
      </c>
      <c r="D232" s="84"/>
      <c r="E232" s="44"/>
      <c r="F232" s="44"/>
      <c r="G232" s="109"/>
      <c r="H232" s="109"/>
      <c r="I232" s="328"/>
      <c r="J232" s="117"/>
    </row>
    <row r="233" spans="1:10" s="1" customFormat="1" ht="15.9" customHeight="1">
      <c r="A233" s="40"/>
      <c r="B233" s="40"/>
      <c r="C233" s="328" t="s">
        <v>652</v>
      </c>
      <c r="D233" s="85"/>
      <c r="E233" s="40"/>
      <c r="F233" s="32"/>
      <c r="G233" s="109"/>
      <c r="H233" s="109"/>
      <c r="J233" s="12"/>
    </row>
    <row r="234" spans="1:10" s="1" customFormat="1" ht="15.9" customHeight="1">
      <c r="A234" s="109"/>
      <c r="B234" s="33"/>
      <c r="C234" s="433" t="s">
        <v>654</v>
      </c>
      <c r="D234" s="161"/>
      <c r="E234" s="109"/>
      <c r="F234" s="161"/>
      <c r="G234" s="109"/>
      <c r="H234" s="109"/>
      <c r="I234" s="109"/>
      <c r="J234" s="24"/>
    </row>
    <row r="235" spans="1:10" s="1" customFormat="1" ht="15.9" customHeight="1">
      <c r="A235" s="109"/>
      <c r="B235" s="33"/>
      <c r="C235" s="374">
        <f>$I$134</f>
        <v>4084</v>
      </c>
      <c r="D235" s="161"/>
      <c r="E235" s="109"/>
      <c r="F235" s="161"/>
      <c r="G235" s="109"/>
      <c r="H235" s="109"/>
      <c r="I235" s="24"/>
      <c r="J235" s="24"/>
    </row>
    <row r="236" spans="1:10" s="1" customFormat="1" ht="15.9" customHeight="1">
      <c r="A236" s="109"/>
      <c r="B236" s="33"/>
      <c r="C236" s="363">
        <f>$J$134</f>
        <v>1</v>
      </c>
      <c r="D236" s="161"/>
      <c r="E236" s="109"/>
      <c r="F236" s="161"/>
      <c r="G236" s="109"/>
      <c r="H236" s="107"/>
      <c r="I236" s="89"/>
      <c r="J236" s="118"/>
    </row>
    <row r="237" spans="1:10" s="1" customFormat="1" ht="15.9" customHeight="1">
      <c r="A237" s="109"/>
      <c r="B237" s="33"/>
      <c r="C237" s="44"/>
      <c r="D237" s="161"/>
      <c r="E237" s="109"/>
      <c r="F237" s="161"/>
      <c r="G237" s="109"/>
      <c r="H237" s="107"/>
      <c r="I237" s="328"/>
      <c r="J237" s="117"/>
    </row>
    <row r="238" spans="1:10" s="1" customFormat="1" ht="15.9" customHeight="1">
      <c r="A238" s="109"/>
      <c r="B238" s="33"/>
      <c r="D238" s="161"/>
      <c r="E238" s="109"/>
      <c r="F238" s="161"/>
      <c r="G238" s="109"/>
      <c r="H238" s="109"/>
      <c r="I238" s="328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4"/>
      <c r="J239" s="24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36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109"/>
      <c r="I241" s="109"/>
      <c r="J241" s="24"/>
    </row>
    <row r="242" spans="1:10" s="1" customFormat="1" ht="15.9" customHeight="1">
      <c r="A242" s="109"/>
      <c r="B242" s="33"/>
      <c r="C242" s="89" t="s">
        <v>276</v>
      </c>
      <c r="D242" s="161"/>
      <c r="E242" s="109"/>
      <c r="F242" s="161"/>
      <c r="G242" s="109"/>
      <c r="H242" s="109"/>
      <c r="I242" s="24"/>
      <c r="J242" s="24"/>
    </row>
    <row r="243" spans="1:10" s="1" customFormat="1" ht="15.9" customHeight="1">
      <c r="A243" s="109"/>
      <c r="B243" s="33"/>
      <c r="C243" s="328" t="s">
        <v>275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" customHeight="1">
      <c r="A244" s="109"/>
      <c r="B244" s="33"/>
      <c r="C244" s="349" t="s">
        <v>273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.9" customHeight="1">
      <c r="A245" s="109"/>
      <c r="B245" s="33"/>
      <c r="C245" s="374">
        <f>$I$135</f>
        <v>4110</v>
      </c>
      <c r="D245" s="161"/>
      <c r="E245" s="109"/>
      <c r="F245" s="161"/>
      <c r="G245" s="109"/>
      <c r="H245" s="109"/>
      <c r="I245" s="44"/>
      <c r="J245" s="119"/>
    </row>
    <row r="246" spans="1:10" s="1" customFormat="1" ht="15.9" customHeight="1">
      <c r="A246" s="109"/>
      <c r="B246" s="33"/>
      <c r="C246" s="363">
        <f>$J$135</f>
        <v>1</v>
      </c>
      <c r="D246" s="161"/>
      <c r="E246" s="109"/>
      <c r="F246" s="161"/>
      <c r="G246" s="109"/>
      <c r="H246" s="109"/>
      <c r="I246" s="32"/>
      <c r="J246" s="40"/>
    </row>
    <row r="247" spans="1:10" s="1" customFormat="1" ht="15.9" customHeight="1">
      <c r="A247" s="109"/>
      <c r="B247" s="33"/>
      <c r="C247" s="161"/>
      <c r="D247" s="161"/>
      <c r="E247" s="109"/>
      <c r="F247" s="161"/>
      <c r="G247" s="109"/>
      <c r="H247" s="109"/>
      <c r="J247" s="12"/>
    </row>
    <row r="248" spans="1:10" s="1" customFormat="1" ht="15.9" customHeight="1">
      <c r="A248" s="109"/>
      <c r="B248" s="33"/>
      <c r="C248" s="33"/>
      <c r="D248" s="161"/>
      <c r="E248" s="109"/>
      <c r="F248" s="109"/>
      <c r="G248" s="44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0"/>
      <c r="H250" s="109"/>
      <c r="I250" s="24"/>
      <c r="J250" s="24"/>
    </row>
    <row r="251" spans="1:10" s="1" customFormat="1" ht="15.9" customHeight="1">
      <c r="A251" s="109"/>
      <c r="B251" s="33"/>
      <c r="D251" s="161"/>
      <c r="E251" s="109"/>
      <c r="F251" s="109"/>
      <c r="G251" s="109"/>
      <c r="H251" s="109"/>
      <c r="I251" s="24"/>
      <c r="J251" s="24"/>
    </row>
    <row r="252" spans="1:10" s="1" customFormat="1" ht="15.9" customHeight="1">
      <c r="A252" s="44"/>
      <c r="B252" s="44"/>
      <c r="D252" s="84"/>
      <c r="E252" s="44"/>
      <c r="F252" s="44"/>
      <c r="G252" s="109"/>
      <c r="H252" s="109"/>
      <c r="I252" s="24"/>
      <c r="J252" s="24"/>
    </row>
    <row r="253" spans="1:10" s="1" customFormat="1" ht="15.9" customHeight="1">
      <c r="A253" s="40"/>
      <c r="B253" s="40"/>
      <c r="C253" s="89" t="s">
        <v>277</v>
      </c>
      <c r="D253" s="85"/>
      <c r="E253" s="40"/>
      <c r="F253" s="32"/>
      <c r="G253" s="109"/>
      <c r="I253" s="24"/>
      <c r="J253" s="24"/>
    </row>
    <row r="254" spans="1:10" s="1" customFormat="1" ht="15.9" customHeight="1">
      <c r="A254" s="27"/>
      <c r="B254" s="33"/>
      <c r="C254" s="328" t="s">
        <v>275</v>
      </c>
      <c r="D254" s="161"/>
      <c r="E254" s="109"/>
      <c r="F254" s="109"/>
      <c r="G254" s="109"/>
      <c r="I254" s="24"/>
      <c r="J254" s="24"/>
    </row>
    <row r="255" spans="1:10" s="1" customFormat="1" ht="15.9" customHeight="1">
      <c r="A255" s="27"/>
      <c r="B255" s="33"/>
      <c r="C255" s="349" t="s">
        <v>273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74">
        <f>$I$136</f>
        <v>4110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63">
        <f>$J$136</f>
        <v>1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3"/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46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161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33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89" t="s">
        <v>278</v>
      </c>
      <c r="D263" s="161"/>
      <c r="E263" s="109"/>
      <c r="F263" s="109"/>
      <c r="G263" s="109"/>
      <c r="H263" s="109"/>
      <c r="I263" s="24"/>
      <c r="J263" s="24"/>
    </row>
    <row r="264" spans="1:10" s="1" customFormat="1" ht="15.9" customHeight="1">
      <c r="A264" s="27"/>
      <c r="B264" s="33"/>
      <c r="C264" s="328" t="s">
        <v>287</v>
      </c>
      <c r="D264" s="328"/>
      <c r="E264" s="328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49" t="s">
        <v>279</v>
      </c>
      <c r="D265" s="349"/>
      <c r="E265" s="349"/>
      <c r="F265" s="109"/>
      <c r="G265" s="109"/>
      <c r="H265" s="109"/>
      <c r="J265" s="12"/>
    </row>
    <row r="266" spans="1:10" s="1" customFormat="1" ht="15.9" customHeight="1">
      <c r="A266" s="27"/>
      <c r="B266" s="33"/>
      <c r="C266" s="374">
        <f>$I$137</f>
        <v>2400</v>
      </c>
      <c r="D266" s="161"/>
      <c r="E266" s="109"/>
      <c r="F266" s="109"/>
      <c r="G266" s="33"/>
      <c r="H266" s="33"/>
      <c r="J266" s="12"/>
    </row>
    <row r="267" spans="1:10" s="1" customFormat="1" ht="15.9" customHeight="1">
      <c r="A267" s="27"/>
      <c r="B267" s="33"/>
      <c r="C267" s="363">
        <f>$J$137+$J$138</f>
        <v>2</v>
      </c>
      <c r="D267" s="161"/>
      <c r="E267" s="109"/>
      <c r="F267" s="109"/>
      <c r="G267" s="109"/>
      <c r="H267" s="109"/>
      <c r="J267" s="12"/>
    </row>
    <row r="268" spans="1:10" s="1" customFormat="1" ht="15.9" customHeight="1">
      <c r="A268" s="27"/>
      <c r="B268" s="33"/>
      <c r="D268" s="89"/>
      <c r="E268" s="8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D271" s="328"/>
      <c r="E271" s="328"/>
      <c r="F271" s="109"/>
      <c r="G271" s="109"/>
      <c r="H271" s="109"/>
      <c r="J271" s="12"/>
    </row>
    <row r="272" spans="1:10" s="1" customFormat="1" ht="15.9" customHeight="1">
      <c r="A272" s="27"/>
      <c r="B272" s="33"/>
      <c r="D272" s="328"/>
      <c r="E272" s="328"/>
      <c r="F272" s="109"/>
      <c r="G272" s="109"/>
      <c r="I272" s="24"/>
      <c r="J272" s="24"/>
    </row>
    <row r="273" spans="1:10" s="1" customFormat="1" ht="15.9" customHeight="1">
      <c r="A273" s="27"/>
      <c r="B273" s="33"/>
      <c r="C273" s="33"/>
      <c r="D273" s="161"/>
      <c r="E273" s="109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89" t="s">
        <v>280</v>
      </c>
      <c r="D274" s="162"/>
      <c r="E274" s="24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328" t="s">
        <v>649</v>
      </c>
      <c r="D275" s="328"/>
      <c r="E275" s="328"/>
      <c r="F275" s="109"/>
      <c r="G275" s="109"/>
      <c r="I275" s="109"/>
      <c r="J275" s="24"/>
    </row>
    <row r="276" spans="1:10" s="1" customFormat="1" ht="15.9" customHeight="1">
      <c r="A276" s="27"/>
      <c r="B276" s="33"/>
      <c r="C276" s="433" t="s">
        <v>650</v>
      </c>
      <c r="D276" s="349"/>
      <c r="E276" s="349"/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374">
        <f>$I$139</f>
        <v>2304</v>
      </c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363">
        <f>$J$139+$J$140</f>
        <v>2</v>
      </c>
      <c r="F278" s="109"/>
      <c r="G278" s="109"/>
      <c r="I278" s="109"/>
      <c r="J278" s="24"/>
    </row>
    <row r="279" spans="1:10" s="1" customFormat="1" ht="15.9" customHeight="1">
      <c r="A279" s="27"/>
      <c r="B279" s="33"/>
      <c r="F279" s="109"/>
      <c r="G279" s="109"/>
      <c r="H279" s="109"/>
      <c r="J279" s="12"/>
    </row>
    <row r="280" spans="1:10" s="1" customFormat="1" ht="15.9" customHeight="1">
      <c r="A280" s="27"/>
      <c r="B280" s="33"/>
      <c r="C280" s="33"/>
      <c r="D280" s="161"/>
      <c r="E280" s="109"/>
      <c r="F280" s="109"/>
      <c r="G280" s="109"/>
      <c r="H280" s="109"/>
      <c r="J280" s="12"/>
    </row>
    <row r="281" spans="1:10" s="1" customFormat="1" ht="15.9" customHeight="1">
      <c r="A281" s="27"/>
      <c r="B281" s="33"/>
      <c r="C281" s="33"/>
      <c r="D281" s="161"/>
      <c r="E281" s="109"/>
      <c r="F281" s="109"/>
      <c r="G281" s="109"/>
      <c r="H281" s="109"/>
      <c r="J281" s="12"/>
    </row>
    <row r="282" spans="1:10" s="1" customFormat="1" ht="15.9" customHeight="1">
      <c r="A282" s="27"/>
      <c r="B282" s="33"/>
      <c r="F282" s="109"/>
      <c r="G282" s="109"/>
      <c r="H282" s="109"/>
      <c r="J282" s="12"/>
    </row>
    <row r="283" spans="1:10" s="1" customFormat="1" ht="15.9" customHeight="1">
      <c r="A283" s="27"/>
      <c r="B283" s="33"/>
      <c r="F283" s="109"/>
      <c r="G283" s="109"/>
      <c r="H283" s="109"/>
      <c r="I283" s="162"/>
      <c r="J283" s="24"/>
    </row>
    <row r="284" spans="1:10" s="1" customFormat="1" ht="15.9" customHeight="1">
      <c r="A284" s="27"/>
      <c r="B284" s="33"/>
      <c r="C284" s="89" t="s">
        <v>283</v>
      </c>
      <c r="F284" s="109"/>
      <c r="G284" s="109"/>
      <c r="H284" s="109"/>
      <c r="I284" s="109"/>
      <c r="J284" s="24"/>
    </row>
    <row r="285" spans="1:10" s="1" customFormat="1" ht="15.9" customHeight="1">
      <c r="A285" s="27"/>
      <c r="B285" s="33"/>
      <c r="C285" s="94" t="s">
        <v>421</v>
      </c>
      <c r="D285" s="161"/>
      <c r="E285" s="109"/>
      <c r="F285" s="109"/>
      <c r="G285" s="109"/>
      <c r="H285" s="109"/>
      <c r="I285" s="24"/>
      <c r="J285" s="24"/>
    </row>
    <row r="286" spans="1:10" s="1" customFormat="1" ht="15.9" customHeight="1">
      <c r="A286" s="27"/>
      <c r="B286" s="33"/>
      <c r="C286" s="349" t="s">
        <v>422</v>
      </c>
      <c r="D286" s="161"/>
      <c r="E286" s="109"/>
      <c r="F286" s="109"/>
      <c r="G286" s="109"/>
      <c r="H286" s="109"/>
      <c r="I286" s="24"/>
      <c r="J286" s="24"/>
    </row>
    <row r="287" spans="1:10" s="1" customFormat="1" ht="15.9" customHeight="1">
      <c r="A287" s="27"/>
      <c r="B287" s="33"/>
      <c r="C287" s="328" t="s">
        <v>281</v>
      </c>
      <c r="D287" s="328"/>
      <c r="E287" s="328"/>
      <c r="F287" s="109"/>
      <c r="G287" s="109"/>
      <c r="I287" s="24"/>
      <c r="J287" s="24"/>
    </row>
    <row r="288" spans="1:10" s="23" customFormat="1" ht="15.9" customHeight="1">
      <c r="A288" s="27"/>
      <c r="B288" s="33"/>
      <c r="C288" s="349" t="s">
        <v>282</v>
      </c>
      <c r="D288" s="349"/>
      <c r="E288" s="349"/>
      <c r="F288" s="109"/>
      <c r="G288" s="109"/>
      <c r="H288" s="1"/>
      <c r="I288" s="109"/>
      <c r="J288" s="109"/>
    </row>
    <row r="289" spans="1:10" s="1" customFormat="1" ht="15.9" customHeight="1">
      <c r="A289" s="27"/>
      <c r="B289" s="33"/>
      <c r="C289" s="374">
        <f>$I$141</f>
        <v>399.03125</v>
      </c>
      <c r="F289" s="109"/>
      <c r="G289" s="109"/>
      <c r="I289" s="44"/>
      <c r="J289" s="119"/>
    </row>
    <row r="290" spans="1:10" s="1" customFormat="1" ht="15.9" customHeight="1">
      <c r="A290" s="27"/>
      <c r="B290" s="33"/>
      <c r="C290" s="363">
        <f>$J$141+$J$142</f>
        <v>16</v>
      </c>
      <c r="D290" s="161"/>
      <c r="E290" s="109"/>
      <c r="F290" s="109"/>
      <c r="G290" s="109"/>
      <c r="H290" s="161"/>
      <c r="I290" s="32"/>
      <c r="J290" s="40"/>
    </row>
    <row r="291" spans="1:10" s="1" customFormat="1" ht="15.9" customHeight="1">
      <c r="A291" s="27"/>
      <c r="B291" s="33"/>
      <c r="C291" s="374">
        <f>$I$143</f>
        <v>2308</v>
      </c>
      <c r="D291" s="161"/>
      <c r="E291" s="109"/>
      <c r="F291" s="109"/>
      <c r="G291" s="109"/>
      <c r="H291" s="109"/>
      <c r="I291" s="24"/>
      <c r="J291" s="24"/>
    </row>
    <row r="292" spans="1:10" s="1" customFormat="1" ht="15.9" customHeight="1">
      <c r="A292" s="27"/>
      <c r="B292" s="33"/>
      <c r="C292" s="363">
        <f>$J$143+$J$144+$J$145</f>
        <v>16</v>
      </c>
      <c r="D292" s="161"/>
      <c r="E292" s="109"/>
      <c r="F292" s="109"/>
      <c r="G292" s="109"/>
      <c r="H292" s="109"/>
      <c r="I292" s="24"/>
      <c r="J292" s="24"/>
    </row>
    <row r="293" spans="1:10" s="1" customFormat="1" ht="15.9" customHeight="1">
      <c r="A293" s="27"/>
      <c r="B293" s="33"/>
      <c r="D293" s="161"/>
      <c r="E293" s="109"/>
      <c r="F293" s="109"/>
      <c r="G293" s="109"/>
      <c r="H293" s="109"/>
      <c r="I293" s="24"/>
      <c r="J293" s="24"/>
    </row>
    <row r="294" spans="1:10" s="1" customFormat="1" ht="15.9" customHeight="1">
      <c r="A294" s="27"/>
      <c r="B294" s="33"/>
      <c r="C294" s="33"/>
      <c r="D294" s="161"/>
      <c r="E294" s="109"/>
      <c r="F294" s="109"/>
      <c r="G294" s="109"/>
      <c r="H294" s="109"/>
      <c r="I294" s="109"/>
      <c r="J294" s="24"/>
    </row>
    <row r="295" spans="1:10" s="1" customFormat="1" ht="15.9" customHeight="1">
      <c r="A295" s="27"/>
      <c r="B295" s="33"/>
      <c r="C295" s="23"/>
      <c r="D295" s="161"/>
      <c r="E295" s="109"/>
      <c r="F295" s="109"/>
      <c r="G295" s="109"/>
      <c r="H295" s="109"/>
      <c r="I295" s="109"/>
      <c r="J295" s="24"/>
    </row>
    <row r="296" spans="1:10" s="1" customFormat="1" ht="15.9" customHeight="1">
      <c r="A296" s="27"/>
      <c r="B296" s="33"/>
      <c r="C296" s="89" t="s">
        <v>284</v>
      </c>
      <c r="D296" s="161"/>
      <c r="E296" s="109"/>
      <c r="F296" s="109"/>
      <c r="G296" s="109"/>
      <c r="H296" s="109"/>
      <c r="I296" s="109"/>
      <c r="J296" s="24"/>
    </row>
    <row r="297" spans="1:10" s="1" customFormat="1" ht="15.9" customHeight="1">
      <c r="A297" s="27"/>
      <c r="B297" s="33"/>
      <c r="C297" s="94" t="s">
        <v>421</v>
      </c>
      <c r="D297" s="161"/>
      <c r="E297" s="109"/>
      <c r="F297" s="109"/>
      <c r="G297" s="44"/>
      <c r="H297" s="44"/>
      <c r="I297" s="109"/>
      <c r="J297" s="24"/>
    </row>
    <row r="298" spans="1:10" s="1" customFormat="1" ht="15.9" customHeight="1">
      <c r="A298" s="27"/>
      <c r="B298" s="33"/>
      <c r="C298" s="349" t="s">
        <v>422</v>
      </c>
      <c r="D298" s="328"/>
      <c r="E298" s="328"/>
      <c r="F298" s="109"/>
      <c r="G298" s="40"/>
      <c r="H298" s="32"/>
      <c r="I298" s="109"/>
      <c r="J298" s="24"/>
    </row>
    <row r="299" spans="1:10" s="1" customFormat="1" ht="15.9" customHeight="1">
      <c r="A299" s="41"/>
      <c r="B299" s="33"/>
      <c r="C299" s="328" t="s">
        <v>286</v>
      </c>
      <c r="D299" s="349"/>
      <c r="E299" s="349"/>
      <c r="F299" s="109"/>
      <c r="G299" s="109"/>
      <c r="H299" s="109"/>
      <c r="I299" s="109"/>
      <c r="J299" s="24"/>
    </row>
    <row r="300" spans="1:10" s="1" customFormat="1" ht="15.9" customHeight="1">
      <c r="A300" s="44"/>
      <c r="B300" s="44"/>
      <c r="C300" s="349" t="s">
        <v>285</v>
      </c>
      <c r="D300" s="86"/>
      <c r="E300" s="79"/>
      <c r="F300" s="44"/>
      <c r="G300" s="109"/>
      <c r="H300" s="109"/>
      <c r="I300" s="109"/>
      <c r="J300" s="24"/>
    </row>
    <row r="301" spans="1:10" s="1" customFormat="1" ht="15.9" customHeight="1">
      <c r="A301" s="40"/>
      <c r="B301" s="40"/>
      <c r="C301" s="374">
        <f>$I$146</f>
        <v>399.03125</v>
      </c>
      <c r="D301" s="87"/>
      <c r="E301" s="80"/>
      <c r="F301" s="32"/>
      <c r="G301" s="109"/>
      <c r="H301" s="109"/>
      <c r="I301" s="109"/>
      <c r="J301" s="24"/>
    </row>
    <row r="302" spans="1:10" s="1" customFormat="1" ht="15.9" customHeight="1">
      <c r="A302" s="109"/>
      <c r="B302" s="33"/>
      <c r="C302" s="363">
        <f>$J$146</f>
        <v>16</v>
      </c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C303" s="374">
        <f>$I$147</f>
        <v>2158</v>
      </c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C304" s="363">
        <f>$J$147</f>
        <v>16</v>
      </c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D306" s="15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D307" s="15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89"/>
      <c r="D308" s="161"/>
      <c r="E308" s="109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542"/>
      <c r="D309" s="542"/>
      <c r="E309" s="542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D310" s="15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D311" s="15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25"/>
      <c r="B313" s="33"/>
      <c r="D313" s="162"/>
      <c r="E313" s="24"/>
      <c r="F313" s="109"/>
      <c r="G313" s="109"/>
      <c r="H313" s="109"/>
      <c r="I313" s="27"/>
      <c r="J313" s="99" t="str">
        <f>LEFT($J$111,13)&amp;"-03"</f>
        <v>FG-240-8P4L4R-03</v>
      </c>
    </row>
    <row r="314" spans="1:14" ht="12.75" customHeight="1">
      <c r="A314" s="17"/>
      <c r="B314" s="26"/>
      <c r="C314" s="26"/>
      <c r="D314" s="83"/>
      <c r="E314" s="25"/>
      <c r="F314" s="25"/>
      <c r="G314" s="25"/>
      <c r="H314" s="25"/>
      <c r="I314" s="179"/>
      <c r="J314" s="179"/>
    </row>
    <row r="315" spans="1:14" ht="30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90" t="str">
        <f>$J$2</f>
        <v>HOMELIFE</v>
      </c>
    </row>
    <row r="316" spans="1:14" ht="24.9" customHeight="1">
      <c r="B316" s="279"/>
      <c r="C316" s="5"/>
      <c r="D316" s="95"/>
      <c r="E316" s="95"/>
      <c r="F316" s="95"/>
      <c r="G316" s="95"/>
      <c r="H316" s="95"/>
      <c r="I316" s="28"/>
      <c r="J316" s="91" t="str">
        <f>$J$3</f>
        <v>Fabricators Guide</v>
      </c>
      <c r="K316" s="11"/>
      <c r="L316" s="11"/>
      <c r="M316" s="2"/>
      <c r="N316" s="2"/>
    </row>
    <row r="317" spans="1:14" ht="24.9" customHeight="1">
      <c r="B317" s="279"/>
      <c r="C317" s="28"/>
      <c r="D317" s="28"/>
      <c r="E317" s="28"/>
      <c r="F317" s="28"/>
      <c r="G317" s="28"/>
      <c r="H317" s="28"/>
      <c r="I317" s="28"/>
      <c r="J317" s="91" t="str">
        <f>$J$4</f>
        <v xml:space="preserve">240 Series Bi Fold Door </v>
      </c>
      <c r="K317" s="48"/>
      <c r="L317" s="48"/>
      <c r="M317" s="4"/>
      <c r="N317" s="4"/>
    </row>
    <row r="318" spans="1:14" s="1" customFormat="1" ht="15" customHeight="1" thickBot="1">
      <c r="A318" s="78"/>
      <c r="B318" s="8"/>
      <c r="C318" s="28"/>
      <c r="D318" s="28"/>
      <c r="E318" s="28"/>
      <c r="F318" s="28"/>
      <c r="G318" s="28"/>
      <c r="H318" s="28"/>
      <c r="I318" s="78"/>
      <c r="J318" s="113"/>
      <c r="K318" s="4"/>
      <c r="L318" s="4"/>
      <c r="M318" s="4"/>
      <c r="N318" s="4"/>
    </row>
    <row r="319" spans="1:14" ht="24.9" customHeight="1" thickBot="1">
      <c r="A319" s="502" t="s">
        <v>33</v>
      </c>
      <c r="B319" s="503"/>
      <c r="C319" s="503"/>
      <c r="D319" s="503"/>
      <c r="E319" s="503"/>
      <c r="F319" s="503"/>
      <c r="G319" s="503"/>
      <c r="H319" s="503"/>
      <c r="I319" s="503"/>
      <c r="J319" s="504"/>
      <c r="K319" s="4"/>
      <c r="L319" s="4"/>
      <c r="M319" s="4"/>
      <c r="N319" s="4"/>
    </row>
    <row r="321" spans="1:10" s="1" customFormat="1" ht="15" customHeight="1">
      <c r="A321" s="63"/>
      <c r="B321"/>
      <c r="C321"/>
      <c r="D321" s="81"/>
      <c r="E321"/>
      <c r="F321"/>
      <c r="G321"/>
      <c r="H321"/>
      <c r="I321" s="160"/>
      <c r="J321" s="116"/>
    </row>
    <row r="322" spans="1:10" s="1" customFormat="1" ht="15" customHeight="1">
      <c r="A322" s="17"/>
      <c r="B322" s="72"/>
      <c r="C322" s="56"/>
      <c r="D322" s="30"/>
      <c r="E322" s="29"/>
      <c r="F322" s="160"/>
      <c r="G322" s="160"/>
      <c r="H322" s="160"/>
      <c r="I322" s="31"/>
      <c r="J322" s="17"/>
    </row>
    <row r="323" spans="1:10" s="1" customFormat="1" ht="15" customHeight="1">
      <c r="A323" s="17"/>
      <c r="B323" s="56"/>
      <c r="C323" s="56"/>
      <c r="D323" s="30"/>
      <c r="E323" s="29"/>
      <c r="F323" s="30"/>
      <c r="G323" s="31"/>
      <c r="H323" s="31"/>
      <c r="I323" s="17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09"/>
      <c r="B325" s="56"/>
      <c r="C325" s="30"/>
      <c r="D325" s="30"/>
      <c r="E325" s="29"/>
      <c r="F325" s="30"/>
      <c r="G325" s="17"/>
      <c r="H325" s="31"/>
      <c r="I325" s="109"/>
      <c r="J325" s="109"/>
    </row>
    <row r="326" spans="1:10" s="1" customFormat="1" ht="15" customHeight="1">
      <c r="A326" s="109"/>
      <c r="B326" s="33"/>
      <c r="C326" s="161"/>
      <c r="D326" s="161"/>
      <c r="E326" s="109"/>
      <c r="F326" s="161"/>
      <c r="G326" s="109"/>
      <c r="H326" s="34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35"/>
      <c r="F327" s="163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1"/>
      <c r="G328" s="109"/>
      <c r="H328" s="34"/>
      <c r="I328" s="42"/>
      <c r="J328" s="109"/>
    </row>
    <row r="329" spans="1:10" s="1" customFormat="1" ht="15" customHeight="1">
      <c r="A329" s="39"/>
      <c r="B329" s="33"/>
      <c r="C329" s="42"/>
      <c r="D329" s="161"/>
      <c r="E329" s="109"/>
      <c r="F329" s="505"/>
      <c r="G329" s="505"/>
      <c r="H329" s="347"/>
      <c r="I329" s="163"/>
      <c r="J329" s="109"/>
    </row>
    <row r="330" spans="1:10" s="1" customFormat="1" ht="15" customHeight="1">
      <c r="A330" s="92"/>
      <c r="B330" s="39"/>
      <c r="C330" s="163"/>
      <c r="D330" s="161"/>
      <c r="E330" s="109"/>
      <c r="F330" s="507"/>
      <c r="G330" s="507"/>
      <c r="H330" s="347"/>
      <c r="I330" s="161"/>
      <c r="J330" s="109"/>
    </row>
    <row r="331" spans="1:10" s="1" customFormat="1" ht="15" customHeight="1">
      <c r="A331" s="64" t="str">
        <f>A18</f>
        <v>240-8 Panel (4L4R)</v>
      </c>
      <c r="B331" s="92"/>
      <c r="C331" s="161"/>
      <c r="D331" s="161"/>
      <c r="E331" s="109"/>
      <c r="F331" s="347"/>
      <c r="G331" s="347"/>
      <c r="H331" s="347"/>
      <c r="I331" s="109"/>
      <c r="J331" s="109"/>
    </row>
    <row r="332" spans="1:10" s="1" customFormat="1" ht="15" customHeight="1">
      <c r="A332" s="76" t="str">
        <f>A19</f>
        <v xml:space="preserve">Outside Bi Fold Door </v>
      </c>
      <c r="B332" s="92"/>
      <c r="C332" s="161"/>
      <c r="D332" s="161"/>
      <c r="E332" s="109"/>
      <c r="F332" s="347"/>
      <c r="G332" s="347"/>
      <c r="H332" s="347"/>
      <c r="I332" s="109"/>
      <c r="J332" s="109"/>
    </row>
    <row r="333" spans="1:10" s="1" customFormat="1" ht="15.9" customHeight="1">
      <c r="A333" s="109"/>
      <c r="B333" s="45"/>
      <c r="C333" s="42"/>
      <c r="D333" s="161"/>
      <c r="E333" s="109"/>
      <c r="F333" s="507"/>
      <c r="G333" s="507"/>
      <c r="H333" s="347"/>
      <c r="I333" s="109"/>
      <c r="J333" s="109"/>
    </row>
    <row r="334" spans="1:10" s="1" customFormat="1" ht="15.9" customHeight="1">
      <c r="A334" s="39"/>
      <c r="B334" s="109"/>
      <c r="C334" s="161"/>
      <c r="D334" s="161"/>
      <c r="E334" s="109"/>
      <c r="F334" s="37"/>
      <c r="G334" s="38"/>
      <c r="H334" s="109"/>
      <c r="I334" s="109"/>
      <c r="J334" s="109"/>
    </row>
    <row r="335" spans="1:10" s="1" customFormat="1" ht="15.9" customHeight="1">
      <c r="A335" s="44"/>
      <c r="C335" s="43"/>
      <c r="D335" s="161"/>
      <c r="E335" s="109"/>
      <c r="F335" s="109"/>
      <c r="G335" s="109"/>
      <c r="H335" s="109"/>
      <c r="I335" s="44"/>
      <c r="J335" s="119"/>
    </row>
    <row r="336" spans="1:10" s="1" customFormat="1" ht="15.9" customHeight="1">
      <c r="A336" s="40"/>
      <c r="C336" s="44"/>
      <c r="D336" s="84"/>
      <c r="E336" s="44"/>
      <c r="F336" s="44"/>
      <c r="G336" s="44"/>
      <c r="H336" s="44"/>
      <c r="I336" s="32"/>
      <c r="J336" s="40"/>
    </row>
    <row r="337" spans="1:10" s="1" customFormat="1" ht="15.9" customHeight="1">
      <c r="A337" s="109"/>
      <c r="C337" s="161"/>
      <c r="D337" s="85"/>
      <c r="E337" s="40"/>
      <c r="F337" s="32"/>
      <c r="G337" s="40"/>
      <c r="H337" s="32"/>
      <c r="I337" s="24"/>
      <c r="J337" s="24"/>
    </row>
    <row r="338" spans="1:10" s="1" customFormat="1" ht="15.9" customHeight="1">
      <c r="A338" s="109"/>
      <c r="C338" s="163"/>
      <c r="D338" s="161"/>
      <c r="E338" s="109"/>
      <c r="F338" s="161"/>
      <c r="G338" s="109"/>
      <c r="H338" s="109"/>
      <c r="I338" s="24"/>
      <c r="J338" s="24"/>
    </row>
    <row r="339" spans="1:10" s="1" customFormat="1" ht="15.9" customHeight="1">
      <c r="A339" s="109"/>
      <c r="B339" s="33"/>
      <c r="C339" s="161"/>
      <c r="D339" s="161"/>
      <c r="E339" s="109"/>
      <c r="F339" s="161"/>
      <c r="G339" s="109"/>
      <c r="H339" s="109"/>
      <c r="I339" s="162"/>
      <c r="J339" s="162"/>
    </row>
    <row r="340" spans="1:10" s="1" customFormat="1" ht="15.9" customHeight="1">
      <c r="A340" s="109"/>
      <c r="B340" s="33"/>
      <c r="C340" s="44"/>
      <c r="D340" s="161"/>
      <c r="E340" s="109"/>
      <c r="F340" s="161"/>
      <c r="G340" s="109"/>
      <c r="H340" s="162"/>
      <c r="I340" s="161"/>
      <c r="J340" s="161"/>
    </row>
    <row r="341" spans="1:10" s="1" customFormat="1" ht="15.9" customHeight="1">
      <c r="A341" s="109"/>
      <c r="B341" s="33"/>
      <c r="C341" s="42"/>
      <c r="D341" s="161"/>
      <c r="E341" s="109"/>
      <c r="F341" s="161"/>
      <c r="G341" s="109"/>
      <c r="H341" s="161"/>
      <c r="I341" s="161"/>
      <c r="J341" s="161"/>
    </row>
    <row r="342" spans="1:10" s="1" customFormat="1" ht="15.9" customHeight="1">
      <c r="A342" s="109"/>
      <c r="B342" s="33"/>
      <c r="C342" s="163"/>
      <c r="D342" s="161"/>
      <c r="E342" s="109"/>
      <c r="F342" s="161"/>
      <c r="G342" s="109"/>
      <c r="H342" s="161"/>
      <c r="I342" s="109"/>
      <c r="J342" s="24"/>
    </row>
    <row r="343" spans="1:10" s="1" customFormat="1" ht="15.9" customHeight="1">
      <c r="A343" s="109"/>
      <c r="B343" s="33"/>
      <c r="C343" s="161"/>
      <c r="D343" s="161"/>
      <c r="E343" s="109"/>
      <c r="F343" s="161"/>
      <c r="G343" s="109"/>
      <c r="H343" s="109"/>
      <c r="I343" s="24"/>
      <c r="J343" s="24"/>
    </row>
    <row r="344" spans="1:10" s="1" customFormat="1" ht="15.9" customHeight="1">
      <c r="A344" s="109"/>
      <c r="B344" s="33"/>
      <c r="C344" s="33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44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161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3"/>
      <c r="D349" s="161"/>
      <c r="E349" s="109"/>
      <c r="F349" s="161"/>
      <c r="G349" s="109"/>
      <c r="H349" s="109"/>
      <c r="I349" s="109"/>
      <c r="J349" s="24"/>
    </row>
    <row r="350" spans="1:10" s="1" customFormat="1" ht="15.9" customHeight="1">
      <c r="A350" s="109"/>
      <c r="B350" s="33"/>
      <c r="C350" s="161"/>
      <c r="D350" s="161"/>
      <c r="E350" s="109"/>
      <c r="F350" s="161"/>
      <c r="G350" s="109"/>
      <c r="H350" s="109"/>
      <c r="I350" s="24"/>
      <c r="J350" s="24"/>
    </row>
    <row r="351" spans="1:10" s="1" customFormat="1" ht="15.9" customHeight="1">
      <c r="A351" s="109"/>
      <c r="B351" s="33"/>
      <c r="C351" s="33"/>
      <c r="D351" s="161"/>
      <c r="E351" s="109"/>
      <c r="F351" s="109"/>
      <c r="G351" s="109"/>
      <c r="H351" s="109"/>
      <c r="I351" s="24"/>
      <c r="J351" s="24"/>
    </row>
    <row r="352" spans="1:10" s="1" customFormat="1" ht="15" customHeight="1">
      <c r="A352" s="109"/>
      <c r="B352" s="33"/>
      <c r="C352" s="33"/>
      <c r="D352" s="161"/>
      <c r="E352" s="109"/>
      <c r="F352" s="109"/>
      <c r="G352" s="109"/>
      <c r="H352" s="107"/>
      <c r="I352" s="24"/>
      <c r="J352" s="24"/>
    </row>
    <row r="353" spans="1:10" s="23" customFormat="1" ht="15.9" customHeight="1">
      <c r="A353" s="109"/>
      <c r="B353" s="33"/>
      <c r="C353" s="33"/>
      <c r="D353" s="161"/>
      <c r="E353" s="109"/>
      <c r="F353" s="109"/>
      <c r="G353" s="109"/>
      <c r="H353" s="109"/>
      <c r="I353" s="109"/>
      <c r="J353" s="109"/>
    </row>
    <row r="354" spans="1:10" s="1" customFormat="1" ht="15.9" customHeight="1">
      <c r="A354" s="44"/>
      <c r="B354" s="33"/>
      <c r="C354" s="33"/>
      <c r="D354" s="161"/>
      <c r="E354" s="109"/>
      <c r="F354" s="109"/>
      <c r="G354" s="109"/>
      <c r="H354" s="109"/>
      <c r="I354" s="44"/>
      <c r="J354" s="119"/>
    </row>
    <row r="355" spans="1:10" s="1" customFormat="1" ht="15.9" customHeight="1">
      <c r="A355" s="40"/>
      <c r="B355" s="44"/>
      <c r="C355" s="44"/>
      <c r="D355" s="84"/>
      <c r="E355" s="44"/>
      <c r="F355" s="44"/>
      <c r="G355" s="44"/>
      <c r="H355" s="44"/>
      <c r="I355" s="32"/>
      <c r="J355" s="40"/>
    </row>
    <row r="356" spans="1:10" s="1" customFormat="1" ht="15.9" customHeight="1">
      <c r="A356" s="27"/>
      <c r="B356" s="40"/>
      <c r="C356" s="44"/>
      <c r="D356" s="85"/>
      <c r="E356" s="40"/>
      <c r="F356" s="32"/>
      <c r="G356" s="40"/>
      <c r="H356" s="32"/>
      <c r="I356" s="24"/>
      <c r="J356" s="24"/>
    </row>
    <row r="357" spans="1:10" s="1" customFormat="1" ht="15.9" customHeight="1">
      <c r="A357" s="27"/>
      <c r="B357" s="33"/>
      <c r="C357" s="42"/>
      <c r="D357" s="161"/>
      <c r="E357" s="109"/>
      <c r="F357" s="109"/>
      <c r="G357" s="109"/>
      <c r="H357" s="42"/>
      <c r="I357" s="163"/>
      <c r="J357" s="163"/>
    </row>
    <row r="358" spans="1:10" s="1" customFormat="1" ht="15.9" customHeight="1">
      <c r="A358" s="27"/>
      <c r="B358" s="33"/>
      <c r="C358" s="163"/>
      <c r="D358" s="161"/>
      <c r="E358" s="109"/>
      <c r="F358" s="109"/>
      <c r="G358" s="109"/>
      <c r="H358" s="163"/>
      <c r="I358" s="161"/>
      <c r="J358" s="161"/>
    </row>
    <row r="359" spans="1:10" s="1" customFormat="1" ht="15.9" customHeight="1">
      <c r="A359" s="27"/>
      <c r="B359" s="33"/>
      <c r="C359" s="161"/>
      <c r="D359" s="161"/>
      <c r="E359" s="109"/>
      <c r="F359" s="109"/>
      <c r="G359" s="109"/>
      <c r="H359" s="161"/>
      <c r="I359" s="24"/>
      <c r="J359" s="24"/>
    </row>
    <row r="360" spans="1:10" s="1" customFormat="1" ht="15.9" customHeight="1">
      <c r="A360" s="27"/>
      <c r="B360" s="33"/>
      <c r="C360" s="33"/>
      <c r="D360" s="161"/>
      <c r="E360" s="109"/>
      <c r="F360" s="109"/>
      <c r="G360" s="109"/>
      <c r="H360" s="109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46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161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33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B369" s="33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D371" s="161"/>
      <c r="E371" s="109"/>
      <c r="F371" s="109"/>
      <c r="G371" s="33"/>
      <c r="H371" s="33"/>
      <c r="I371" s="24"/>
      <c r="J371" s="24"/>
    </row>
    <row r="372" spans="1:10" s="1" customFormat="1" ht="15.9" customHeight="1">
      <c r="A372" s="27"/>
      <c r="B372" s="33"/>
      <c r="C372" s="33"/>
      <c r="D372" s="161"/>
      <c r="E372" s="109"/>
      <c r="F372" s="109"/>
      <c r="G372" s="109"/>
      <c r="H372" s="109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42"/>
      <c r="I375" s="163"/>
      <c r="J375" s="163"/>
    </row>
    <row r="376" spans="1:10" s="1" customFormat="1" ht="15.9" customHeight="1">
      <c r="A376" s="27"/>
      <c r="B376" s="33"/>
      <c r="C376" s="47"/>
      <c r="D376" s="161"/>
      <c r="E376" s="109"/>
      <c r="F376" s="109"/>
      <c r="G376" s="109"/>
      <c r="H376" s="163"/>
      <c r="I376" s="161"/>
      <c r="J376" s="161"/>
    </row>
    <row r="377" spans="1:10" s="1" customFormat="1" ht="15.9" customHeight="1">
      <c r="A377" s="27"/>
      <c r="B377" s="33"/>
      <c r="C377" s="46"/>
      <c r="D377" s="161"/>
      <c r="E377" s="109"/>
      <c r="F377" s="109"/>
      <c r="G377" s="109"/>
      <c r="H377" s="161"/>
      <c r="I377" s="24"/>
      <c r="J377" s="24"/>
    </row>
    <row r="378" spans="1:10" s="1" customFormat="1" ht="15.9" customHeight="1">
      <c r="A378" s="27"/>
      <c r="B378" s="33"/>
      <c r="C378" s="161"/>
      <c r="D378" s="161"/>
      <c r="E378" s="109"/>
      <c r="F378" s="109"/>
      <c r="G378" s="109"/>
      <c r="H378" s="42"/>
      <c r="I378" s="163"/>
      <c r="J378" s="163"/>
    </row>
    <row r="379" spans="1:10" s="1" customFormat="1" ht="15.9" customHeight="1">
      <c r="A379" s="27"/>
      <c r="B379" s="33"/>
      <c r="C379" s="33"/>
      <c r="D379" s="161"/>
      <c r="E379" s="109"/>
      <c r="F379" s="109"/>
      <c r="G379" s="109"/>
      <c r="H379" s="163"/>
      <c r="I379" s="161"/>
      <c r="J379" s="161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1"/>
      <c r="I380" s="24"/>
      <c r="J380" s="24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09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109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64"/>
      <c r="J387" s="16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64"/>
      <c r="I388" s="165"/>
      <c r="J388" s="165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5"/>
      <c r="I389" s="161"/>
      <c r="J389" s="161"/>
    </row>
    <row r="390" spans="1:10" s="1" customFormat="1" ht="15.9" customHeight="1">
      <c r="A390" s="27"/>
      <c r="B390" s="33"/>
      <c r="C390" s="47"/>
      <c r="D390" s="161"/>
      <c r="E390" s="109"/>
      <c r="F390" s="109"/>
      <c r="G390" s="109"/>
      <c r="H390" s="161"/>
      <c r="I390" s="24"/>
      <c r="J390" s="24"/>
    </row>
    <row r="391" spans="1:10" s="1" customFormat="1" ht="15.9" customHeight="1">
      <c r="A391" s="27"/>
      <c r="B391" s="33"/>
      <c r="C391" s="46"/>
      <c r="D391" s="161"/>
      <c r="E391" s="109"/>
      <c r="F391" s="109"/>
      <c r="G391" s="109"/>
      <c r="H391" s="109"/>
      <c r="I391" s="109"/>
      <c r="J391" s="24"/>
    </row>
    <row r="392" spans="1:10" s="1" customFormat="1" ht="15.9" customHeight="1">
      <c r="A392" s="27"/>
      <c r="B392" s="33"/>
      <c r="C392" s="161"/>
      <c r="D392" s="161"/>
      <c r="E392" s="109"/>
      <c r="F392" s="109"/>
      <c r="G392" s="109"/>
      <c r="H392" s="109"/>
      <c r="I392" s="24"/>
      <c r="J392" s="24"/>
    </row>
    <row r="393" spans="1:10" s="1" customFormat="1" ht="15.9" customHeight="1">
      <c r="A393" s="27"/>
      <c r="B393" s="33"/>
      <c r="C393" s="33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41"/>
      <c r="B395" s="33"/>
      <c r="C395" s="33"/>
      <c r="D395" s="161"/>
      <c r="E395" s="109"/>
      <c r="F395" s="109"/>
      <c r="G395" s="109"/>
      <c r="H395" s="109"/>
      <c r="I395" s="109"/>
      <c r="J395" s="109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23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1" customFormat="1" ht="15.9" customHeight="1">
      <c r="A404" s="44"/>
      <c r="B404" s="33"/>
      <c r="C404" s="33"/>
      <c r="D404" s="161"/>
      <c r="E404" s="109"/>
      <c r="F404" s="109"/>
      <c r="G404" s="109"/>
      <c r="H404" s="109"/>
      <c r="I404" s="44"/>
      <c r="J404" s="119"/>
    </row>
    <row r="405" spans="1:10" s="1" customFormat="1" ht="15.9" customHeight="1">
      <c r="A405" s="44"/>
      <c r="B405" s="44"/>
      <c r="C405" s="44"/>
      <c r="D405" s="84"/>
      <c r="E405" s="44"/>
      <c r="F405" s="44"/>
      <c r="G405" s="44"/>
      <c r="H405" s="44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109"/>
      <c r="B418" s="44"/>
      <c r="C418" s="44"/>
      <c r="D418" s="84"/>
      <c r="E418" s="44"/>
      <c r="F418" s="44"/>
      <c r="G418" s="44"/>
      <c r="H418" s="44"/>
      <c r="I418" s="24"/>
      <c r="J418" s="24"/>
      <c r="K418" s="71"/>
    </row>
    <row r="419" spans="1:14" s="1" customFormat="1" ht="15.9" customHeight="1">
      <c r="A419" s="109"/>
      <c r="B419" s="33"/>
      <c r="C419" s="33"/>
      <c r="D419" s="161"/>
      <c r="E419" s="109"/>
      <c r="F419" s="109"/>
      <c r="G419" s="109"/>
      <c r="H419" s="109"/>
      <c r="I419" s="24"/>
    </row>
    <row r="420" spans="1:14" ht="18">
      <c r="A420" s="109"/>
      <c r="B420" s="33"/>
      <c r="C420" s="33"/>
      <c r="D420" s="161"/>
      <c r="E420" s="109"/>
      <c r="F420" s="109"/>
      <c r="G420" s="109"/>
      <c r="H420" s="109"/>
      <c r="I420" s="109"/>
      <c r="J420" s="99" t="str">
        <f>LEFT($J$111,13)&amp;"-04"</f>
        <v>FG-240-8P4L4R-04</v>
      </c>
      <c r="K420" s="7"/>
      <c r="L420" s="7"/>
      <c r="M420" s="2"/>
      <c r="N420" s="2"/>
    </row>
    <row r="421" spans="1:14" ht="12.75" customHeight="1">
      <c r="A421" s="109"/>
      <c r="B421" s="33"/>
      <c r="C421" s="33"/>
      <c r="D421" s="161"/>
      <c r="E421" s="109"/>
      <c r="F421" s="109"/>
      <c r="G421" s="109"/>
      <c r="H421" s="109"/>
      <c r="I421" s="109"/>
      <c r="J421" s="114"/>
      <c r="K421" s="7"/>
      <c r="L421" s="7"/>
      <c r="M421" s="2"/>
      <c r="N421" s="2"/>
    </row>
    <row r="422" spans="1:14" ht="30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90" t="str">
        <f>$J$2</f>
        <v>HOMELIFE</v>
      </c>
      <c r="K422" s="7"/>
      <c r="L422" s="7"/>
      <c r="M422" s="2"/>
      <c r="N422" s="2"/>
    </row>
    <row r="423" spans="1:14" ht="24.9" customHeight="1">
      <c r="A423" s="109"/>
      <c r="B423" s="33"/>
      <c r="C423" s="33"/>
      <c r="D423" s="161"/>
      <c r="E423" s="109"/>
      <c r="F423" s="109"/>
      <c r="G423" s="109"/>
      <c r="H423" s="109"/>
      <c r="I423" s="109"/>
      <c r="J423" s="91" t="str">
        <f>$J$3</f>
        <v>Fabricators Guide</v>
      </c>
      <c r="K423" s="7"/>
      <c r="L423" s="7"/>
      <c r="M423" s="2"/>
      <c r="N423" s="2"/>
    </row>
    <row r="424" spans="1:14" ht="24.9" customHeight="1">
      <c r="B424" s="279"/>
      <c r="C424" s="28"/>
      <c r="D424" s="28"/>
      <c r="E424" s="28"/>
      <c r="F424" s="28"/>
      <c r="G424" s="28"/>
      <c r="H424" s="28"/>
      <c r="I424" s="28"/>
      <c r="J424" s="91" t="str">
        <f>$J$4</f>
        <v xml:space="preserve">240 Series Bi Fold Door </v>
      </c>
      <c r="K424" s="48"/>
      <c r="L424" s="48"/>
      <c r="M424" s="4"/>
      <c r="N424" s="4"/>
    </row>
    <row r="425" spans="1:14" s="1" customFormat="1" ht="15" customHeight="1" thickBot="1">
      <c r="A425" s="78"/>
      <c r="B425" s="8"/>
      <c r="C425" s="28"/>
      <c r="D425" s="28"/>
      <c r="E425" s="28"/>
      <c r="F425" s="28"/>
      <c r="G425" s="28"/>
      <c r="H425" s="28"/>
      <c r="I425" s="78"/>
      <c r="J425" s="100"/>
      <c r="K425" s="4"/>
      <c r="L425" s="4"/>
      <c r="M425" s="4"/>
      <c r="N425" s="4"/>
    </row>
    <row r="426" spans="1:14" s="1" customFormat="1" ht="24.9" customHeight="1" thickBot="1">
      <c r="A426" s="502" t="s">
        <v>34</v>
      </c>
      <c r="B426" s="503"/>
      <c r="C426" s="503"/>
      <c r="D426" s="503"/>
      <c r="E426" s="503"/>
      <c r="F426" s="503"/>
      <c r="G426" s="503"/>
      <c r="H426" s="503"/>
      <c r="I426" s="503"/>
      <c r="J426" s="504"/>
      <c r="K426" s="4"/>
      <c r="L426" s="4"/>
      <c r="M426" s="4"/>
      <c r="N426" s="4"/>
    </row>
    <row r="427" spans="1:14" s="1" customFormat="1" ht="15" customHeight="1">
      <c r="A427" s="193"/>
      <c r="B427" s="194"/>
      <c r="C427" s="194"/>
      <c r="D427" s="194"/>
      <c r="E427" s="194"/>
      <c r="F427" s="194"/>
      <c r="G427" s="194"/>
      <c r="H427" s="194"/>
      <c r="I427" s="193"/>
      <c r="K427" s="56"/>
      <c r="L427" s="56"/>
      <c r="M427" s="56"/>
      <c r="N427" s="56"/>
    </row>
    <row r="428" spans="1:14" s="1" customFormat="1" ht="15" customHeight="1">
      <c r="A428" s="45"/>
      <c r="B428" s="193"/>
      <c r="C428" s="193"/>
      <c r="D428" s="193"/>
      <c r="E428" s="193"/>
      <c r="F428" s="193"/>
      <c r="G428" s="193"/>
      <c r="H428" s="193"/>
      <c r="I428" s="44"/>
      <c r="J428" s="119"/>
    </row>
    <row r="429" spans="1:14" s="1" customFormat="1" ht="15" customHeight="1">
      <c r="A429" s="109"/>
      <c r="B429" s="39"/>
      <c r="C429" s="33"/>
      <c r="D429" s="161"/>
      <c r="E429" s="35"/>
      <c r="F429" s="39"/>
      <c r="G429" s="193"/>
      <c r="H429" s="44"/>
      <c r="I429" s="44"/>
      <c r="J429" s="119"/>
    </row>
    <row r="430" spans="1:14" s="1" customFormat="1" ht="15" customHeight="1">
      <c r="A430" s="109"/>
      <c r="B430" s="33"/>
      <c r="C430" s="33"/>
      <c r="D430" s="161"/>
      <c r="E430" s="35"/>
      <c r="F430" s="161"/>
      <c r="G430" s="193"/>
      <c r="H430" s="44"/>
      <c r="I430" s="44"/>
      <c r="J430" s="119"/>
    </row>
    <row r="431" spans="1:14" s="1" customFormat="1" ht="15" customHeight="1">
      <c r="A431" s="109"/>
      <c r="B431" s="56"/>
      <c r="C431" s="56"/>
      <c r="D431" s="30"/>
      <c r="E431" s="29"/>
      <c r="F431" s="30"/>
      <c r="H431" s="44"/>
      <c r="I431" s="44"/>
      <c r="J431" s="119"/>
    </row>
    <row r="432" spans="1:14" s="1" customFormat="1" ht="15" customHeight="1">
      <c r="A432" s="109"/>
      <c r="B432" s="33"/>
      <c r="C432" s="161"/>
      <c r="D432" s="161"/>
      <c r="E432" s="109"/>
      <c r="F432" s="161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35"/>
      <c r="F433" s="163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1"/>
      <c r="H434" s="44"/>
      <c r="I434" s="44"/>
      <c r="J434" s="119"/>
    </row>
    <row r="435" spans="1:10" s="1" customFormat="1" ht="15" customHeight="1">
      <c r="A435" s="39"/>
      <c r="B435" s="33"/>
      <c r="C435" s="42"/>
      <c r="D435" s="161"/>
      <c r="E435" s="109"/>
      <c r="F435" s="69"/>
      <c r="H435" s="44"/>
      <c r="I435" s="44"/>
      <c r="J435" s="119"/>
    </row>
    <row r="436" spans="1:10" s="1" customFormat="1" ht="15" customHeight="1">
      <c r="A436" s="92"/>
      <c r="B436" s="39"/>
      <c r="C436" s="163"/>
      <c r="D436" s="161"/>
      <c r="E436" s="109"/>
      <c r="F436" s="68"/>
      <c r="H436" s="44"/>
      <c r="I436" s="44"/>
      <c r="J436" s="119"/>
    </row>
    <row r="437" spans="1:10" s="1" customFormat="1" ht="15" customHeight="1">
      <c r="B437" s="92"/>
      <c r="C437" s="161"/>
      <c r="D437" s="161"/>
      <c r="E437" s="109"/>
      <c r="F437" s="347"/>
      <c r="H437" s="44"/>
      <c r="I437" s="44"/>
      <c r="J437" s="119"/>
    </row>
    <row r="438" spans="1:10" s="1" customFormat="1" ht="15" customHeight="1">
      <c r="A438" s="64" t="str">
        <f>A18</f>
        <v>240-8 Panel (4L4R)</v>
      </c>
      <c r="B438" s="92"/>
      <c r="C438" s="161"/>
      <c r="D438" s="161"/>
      <c r="E438" s="109"/>
      <c r="F438" s="347"/>
      <c r="H438" s="44"/>
      <c r="I438" s="44"/>
      <c r="J438" s="119"/>
    </row>
    <row r="439" spans="1:10" s="1" customFormat="1" ht="15.9" customHeight="1">
      <c r="A439" s="76" t="str">
        <f>A19</f>
        <v xml:space="preserve">Outside Bi Fold Door </v>
      </c>
      <c r="C439" s="42"/>
      <c r="D439" s="161"/>
      <c r="E439" s="109"/>
      <c r="F439" s="68"/>
      <c r="H439" s="44"/>
      <c r="I439" s="44"/>
      <c r="J439" s="119"/>
    </row>
    <row r="440" spans="1:10" s="1" customFormat="1" ht="15.9" customHeight="1">
      <c r="A440" s="39"/>
      <c r="C440" s="161"/>
      <c r="D440" s="161"/>
      <c r="E440" s="109"/>
      <c r="F440" s="37"/>
      <c r="H440" s="44"/>
      <c r="I440" s="44"/>
      <c r="J440" s="119"/>
    </row>
    <row r="441" spans="1:10" s="1" customFormat="1" ht="15.9" customHeight="1">
      <c r="A441" s="44"/>
      <c r="B441" s="38"/>
      <c r="C441" s="43"/>
      <c r="D441" s="161"/>
      <c r="E441" s="109"/>
      <c r="F441" s="109"/>
      <c r="H441" s="44"/>
      <c r="I441" s="44"/>
      <c r="J441" s="119"/>
    </row>
    <row r="442" spans="1:10" s="1" customFormat="1" ht="15.9" customHeight="1">
      <c r="A442" s="40"/>
      <c r="C442" s="44"/>
      <c r="D442" s="84"/>
      <c r="E442" s="44"/>
      <c r="F442" s="44"/>
      <c r="H442" s="44"/>
      <c r="I442" s="44"/>
      <c r="J442" s="119"/>
    </row>
    <row r="443" spans="1:10" ht="15.6">
      <c r="B443" s="64"/>
      <c r="C443" s="163"/>
      <c r="D443" s="161"/>
      <c r="E443" s="109"/>
      <c r="F443" s="161"/>
      <c r="G443" s="109"/>
      <c r="H443" s="109"/>
    </row>
    <row r="448" spans="1:10" s="1" customFormat="1" ht="15.9" customHeight="1">
      <c r="A448" s="109"/>
      <c r="B448"/>
      <c r="C448"/>
      <c r="D448" s="81"/>
      <c r="E448"/>
      <c r="F448"/>
      <c r="G448"/>
      <c r="H448"/>
      <c r="I448" s="24"/>
      <c r="J448" s="24"/>
    </row>
    <row r="449" spans="1:10" s="1" customFormat="1" ht="15.9" customHeight="1">
      <c r="A449" s="109"/>
      <c r="B449" s="33"/>
      <c r="C449" s="33"/>
      <c r="D449" s="161"/>
      <c r="E449" s="109"/>
      <c r="F449" s="161"/>
      <c r="G449" s="109"/>
      <c r="H449" s="109"/>
      <c r="I449" s="24"/>
      <c r="J449" s="24"/>
    </row>
    <row r="450" spans="1:10" s="1" customFormat="1" ht="15.9" customHeight="1">
      <c r="A450" s="109"/>
      <c r="B450" s="33"/>
      <c r="C450" s="33"/>
      <c r="D450" s="161"/>
      <c r="E450" s="109"/>
      <c r="F450" s="161"/>
      <c r="G450" s="109"/>
      <c r="H450" s="109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44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161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163"/>
      <c r="D454" s="161"/>
      <c r="E454" s="109"/>
      <c r="F454" s="161"/>
      <c r="G454" s="109"/>
      <c r="H454" s="109"/>
      <c r="I454" s="109"/>
      <c r="J454" s="24"/>
    </row>
    <row r="455" spans="1:10" s="1" customFormat="1" ht="15.9" customHeight="1">
      <c r="A455" s="109"/>
      <c r="B455" s="33"/>
      <c r="C455" s="161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33"/>
      <c r="D456" s="161"/>
      <c r="E456" s="109"/>
      <c r="F456" s="109"/>
      <c r="G456" s="109"/>
      <c r="H456" s="109"/>
      <c r="I456" s="24"/>
      <c r="J456" s="24"/>
    </row>
    <row r="457" spans="1:10" s="1" customFormat="1" ht="15" customHeight="1">
      <c r="A457" s="109"/>
      <c r="B457" s="33"/>
      <c r="C457" s="33"/>
      <c r="D457" s="161"/>
      <c r="E457" s="109"/>
      <c r="F457" s="109"/>
      <c r="G457" s="109"/>
      <c r="H457" s="107"/>
      <c r="I457" s="24"/>
      <c r="J457" s="24"/>
    </row>
    <row r="458" spans="1:10" s="1" customFormat="1" ht="15" customHeight="1">
      <c r="A458" s="109"/>
      <c r="B458" s="33"/>
      <c r="C458" s="33"/>
      <c r="D458" s="161"/>
      <c r="E458" s="109"/>
      <c r="F458" s="109"/>
      <c r="G458" s="109"/>
      <c r="H458" s="109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9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23" customFormat="1" ht="15.9" customHeight="1">
      <c r="A475" s="109"/>
      <c r="B475" s="33"/>
      <c r="C475" s="33"/>
      <c r="D475" s="161"/>
      <c r="E475" s="109"/>
      <c r="F475" s="109"/>
      <c r="G475" s="109"/>
      <c r="H475" s="109"/>
      <c r="I475" s="109"/>
      <c r="J475" s="109"/>
    </row>
    <row r="476" spans="1:10" s="1" customFormat="1" ht="15.9" customHeight="1">
      <c r="A476" s="44"/>
      <c r="B476" s="33"/>
      <c r="C476" s="33"/>
      <c r="D476" s="161"/>
      <c r="E476" s="109"/>
      <c r="F476" s="109"/>
      <c r="G476" s="109"/>
      <c r="H476" s="109"/>
      <c r="I476" s="44"/>
      <c r="J476" s="119"/>
    </row>
    <row r="477" spans="1:10" s="1" customFormat="1" ht="15.9" customHeight="1">
      <c r="A477" s="40"/>
      <c r="B477" s="44"/>
      <c r="C477" s="44"/>
      <c r="D477" s="84"/>
      <c r="E477" s="44"/>
      <c r="F477" s="44"/>
      <c r="G477" s="44"/>
      <c r="H477" s="44"/>
      <c r="I477" s="32"/>
      <c r="J477" s="40"/>
    </row>
    <row r="478" spans="1:10" s="1" customFormat="1" ht="15.9" customHeight="1">
      <c r="A478" s="27"/>
      <c r="B478" s="40"/>
      <c r="C478" s="44"/>
      <c r="D478" s="85"/>
      <c r="E478" s="40"/>
      <c r="F478" s="32"/>
      <c r="G478" s="40"/>
      <c r="H478" s="32"/>
      <c r="I478" s="24"/>
      <c r="J478" s="24"/>
    </row>
    <row r="479" spans="1:10" s="1" customFormat="1" ht="15.9" customHeight="1">
      <c r="A479" s="27"/>
      <c r="B479" s="33"/>
      <c r="C479" s="42"/>
      <c r="D479" s="161"/>
      <c r="E479" s="109"/>
      <c r="F479" s="109"/>
      <c r="G479" s="109"/>
      <c r="H479" s="42"/>
      <c r="I479" s="67"/>
      <c r="J479" s="165"/>
    </row>
    <row r="480" spans="1:10" s="1" customFormat="1" ht="15.9" customHeight="1">
      <c r="A480" s="27"/>
      <c r="B480" s="33"/>
      <c r="C480" s="163"/>
      <c r="D480" s="161"/>
      <c r="E480" s="109"/>
      <c r="F480" s="109"/>
      <c r="G480" s="109"/>
      <c r="H480" s="67"/>
      <c r="I480" s="38"/>
      <c r="J480" s="109"/>
    </row>
    <row r="481" spans="1:10" s="1" customFormat="1" ht="15.9" customHeight="1">
      <c r="A481" s="27"/>
      <c r="B481" s="33"/>
      <c r="C481" s="161"/>
      <c r="D481" s="161"/>
      <c r="E481" s="109"/>
      <c r="F481" s="109"/>
      <c r="G481" s="109"/>
      <c r="H481" s="38"/>
      <c r="I481" s="24"/>
      <c r="J481" s="24"/>
    </row>
    <row r="482" spans="1:10" s="1" customFormat="1" ht="15.9" customHeight="1">
      <c r="A482" s="27"/>
      <c r="B482" s="33"/>
      <c r="C482" s="33"/>
      <c r="D482" s="161"/>
      <c r="E482" s="109"/>
      <c r="F482" s="109"/>
      <c r="G482" s="109"/>
      <c r="H482" s="109"/>
      <c r="I482" s="24"/>
      <c r="J482" s="24"/>
    </row>
    <row r="483" spans="1:10" s="1" customFormat="1" ht="15.9" customHeight="1">
      <c r="A483" s="27"/>
      <c r="B483" s="33"/>
      <c r="C483" s="33"/>
      <c r="D483" s="161"/>
      <c r="E483" s="109"/>
      <c r="F483" s="109"/>
      <c r="G483" s="109"/>
      <c r="H483" s="109"/>
      <c r="I483" s="24"/>
      <c r="J483" s="24"/>
    </row>
    <row r="484" spans="1:10" s="1" customFormat="1" ht="15.9" customHeight="1">
      <c r="A484" s="27"/>
      <c r="B484" s="33"/>
      <c r="C484" s="46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161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33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33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B492" s="33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D493" s="161"/>
      <c r="E493" s="109"/>
      <c r="F493" s="109"/>
      <c r="G493" s="33"/>
      <c r="H493" s="33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B495" s="33"/>
      <c r="C495" s="33"/>
      <c r="D495" s="161"/>
      <c r="E495" s="109"/>
      <c r="F495" s="109"/>
      <c r="G495" s="109"/>
      <c r="H495" s="109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42"/>
      <c r="I497" s="67"/>
      <c r="J497" s="165"/>
    </row>
    <row r="498" spans="1:10" s="1" customFormat="1" ht="15.9" customHeight="1">
      <c r="A498" s="27"/>
      <c r="B498" s="33"/>
      <c r="C498" s="47"/>
      <c r="D498" s="161"/>
      <c r="E498" s="109"/>
      <c r="F498" s="109"/>
      <c r="G498" s="109"/>
      <c r="H498" s="67"/>
      <c r="I498" s="38"/>
      <c r="J498" s="109"/>
    </row>
    <row r="499" spans="1:10" s="1" customFormat="1" ht="15.9" customHeight="1">
      <c r="A499" s="27"/>
      <c r="B499" s="33"/>
      <c r="C499" s="46"/>
      <c r="D499" s="161"/>
      <c r="E499" s="109"/>
      <c r="F499" s="109"/>
      <c r="G499" s="109"/>
      <c r="H499" s="38"/>
      <c r="I499" s="24"/>
      <c r="J499" s="24"/>
    </row>
    <row r="500" spans="1:10" s="1" customFormat="1" ht="15.9" customHeight="1">
      <c r="A500" s="27"/>
      <c r="B500" s="33"/>
      <c r="C500" s="161"/>
      <c r="D500" s="161"/>
      <c r="E500" s="109"/>
      <c r="F500" s="109"/>
      <c r="G500" s="109"/>
      <c r="H500" s="42"/>
      <c r="I500" s="67"/>
      <c r="J500" s="165"/>
    </row>
    <row r="501" spans="1:10" s="1" customFormat="1" ht="15.9" customHeight="1">
      <c r="A501" s="27"/>
      <c r="B501" s="33"/>
      <c r="C501" s="33"/>
      <c r="D501" s="161"/>
      <c r="E501" s="109"/>
      <c r="F501" s="109"/>
      <c r="G501" s="109"/>
      <c r="H501" s="67"/>
      <c r="I501" s="38"/>
      <c r="J501" s="109"/>
    </row>
    <row r="502" spans="1:10" s="1" customFormat="1" ht="15.9" customHeight="1">
      <c r="A502" s="27"/>
      <c r="B502" s="33"/>
      <c r="C502" s="33"/>
      <c r="D502" s="161"/>
      <c r="E502" s="109"/>
      <c r="F502" s="109"/>
      <c r="G502" s="109"/>
      <c r="H502" s="38"/>
      <c r="I502" s="24"/>
      <c r="J502" s="24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109"/>
      <c r="I503" s="24"/>
      <c r="J503" s="24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109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24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24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43"/>
      <c r="J512" s="107"/>
    </row>
    <row r="513" spans="1:15" s="1" customFormat="1" ht="15.9" customHeight="1">
      <c r="A513" s="44"/>
      <c r="B513" s="33"/>
      <c r="C513" s="33"/>
      <c r="D513" s="161"/>
      <c r="E513" s="109"/>
      <c r="F513" s="109"/>
      <c r="G513" s="109"/>
      <c r="H513" s="67"/>
      <c r="I513" s="44"/>
      <c r="J513" s="119"/>
    </row>
    <row r="514" spans="1:15" s="1" customFormat="1" ht="15.9" customHeight="1">
      <c r="A514" s="44"/>
      <c r="B514" s="44"/>
      <c r="C514" s="44"/>
      <c r="D514" s="84"/>
      <c r="E514" s="44"/>
      <c r="F514" s="44"/>
      <c r="G514" s="44"/>
      <c r="H514" s="44"/>
      <c r="I514" s="44"/>
      <c r="J514" s="119"/>
    </row>
    <row r="515" spans="1:15" s="1" customFormat="1" ht="15.9" customHeight="1">
      <c r="A515" s="44"/>
      <c r="B515" s="44"/>
      <c r="C515" s="44"/>
      <c r="D515" s="84"/>
      <c r="E515" s="44"/>
      <c r="F515" s="44"/>
      <c r="G515" s="44"/>
      <c r="H515" s="44"/>
      <c r="I515" s="44"/>
      <c r="J515" s="119"/>
    </row>
    <row r="516" spans="1:15" s="1" customFormat="1" ht="15.9" customHeight="1">
      <c r="B516" s="44"/>
      <c r="C516" s="44"/>
      <c r="D516" s="84"/>
      <c r="E516" s="44"/>
      <c r="F516" s="44"/>
      <c r="G516" s="44"/>
      <c r="H516" s="44"/>
    </row>
    <row r="517" spans="1:15" s="1" customFormat="1" ht="15.9" customHeight="1" thickBot="1"/>
    <row r="518" spans="1:15" s="1" customFormat="1" ht="24.9" customHeight="1" thickBot="1">
      <c r="A518" s="502" t="s">
        <v>401</v>
      </c>
      <c r="B518" s="503"/>
      <c r="C518" s="503"/>
      <c r="D518" s="503"/>
      <c r="E518" s="503"/>
      <c r="F518" s="503"/>
      <c r="G518" s="503"/>
      <c r="H518" s="503"/>
      <c r="I518" s="503"/>
      <c r="J518" s="504"/>
    </row>
    <row r="519" spans="1:15" s="1" customFormat="1" ht="35.1" customHeight="1" thickBot="1">
      <c r="A519" s="102" t="s">
        <v>2</v>
      </c>
      <c r="B519" s="103" t="s">
        <v>3</v>
      </c>
      <c r="C519" s="103" t="s">
        <v>3</v>
      </c>
      <c r="D519" s="104" t="s">
        <v>35</v>
      </c>
      <c r="E519" s="103" t="s">
        <v>5</v>
      </c>
      <c r="F519" s="351" t="s">
        <v>27</v>
      </c>
      <c r="G519" s="305"/>
      <c r="H519" s="104" t="s">
        <v>27</v>
      </c>
      <c r="I519" s="104" t="s">
        <v>26</v>
      </c>
      <c r="J519" s="115" t="s">
        <v>6</v>
      </c>
      <c r="N519" s="249" t="s">
        <v>3</v>
      </c>
      <c r="O519" s="249" t="s">
        <v>3</v>
      </c>
    </row>
    <row r="520" spans="1:15" s="1" customFormat="1" ht="15.9" customHeight="1">
      <c r="A520" s="123">
        <f>IF(C520="","",1)</f>
        <v>1</v>
      </c>
      <c r="B520" s="121" t="str">
        <f>IF($D$127=5,N520,IF($D$127=6,N521,IF($D$127=8,N522,IF($D$127=10,N523,IF($D$127=12,N524,IF($D$127=14,N525,IF($D$127=18,N526,IF($D$127=20,N527,IF($D$127=22,N528,)))))))))</f>
        <v>กระจก 6 mm (สูง) (กว้าง)</v>
      </c>
      <c r="C520" s="121" t="str">
        <f>IF($D$127=5,O520,IF($D$127=6,O521,IF($D$127=8,O522,IF($D$127=10,O523,IF($D$127=12,O524,IF($D$127=14,O525,IF($D$127=18,O526,IF($D$127=20,O527,IF($D$127=22,O528,)))))))))</f>
        <v>GLASS thk.6 mm (H) (W)</v>
      </c>
      <c r="D520" s="124">
        <f>$J$123-215</f>
        <v>2185</v>
      </c>
      <c r="E520" s="123" t="s">
        <v>11</v>
      </c>
      <c r="F520" s="527" t="s">
        <v>271</v>
      </c>
      <c r="G520" s="528"/>
      <c r="H520" s="123" t="s">
        <v>410</v>
      </c>
      <c r="I520" s="124">
        <f>(($J$126-185-(113.25*7))/8)-13</f>
        <v>386.03125</v>
      </c>
      <c r="J520" s="151">
        <f>$J$120*8</f>
        <v>8</v>
      </c>
      <c r="M520" s="1">
        <f>ROW()</f>
        <v>520</v>
      </c>
      <c r="N520" s="19" t="s">
        <v>194</v>
      </c>
      <c r="O520" s="19" t="s">
        <v>195</v>
      </c>
    </row>
    <row r="521" spans="1:15" s="1" customFormat="1" ht="15.9" customHeight="1">
      <c r="A521" s="346"/>
      <c r="B521" s="295"/>
      <c r="C521" s="295"/>
      <c r="D521" s="296"/>
      <c r="E521" s="238"/>
      <c r="F521" s="251"/>
      <c r="G521" s="297"/>
      <c r="H521" s="238"/>
      <c r="I521" s="298"/>
      <c r="J521" s="299"/>
      <c r="M521" s="1">
        <f>ROW()</f>
        <v>521</v>
      </c>
      <c r="N521" s="19" t="s">
        <v>53</v>
      </c>
      <c r="O521" s="19" t="s">
        <v>54</v>
      </c>
    </row>
    <row r="522" spans="1:15" s="1" customFormat="1" ht="15.9" customHeight="1">
      <c r="A522" s="346"/>
      <c r="B522" s="295"/>
      <c r="C522" s="295"/>
      <c r="D522" s="296"/>
      <c r="E522" s="238"/>
      <c r="F522" s="251"/>
      <c r="G522" s="297"/>
      <c r="H522" s="238"/>
      <c r="I522" s="298"/>
      <c r="J522" s="299"/>
      <c r="M522" s="1">
        <f>ROW()</f>
        <v>522</v>
      </c>
      <c r="N522" s="19" t="s">
        <v>257</v>
      </c>
      <c r="O522" s="19" t="s">
        <v>258</v>
      </c>
    </row>
    <row r="523" spans="1:15" s="1" customFormat="1" ht="15.9" customHeight="1">
      <c r="A523" s="129" t="str">
        <f>IF(B523="","",+#REF!+1)</f>
        <v/>
      </c>
      <c r="B523" s="127"/>
      <c r="C523" s="127"/>
      <c r="D523" s="128"/>
      <c r="E523" s="129"/>
      <c r="F523" s="155"/>
      <c r="G523" s="157"/>
      <c r="H523" s="129"/>
      <c r="I523" s="144"/>
      <c r="J523" s="130"/>
      <c r="M523" s="1">
        <f>ROW()</f>
        <v>523</v>
      </c>
      <c r="N523" s="19" t="s">
        <v>259</v>
      </c>
      <c r="O523" s="19" t="s">
        <v>265</v>
      </c>
    </row>
    <row r="524" spans="1:15" s="1" customFormat="1" ht="15.9" customHeight="1">
      <c r="A524" s="135" t="str">
        <f>IF(B524="","",+A523+1)</f>
        <v/>
      </c>
      <c r="B524" s="133"/>
      <c r="C524" s="133"/>
      <c r="D524" s="134"/>
      <c r="E524" s="135"/>
      <c r="F524" s="158"/>
      <c r="G524" s="159"/>
      <c r="H524" s="135"/>
      <c r="I524" s="145"/>
      <c r="J524" s="136"/>
      <c r="M524" s="1">
        <f>ROW()</f>
        <v>524</v>
      </c>
      <c r="N524" s="19" t="s">
        <v>260</v>
      </c>
      <c r="O524" s="19" t="s">
        <v>266</v>
      </c>
    </row>
    <row r="525" spans="1:15" s="1" customFormat="1" ht="15.9" customHeight="1">
      <c r="A525" s="17"/>
      <c r="B525" s="56"/>
      <c r="C525" s="56"/>
      <c r="D525" s="30"/>
      <c r="E525" s="17"/>
      <c r="F525" s="17"/>
      <c r="G525" s="17"/>
      <c r="H525" s="109"/>
      <c r="I525" s="109"/>
      <c r="J525" s="24"/>
      <c r="M525" s="1">
        <f>ROW()</f>
        <v>525</v>
      </c>
      <c r="N525" s="19" t="s">
        <v>261</v>
      </c>
      <c r="O525" s="19" t="s">
        <v>267</v>
      </c>
    </row>
    <row r="526" spans="1:15">
      <c r="H526" s="294"/>
      <c r="I526" s="294"/>
      <c r="J526" s="99" t="str">
        <f>LEFT($J$111,13)&amp;"-05"</f>
        <v>FG-240-8P4L4R-05</v>
      </c>
      <c r="M526" s="1">
        <f>ROW()</f>
        <v>526</v>
      </c>
      <c r="N526" s="19" t="s">
        <v>262</v>
      </c>
      <c r="O526" s="19" t="s">
        <v>268</v>
      </c>
    </row>
    <row r="527" spans="1:15">
      <c r="M527" s="1">
        <f>ROW()</f>
        <v>527</v>
      </c>
      <c r="N527" s="19" t="s">
        <v>263</v>
      </c>
      <c r="O527" s="19" t="s">
        <v>269</v>
      </c>
    </row>
    <row r="528" spans="1:15">
      <c r="M528" s="1">
        <f>ROW()</f>
        <v>528</v>
      </c>
      <c r="N528" s="19" t="s">
        <v>264</v>
      </c>
      <c r="O528" s="19" t="s">
        <v>270</v>
      </c>
    </row>
  </sheetData>
  <sheetProtection selectLockedCells="1" selectUnlockedCells="1"/>
  <dataConsolidate function="product">
    <dataRefs count="1">
      <dataRef ref="N129:N131" sheet="240_7Panel(6L1R)" r:id="rId1"/>
    </dataRefs>
  </dataConsolidate>
  <mergeCells count="44">
    <mergeCell ref="A6:J6"/>
    <mergeCell ref="A117:J117"/>
    <mergeCell ref="D119:G119"/>
    <mergeCell ref="H120:I121"/>
    <mergeCell ref="J120:J121"/>
    <mergeCell ref="D121:G121"/>
    <mergeCell ref="I157:J157"/>
    <mergeCell ref="D123:G123"/>
    <mergeCell ref="H123:I124"/>
    <mergeCell ref="J123:J124"/>
    <mergeCell ref="A125:B125"/>
    <mergeCell ref="D125:G125"/>
    <mergeCell ref="H126:I127"/>
    <mergeCell ref="J126:J127"/>
    <mergeCell ref="D127:G127"/>
    <mergeCell ref="D129:G129"/>
    <mergeCell ref="A131:J131"/>
    <mergeCell ref="I154:J154"/>
    <mergeCell ref="I155:J155"/>
    <mergeCell ref="I156:J156"/>
    <mergeCell ref="I158:J158"/>
    <mergeCell ref="H159:H160"/>
    <mergeCell ref="I159:J160"/>
    <mergeCell ref="I161:J161"/>
    <mergeCell ref="I162:J165"/>
    <mergeCell ref="H161:H162"/>
    <mergeCell ref="H163:H167"/>
    <mergeCell ref="D159:D160"/>
    <mergeCell ref="A170:J170"/>
    <mergeCell ref="I168:J168"/>
    <mergeCell ref="I166:J167"/>
    <mergeCell ref="D161:D162"/>
    <mergeCell ref="D163:D167"/>
    <mergeCell ref="D168:D169"/>
    <mergeCell ref="H168:H169"/>
    <mergeCell ref="F333:G333"/>
    <mergeCell ref="A426:J426"/>
    <mergeCell ref="A518:J518"/>
    <mergeCell ref="F520:G520"/>
    <mergeCell ref="A212:J212"/>
    <mergeCell ref="C309:E309"/>
    <mergeCell ref="A319:J319"/>
    <mergeCell ref="F329:G329"/>
    <mergeCell ref="F330:G330"/>
  </mergeCells>
  <dataValidations disablePrompts="1" count="4">
    <dataValidation type="list" allowBlank="1" showInputMessage="1" showErrorMessage="1" sqref="D129:G129">
      <formula1>$O$119</formula1>
    </dataValidation>
    <dataValidation type="list" allowBlank="1" showInputMessage="1" showErrorMessage="1" sqref="D127:G127">
      <formula1>$N$119:$N$127</formula1>
    </dataValidation>
    <dataValidation type="list" allowBlank="1" showInputMessage="1" showErrorMessage="1" sqref="C205">
      <formula1>$O$172:$O$190</formula1>
    </dataValidation>
    <dataValidation type="list" allowBlank="1" showInputMessage="1" showErrorMessage="1" sqref="D123:G123">
      <formula1>$P$118:$P$128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4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6" max="9" man="1"/>
    <brk id="313" max="16383" man="1"/>
    <brk id="420" max="9" man="1"/>
  </rowBreaks>
  <drawing r:id="rId3"/>
  <legacyDrawing r:id="rId4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9">
    <tabColor theme="5" tint="-0.249977111117893"/>
  </sheetPr>
  <dimension ref="A1:X528"/>
  <sheetViews>
    <sheetView showGridLines="0" view="pageBreakPreview" topLeftCell="A115" zoomScale="75" zoomScaleNormal="75" zoomScaleSheetLayoutView="75" workbookViewId="0">
      <selection activeCell="H123" sqref="H123:I124"/>
    </sheetView>
  </sheetViews>
  <sheetFormatPr defaultRowHeight="14.4" outlineLevelRow="1" outlineLevelCol="1"/>
  <cols>
    <col min="1" max="1" width="7" customWidth="1"/>
    <col min="2" max="2" width="40.6640625" customWidth="1"/>
    <col min="3" max="3" width="61.10937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6.6640625" customWidth="1"/>
    <col min="9" max="9" width="11.109375" bestFit="1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11.33203125" hidden="1" customWidth="1" outlineLevel="1"/>
    <col min="18" max="18" width="13.6640625" hidden="1" customWidth="1" outlineLevel="1"/>
    <col min="19" max="19" width="12" hidden="1" customWidth="1" outlineLevel="1"/>
    <col min="20" max="20" width="15.109375" hidden="1" customWidth="1" outlineLevel="1"/>
    <col min="21" max="21" width="19.88671875" hidden="1" customWidth="1" outlineLevel="1"/>
    <col min="22" max="22" width="10.5546875" hidden="1" customWidth="1" outlineLevel="1"/>
    <col min="23" max="23" width="10.88671875" hidden="1" customWidth="1" outlineLevel="1"/>
    <col min="24" max="24" width="9.109375" collapsed="1"/>
  </cols>
  <sheetData>
    <row r="1" spans="1:14" ht="12.75" customHeight="1"/>
    <row r="2" spans="1:14" ht="30" customHeight="1">
      <c r="B2" s="235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35"/>
      <c r="E3" s="235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196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/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>
      <c r="G55" s="10"/>
    </row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351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35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35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8">
      <c r="A118" s="12"/>
      <c r="C118" s="8"/>
      <c r="D118" s="15"/>
      <c r="E118" s="13"/>
      <c r="J118" s="237"/>
      <c r="K118" s="11"/>
      <c r="L118" s="56"/>
      <c r="M118" s="56"/>
      <c r="N118" s="243" t="s">
        <v>191</v>
      </c>
      <c r="O118" s="12" t="s">
        <v>227</v>
      </c>
      <c r="P118" s="247" t="s">
        <v>16</v>
      </c>
    </row>
    <row r="119" spans="1:16" s="1" customFormat="1" ht="15" customHeight="1">
      <c r="A119" s="12"/>
      <c r="C119" s="110" t="s">
        <v>635</v>
      </c>
      <c r="D119" s="524" t="s">
        <v>675</v>
      </c>
      <c r="E119" s="525"/>
      <c r="F119" s="525"/>
      <c r="G119" s="526"/>
      <c r="I119" s="16"/>
      <c r="J119" s="12"/>
      <c r="N119" s="244">
        <v>5</v>
      </c>
      <c r="O119" s="12" t="s">
        <v>243</v>
      </c>
      <c r="P119" s="335" t="s">
        <v>389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5">
        <v>6</v>
      </c>
      <c r="O120" s="12" t="s">
        <v>244</v>
      </c>
      <c r="P120" s="336" t="s">
        <v>390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8</v>
      </c>
      <c r="P121" s="336" t="s">
        <v>391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10</v>
      </c>
      <c r="P122" s="336" t="s">
        <v>392</v>
      </c>
    </row>
    <row r="123" spans="1:16" s="1" customFormat="1" ht="15" customHeight="1">
      <c r="A123" s="12"/>
      <c r="C123" s="110" t="s">
        <v>629</v>
      </c>
      <c r="D123" s="524" t="s">
        <v>394</v>
      </c>
      <c r="E123" s="525"/>
      <c r="F123" s="525"/>
      <c r="G123" s="526"/>
      <c r="H123" s="519" t="s">
        <v>638</v>
      </c>
      <c r="I123" s="520"/>
      <c r="J123" s="517">
        <v>2600</v>
      </c>
      <c r="N123" s="245">
        <v>12</v>
      </c>
      <c r="P123" s="335" t="s">
        <v>393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14</v>
      </c>
      <c r="P124" s="335" t="s">
        <v>394</v>
      </c>
    </row>
    <row r="125" spans="1:16" s="1" customFormat="1" ht="15" customHeight="1">
      <c r="A125" s="532"/>
      <c r="B125" s="532"/>
      <c r="C125" s="111" t="s">
        <v>630</v>
      </c>
      <c r="D125" s="524" t="s">
        <v>663</v>
      </c>
      <c r="E125" s="525"/>
      <c r="F125" s="525"/>
      <c r="G125" s="526"/>
      <c r="H125" s="41"/>
      <c r="I125" s="41"/>
      <c r="J125" s="12"/>
      <c r="K125" s="236"/>
      <c r="L125" s="77"/>
      <c r="N125" s="245">
        <v>18</v>
      </c>
      <c r="P125" s="335" t="s">
        <v>395</v>
      </c>
    </row>
    <row r="126" spans="1:16" s="1" customFormat="1" ht="15" customHeight="1">
      <c r="A126" s="237"/>
      <c r="B126" s="237"/>
      <c r="C126" s="423" t="s">
        <v>631</v>
      </c>
      <c r="D126" s="15"/>
      <c r="H126" s="519" t="s">
        <v>639</v>
      </c>
      <c r="I126" s="520"/>
      <c r="J126" s="517">
        <v>4800</v>
      </c>
      <c r="K126" s="236"/>
      <c r="L126" s="77"/>
      <c r="N126" s="245">
        <v>20</v>
      </c>
      <c r="P126" s="335" t="s">
        <v>396</v>
      </c>
    </row>
    <row r="127" spans="1:16" s="1" customFormat="1" ht="15" customHeight="1">
      <c r="A127" s="237"/>
      <c r="B127" s="237"/>
      <c r="C127" s="110" t="s">
        <v>633</v>
      </c>
      <c r="D127" s="534">
        <v>6</v>
      </c>
      <c r="E127" s="535"/>
      <c r="F127" s="535"/>
      <c r="G127" s="536"/>
      <c r="H127" s="520"/>
      <c r="I127" s="520"/>
      <c r="J127" s="518"/>
      <c r="N127" s="245">
        <v>22</v>
      </c>
      <c r="P127" s="335" t="s">
        <v>397</v>
      </c>
    </row>
    <row r="128" spans="1:16" s="1" customFormat="1" ht="18.75" customHeight="1">
      <c r="C128" s="423" t="s">
        <v>632</v>
      </c>
      <c r="I128" s="12"/>
      <c r="J128" s="12"/>
    </row>
    <row r="129" spans="1:23" s="1" customFormat="1" ht="15" customHeight="1">
      <c r="A129" s="88" t="str">
        <f>A18</f>
        <v>240-8 Panel (5L3R)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4740</v>
      </c>
      <c r="J133" s="125">
        <f t="shared" ref="J133:J153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16</v>
      </c>
      <c r="U133" s="283" t="s">
        <v>301</v>
      </c>
      <c r="V133" s="285">
        <f>($J$126-185-(113.25*7))/8</f>
        <v>477.78125</v>
      </c>
      <c r="W133" s="286">
        <f>$J$120*T133</f>
        <v>16</v>
      </c>
    </row>
    <row r="134" spans="1:23" s="1" customFormat="1" ht="18" customHeight="1">
      <c r="A134" s="143">
        <f t="shared" ref="A134:A153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4714</v>
      </c>
      <c r="J134" s="131">
        <f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16</v>
      </c>
      <c r="U134" s="129" t="s">
        <v>301</v>
      </c>
      <c r="V134" s="144">
        <f>($J$126-185-(113.25*7))/8</f>
        <v>477.78125</v>
      </c>
      <c r="W134" s="131">
        <f t="shared" ref="W134:W135" si="2">$J$120*T134</f>
        <v>16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4740</v>
      </c>
      <c r="J135" s="131">
        <f t="shared" ref="J135:J139" si="3">$J$120*G135</f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16</v>
      </c>
      <c r="U135" s="135" t="s">
        <v>301</v>
      </c>
      <c r="V135" s="145">
        <f>($J$126-185-(113.25*7))/8</f>
        <v>477.78125</v>
      </c>
      <c r="W135" s="293">
        <f t="shared" si="2"/>
        <v>16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4740</v>
      </c>
      <c r="J136" s="131">
        <f t="shared" si="3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16</v>
      </c>
      <c r="U136" s="283" t="s">
        <v>64</v>
      </c>
      <c r="V136" s="288">
        <f>$J$123-242</f>
        <v>2358</v>
      </c>
      <c r="W136" s="286">
        <f>$J$120*T136</f>
        <v>16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2600</v>
      </c>
      <c r="J137" s="131">
        <f t="shared" si="3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16</v>
      </c>
      <c r="U137" s="129" t="s">
        <v>64</v>
      </c>
      <c r="V137" s="130">
        <f>$J$123-242</f>
        <v>2358</v>
      </c>
      <c r="W137" s="131">
        <f t="shared" ref="W137:W138" si="4">$J$120*T137</f>
        <v>16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2600</v>
      </c>
      <c r="J138" s="131">
        <f t="shared" si="3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16</v>
      </c>
      <c r="U138" s="135" t="s">
        <v>64</v>
      </c>
      <c r="V138" s="136">
        <f>$J$123-242</f>
        <v>2358</v>
      </c>
      <c r="W138" s="293">
        <f t="shared" si="4"/>
        <v>16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2504</v>
      </c>
      <c r="J139" s="131">
        <f t="shared" si="3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2504</v>
      </c>
      <c r="J140" s="131">
        <f t="shared" ref="J140" si="5">$J$120*G140</f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8</v>
      </c>
      <c r="H141" s="143" t="s">
        <v>301</v>
      </c>
      <c r="I141" s="178">
        <f>($J$126-185-(113.25*7))/8</f>
        <v>477.78125</v>
      </c>
      <c r="J141" s="131">
        <f t="shared" ref="J141:J150" si="6">$J$120*G141</f>
        <v>8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8</v>
      </c>
      <c r="H142" s="143" t="s">
        <v>301</v>
      </c>
      <c r="I142" s="178">
        <f>($J$126-185-(113.25*7))/8</f>
        <v>477.78125</v>
      </c>
      <c r="J142" s="131">
        <f t="shared" si="6"/>
        <v>8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12</v>
      </c>
      <c r="H143" s="143" t="s">
        <v>63</v>
      </c>
      <c r="I143" s="130">
        <f>$J$123-92</f>
        <v>2508</v>
      </c>
      <c r="J143" s="131">
        <f t="shared" si="6"/>
        <v>12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2</v>
      </c>
      <c r="H144" s="143" t="s">
        <v>63</v>
      </c>
      <c r="I144" s="130">
        <f t="shared" ref="I144:I146" si="7">$J$123-92</f>
        <v>2508</v>
      </c>
      <c r="J144" s="131">
        <f t="shared" si="6"/>
        <v>2</v>
      </c>
      <c r="N144" s="98"/>
    </row>
    <row r="145" spans="1:14" s="1" customFormat="1" ht="18" customHeight="1">
      <c r="A145" s="143">
        <f t="shared" si="1"/>
        <v>13</v>
      </c>
      <c r="B145" s="140" t="s">
        <v>8</v>
      </c>
      <c r="C145" s="140" t="s">
        <v>151</v>
      </c>
      <c r="D145" s="139" t="s">
        <v>50</v>
      </c>
      <c r="E145" s="143">
        <v>1.1060000000000001</v>
      </c>
      <c r="F145" s="139" t="s">
        <v>496</v>
      </c>
      <c r="G145" s="143">
        <v>1</v>
      </c>
      <c r="H145" s="143" t="s">
        <v>63</v>
      </c>
      <c r="I145" s="130">
        <f t="shared" si="7"/>
        <v>2508</v>
      </c>
      <c r="J145" s="131">
        <f t="shared" si="6"/>
        <v>1</v>
      </c>
      <c r="N145" s="98"/>
    </row>
    <row r="146" spans="1:14" s="1" customFormat="1" ht="18" customHeight="1">
      <c r="A146" s="143">
        <f t="shared" si="1"/>
        <v>14</v>
      </c>
      <c r="B146" s="140" t="s">
        <v>116</v>
      </c>
      <c r="C146" s="140" t="s">
        <v>99</v>
      </c>
      <c r="D146" s="139" t="s">
        <v>50</v>
      </c>
      <c r="E146" s="143">
        <v>1.1060000000000001</v>
      </c>
      <c r="F146" s="139" t="s">
        <v>506</v>
      </c>
      <c r="G146" s="143">
        <v>1</v>
      </c>
      <c r="H146" s="143" t="s">
        <v>63</v>
      </c>
      <c r="I146" s="130">
        <f t="shared" si="7"/>
        <v>2508</v>
      </c>
      <c r="J146" s="131">
        <f t="shared" si="6"/>
        <v>1</v>
      </c>
      <c r="N146" s="98"/>
    </row>
    <row r="147" spans="1:14" s="1" customFormat="1" ht="18" customHeight="1">
      <c r="A147" s="143">
        <f t="shared" si="1"/>
        <v>15</v>
      </c>
      <c r="B147" s="140" t="str">
        <f t="shared" ref="B147:I147" si="8">IF($D$127=5,O133,IF($D$127=6,O133,IF($D$127=8,O134,IF($D$127=10,O134,IF($D$127=12,O134,IF($D$127=14,O135,IF($D$127=18,O135,IF($D$127=20,O135,IF($D$127=22,O135,)))))))))</f>
        <v>5-6mm คิ้วตบกระจกแนวนอน</v>
      </c>
      <c r="C147" s="140" t="str">
        <f t="shared" si="8"/>
        <v>5-6mm GLAZING BEAD HORIZONTAL</v>
      </c>
      <c r="D147" s="140" t="str">
        <f t="shared" si="8"/>
        <v>B24008</v>
      </c>
      <c r="E147" s="140">
        <f t="shared" si="8"/>
        <v>0.23100000000000001</v>
      </c>
      <c r="F147" s="140" t="str">
        <f t="shared" si="8"/>
        <v>B24008-001</v>
      </c>
      <c r="G147" s="143">
        <f t="shared" si="8"/>
        <v>16</v>
      </c>
      <c r="H147" s="129" t="str">
        <f t="shared" si="8"/>
        <v>(W-185-(113.25 × 7))/8</v>
      </c>
      <c r="I147" s="178">
        <f t="shared" si="8"/>
        <v>477.78125</v>
      </c>
      <c r="J147" s="131">
        <f t="shared" si="6"/>
        <v>16</v>
      </c>
      <c r="N147" s="98"/>
    </row>
    <row r="148" spans="1:14" s="1" customFormat="1" ht="18" customHeight="1">
      <c r="A148" s="143">
        <f t="shared" si="1"/>
        <v>16</v>
      </c>
      <c r="B148" s="140" t="str">
        <f t="shared" ref="B148:I148" si="9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40" t="str">
        <f t="shared" si="9"/>
        <v>5-6mm GLAZING BEAD VERTICAL</v>
      </c>
      <c r="D148" s="140" t="str">
        <f t="shared" si="9"/>
        <v>B24008</v>
      </c>
      <c r="E148" s="140">
        <f t="shared" si="9"/>
        <v>0.23100000000000001</v>
      </c>
      <c r="F148" s="140" t="str">
        <f t="shared" si="9"/>
        <v>B24008-002</v>
      </c>
      <c r="G148" s="143">
        <f t="shared" si="9"/>
        <v>16</v>
      </c>
      <c r="H148" s="129" t="str">
        <f t="shared" si="9"/>
        <v>H-242</v>
      </c>
      <c r="I148" s="144">
        <f t="shared" si="9"/>
        <v>2358</v>
      </c>
      <c r="J148" s="131">
        <f t="shared" si="6"/>
        <v>16</v>
      </c>
      <c r="N148" s="98"/>
    </row>
    <row r="149" spans="1:14" s="1" customFormat="1" ht="18" customHeight="1">
      <c r="A149" s="143">
        <f t="shared" si="1"/>
        <v>17</v>
      </c>
      <c r="B149" s="140" t="s">
        <v>125</v>
      </c>
      <c r="C149" s="140" t="s">
        <v>124</v>
      </c>
      <c r="D149" s="139" t="s">
        <v>123</v>
      </c>
      <c r="E149" s="143"/>
      <c r="F149" s="139" t="s">
        <v>362</v>
      </c>
      <c r="G149" s="143">
        <v>1</v>
      </c>
      <c r="H149" s="143" t="s">
        <v>63</v>
      </c>
      <c r="I149" s="130">
        <f>$J$123-92</f>
        <v>2508</v>
      </c>
      <c r="J149" s="131">
        <f t="shared" si="6"/>
        <v>1</v>
      </c>
      <c r="N149" s="98"/>
    </row>
    <row r="150" spans="1:14" s="1" customFormat="1" ht="18" customHeight="1">
      <c r="A150" s="143">
        <f t="shared" si="1"/>
        <v>18</v>
      </c>
      <c r="B150" s="140" t="s">
        <v>125</v>
      </c>
      <c r="C150" s="140" t="s">
        <v>124</v>
      </c>
      <c r="D150" s="139" t="s">
        <v>123</v>
      </c>
      <c r="E150" s="143"/>
      <c r="F150" s="139" t="s">
        <v>363</v>
      </c>
      <c r="G150" s="143">
        <v>1</v>
      </c>
      <c r="H150" s="143" t="s">
        <v>63</v>
      </c>
      <c r="I150" s="130">
        <f>$J$123-92</f>
        <v>2508</v>
      </c>
      <c r="J150" s="131">
        <f t="shared" si="6"/>
        <v>1</v>
      </c>
      <c r="N150" s="98"/>
    </row>
    <row r="151" spans="1:14" s="1" customFormat="1" ht="18" customHeight="1">
      <c r="A151" s="143" t="str">
        <f t="shared" si="1"/>
        <v/>
      </c>
      <c r="B151" s="140"/>
      <c r="C151" s="140"/>
      <c r="D151" s="139"/>
      <c r="E151" s="143"/>
      <c r="F151" s="139"/>
      <c r="G151" s="143"/>
      <c r="H151" s="143"/>
      <c r="I151" s="130"/>
      <c r="J151" s="131">
        <f t="shared" ref="J151:J152" si="10">$J$120*G151</f>
        <v>0</v>
      </c>
      <c r="N151" s="98"/>
    </row>
    <row r="152" spans="1:14" s="1" customFormat="1" ht="18" customHeight="1">
      <c r="A152" s="143" t="str">
        <f t="shared" si="1"/>
        <v/>
      </c>
      <c r="B152" s="140"/>
      <c r="C152" s="140"/>
      <c r="D152" s="139"/>
      <c r="E152" s="143"/>
      <c r="F152" s="139"/>
      <c r="G152" s="143"/>
      <c r="H152" s="143"/>
      <c r="I152" s="130"/>
      <c r="J152" s="131">
        <f t="shared" si="10"/>
        <v>0</v>
      </c>
      <c r="N152" s="98"/>
    </row>
    <row r="153" spans="1:14" s="1" customFormat="1" ht="18" customHeight="1" thickBot="1">
      <c r="A153" s="143" t="str">
        <f t="shared" si="1"/>
        <v/>
      </c>
      <c r="B153" s="167"/>
      <c r="C153" s="167"/>
      <c r="D153" s="168"/>
      <c r="E153" s="166"/>
      <c r="F153" s="168"/>
      <c r="G153" s="166"/>
      <c r="H153" s="166"/>
      <c r="I153" s="171"/>
      <c r="J153" s="172">
        <f t="shared" si="0"/>
        <v>0</v>
      </c>
    </row>
    <row r="154" spans="1:14" s="1" customFormat="1" ht="27" outlineLevel="1" thickBot="1">
      <c r="A154" s="169" t="s">
        <v>2</v>
      </c>
      <c r="B154" s="169" t="s">
        <v>29</v>
      </c>
      <c r="C154" s="169" t="s">
        <v>3</v>
      </c>
      <c r="D154" s="169" t="s">
        <v>4</v>
      </c>
      <c r="E154" s="169" t="s">
        <v>5</v>
      </c>
      <c r="F154" s="177" t="s">
        <v>85</v>
      </c>
      <c r="G154" s="169" t="s">
        <v>22</v>
      </c>
      <c r="H154" s="170" t="s">
        <v>23</v>
      </c>
      <c r="I154" s="540"/>
      <c r="J154" s="541"/>
    </row>
    <row r="155" spans="1:14" s="1" customFormat="1" ht="15" customHeight="1" outlineLevel="1">
      <c r="A155" s="21">
        <f>IF(B155="","",1)</f>
        <v>1</v>
      </c>
      <c r="B155" s="173" t="str">
        <f t="shared" ref="B155:C161" si="11">B133</f>
        <v>เฟรมบน</v>
      </c>
      <c r="C155" s="173" t="str">
        <f t="shared" si="11"/>
        <v>HEAD</v>
      </c>
      <c r="D155" s="174" t="str">
        <f>VLOOKUP(C155,$C$133:$H$153,2,0)</f>
        <v>B24001</v>
      </c>
      <c r="E155" s="175">
        <f t="shared" ref="E155:E161" si="12">VLOOKUP(C155,$C$133:$H$153,3,0)</f>
        <v>1.603</v>
      </c>
      <c r="F155" s="353">
        <f>VLOOKUP(C155,$C$133:$J$153,7,0)</f>
        <v>4740</v>
      </c>
      <c r="G155" s="175">
        <f t="shared" ref="G155:G161" si="13">VLOOKUP(C155,$C$133:$J$153,8,0)</f>
        <v>1</v>
      </c>
      <c r="H155" s="191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ref="A156:A161" si="14">IF(B156="","",+A155+1)</f>
        <v>2</v>
      </c>
      <c r="B156" s="173" t="str">
        <f t="shared" si="11"/>
        <v>บังใบบน</v>
      </c>
      <c r="C156" s="173" t="str">
        <f t="shared" si="11"/>
        <v>DOOR STOP HEAD</v>
      </c>
      <c r="D156" s="174" t="str">
        <f>VLOOKUP(C156,$C$133:$H$153,2,0)</f>
        <v>B24002</v>
      </c>
      <c r="E156" s="175">
        <f t="shared" si="12"/>
        <v>0.27800000000000002</v>
      </c>
      <c r="F156" s="353">
        <f t="shared" ref="F156:F161" si="15">VLOOKUP(C156,$C$133:$I$153,7,0)</f>
        <v>4714</v>
      </c>
      <c r="G156" s="175">
        <f t="shared" si="13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si="14"/>
        <v>3</v>
      </c>
      <c r="B157" s="173" t="str">
        <f t="shared" si="11"/>
        <v xml:space="preserve">เฟรมล่าง </v>
      </c>
      <c r="C157" s="173" t="str">
        <f t="shared" si="11"/>
        <v>SILL</v>
      </c>
      <c r="D157" s="174" t="str">
        <f>VLOOKUP(C157,$C$133:$H$153,2,0)</f>
        <v>B24003</v>
      </c>
      <c r="E157" s="175">
        <f t="shared" si="12"/>
        <v>1.603</v>
      </c>
      <c r="F157" s="353">
        <f t="shared" si="15"/>
        <v>4740</v>
      </c>
      <c r="G157" s="175">
        <f t="shared" si="13"/>
        <v>1</v>
      </c>
      <c r="H157" s="192">
        <f t="shared" ref="H157:H158" si="16">ROUNDUP((F157*G157)/6400,0)</f>
        <v>1</v>
      </c>
      <c r="I157" s="501"/>
      <c r="J157" s="501"/>
    </row>
    <row r="158" spans="1:14" s="1" customFormat="1" ht="15" customHeight="1" outlineLevel="1">
      <c r="A158" s="18">
        <f t="shared" si="14"/>
        <v>4</v>
      </c>
      <c r="B158" s="173" t="str">
        <f t="shared" si="11"/>
        <v>ตัวตับธรณี</v>
      </c>
      <c r="C158" s="173" t="str">
        <f t="shared" si="11"/>
        <v>DOOR STOP SILL</v>
      </c>
      <c r="D158" s="174" t="str">
        <f>VLOOKUP(C158,$C$133:$H$153,2,0)</f>
        <v>B24004</v>
      </c>
      <c r="E158" s="175">
        <f t="shared" si="12"/>
        <v>0.51600000000000001</v>
      </c>
      <c r="F158" s="353">
        <f t="shared" si="15"/>
        <v>4740</v>
      </c>
      <c r="G158" s="175">
        <f t="shared" si="13"/>
        <v>1</v>
      </c>
      <c r="H158" s="192">
        <f t="shared" si="16"/>
        <v>1</v>
      </c>
      <c r="I158" s="501"/>
      <c r="J158" s="501"/>
    </row>
    <row r="159" spans="1:14" s="1" customFormat="1" ht="15" customHeight="1" outlineLevel="1">
      <c r="A159" s="18">
        <f t="shared" si="14"/>
        <v>5</v>
      </c>
      <c r="B159" s="173" t="str">
        <f t="shared" si="11"/>
        <v>เฟรมข้าง (ซ้าย)</v>
      </c>
      <c r="C159" s="173" t="str">
        <f t="shared" si="11"/>
        <v>JAMB (L)</v>
      </c>
      <c r="D159" s="508" t="str">
        <f>VLOOKUP(C159,$C$133:$H$153,2,0)</f>
        <v>B24005</v>
      </c>
      <c r="E159" s="175">
        <f t="shared" si="12"/>
        <v>0.89300000000000002</v>
      </c>
      <c r="F159" s="353">
        <f t="shared" si="15"/>
        <v>2600</v>
      </c>
      <c r="G159" s="175">
        <f t="shared" si="13"/>
        <v>1</v>
      </c>
      <c r="H159" s="516">
        <f>ROUNDUP(((F159*G159)+(F160*G160))/6400,0)</f>
        <v>1</v>
      </c>
      <c r="I159" s="506"/>
      <c r="J159" s="506"/>
    </row>
    <row r="160" spans="1:14" s="1" customFormat="1" ht="15" customHeight="1" outlineLevel="1">
      <c r="A160" s="18">
        <f t="shared" si="14"/>
        <v>6</v>
      </c>
      <c r="B160" s="173" t="str">
        <f t="shared" si="11"/>
        <v>เฟรมข้าง (ขวา)</v>
      </c>
      <c r="C160" s="173" t="str">
        <f t="shared" si="11"/>
        <v>JAMB (R)</v>
      </c>
      <c r="D160" s="509"/>
      <c r="E160" s="175">
        <f t="shared" si="12"/>
        <v>0.89300000000000002</v>
      </c>
      <c r="F160" s="353">
        <f t="shared" si="15"/>
        <v>2600</v>
      </c>
      <c r="G160" s="175">
        <f t="shared" si="13"/>
        <v>1</v>
      </c>
      <c r="H160" s="516"/>
      <c r="I160" s="506"/>
      <c r="J160" s="506"/>
    </row>
    <row r="161" spans="1:23" s="1" customFormat="1" ht="15" customHeight="1" outlineLevel="1">
      <c r="A161" s="18">
        <f t="shared" si="14"/>
        <v>7</v>
      </c>
      <c r="B161" s="173" t="str">
        <f t="shared" si="11"/>
        <v>บังใบข้าง (ซ้าย)</v>
      </c>
      <c r="C161" s="173" t="str">
        <f t="shared" si="11"/>
        <v>DOOR STOP JAMB (L)</v>
      </c>
      <c r="D161" s="508" t="str">
        <f>VLOOKUP(C161,$C$133:$H$153,2,0)</f>
        <v>B24006</v>
      </c>
      <c r="E161" s="175">
        <f t="shared" si="12"/>
        <v>0.23499999999999999</v>
      </c>
      <c r="F161" s="353">
        <f t="shared" si="15"/>
        <v>2504</v>
      </c>
      <c r="G161" s="175">
        <f t="shared" si="13"/>
        <v>1</v>
      </c>
      <c r="H161" s="516">
        <f>ROUNDUP(((F161*G161)+(F162*G162))/6400,0)</f>
        <v>1</v>
      </c>
      <c r="I161" s="501"/>
      <c r="J161" s="501"/>
    </row>
    <row r="162" spans="1:23" s="1" customFormat="1" ht="15" customHeight="1" outlineLevel="1">
      <c r="A162" s="18">
        <f t="shared" ref="A162:A172" si="17">IF(B162="","",+A161+1)</f>
        <v>8</v>
      </c>
      <c r="B162" s="173" t="str">
        <f t="shared" ref="B162:C162" si="18">B140</f>
        <v>บังใบข้าง (ขวา)</v>
      </c>
      <c r="C162" s="173" t="str">
        <f t="shared" si="18"/>
        <v>DOOR STOP JAMB (R)</v>
      </c>
      <c r="D162" s="509"/>
      <c r="E162" s="175">
        <f t="shared" ref="E162:E172" si="19">VLOOKUP(C162,$C$133:$H$153,3,0)</f>
        <v>0.23499999999999999</v>
      </c>
      <c r="F162" s="353">
        <f t="shared" ref="F162:F172" si="20">VLOOKUP(C162,$C$133:$I$153,7,0)</f>
        <v>2504</v>
      </c>
      <c r="G162" s="175">
        <f t="shared" ref="G162:G172" si="21">VLOOKUP(C162,$C$133:$J$153,8,0)</f>
        <v>1</v>
      </c>
      <c r="H162" s="516"/>
      <c r="I162" s="506"/>
      <c r="J162" s="506"/>
    </row>
    <row r="163" spans="1:23" s="1" customFormat="1" ht="13.8" outlineLevel="1">
      <c r="A163" s="18">
        <f t="shared" si="17"/>
        <v>9</v>
      </c>
      <c r="B163" s="173" t="str">
        <f t="shared" ref="B163:C163" si="22">B141</f>
        <v>ขวางบน</v>
      </c>
      <c r="C163" s="173" t="str">
        <f t="shared" si="22"/>
        <v>SASH (Hor) (T)</v>
      </c>
      <c r="D163" s="508" t="str">
        <f t="shared" ref="D163:D171" si="23">VLOOKUP(C163,$C$133:$H$153,2,0)</f>
        <v>B24007</v>
      </c>
      <c r="E163" s="175">
        <f t="shared" si="19"/>
        <v>1.1060000000000001</v>
      </c>
      <c r="F163" s="353">
        <f t="shared" si="20"/>
        <v>477.78125</v>
      </c>
      <c r="G163" s="175">
        <f t="shared" si="21"/>
        <v>8</v>
      </c>
      <c r="H163" s="512">
        <f>ROUNDUP(((F163*G163)+(F164*G164)+(F165*G165)+(F166*G166)+(F167*G167)+(F168*G168))/6400,0)</f>
        <v>8</v>
      </c>
      <c r="I163" s="506"/>
      <c r="J163" s="506"/>
    </row>
    <row r="164" spans="1:23" s="1" customFormat="1" ht="13.8" outlineLevel="1">
      <c r="A164" s="18">
        <f t="shared" si="17"/>
        <v>10</v>
      </c>
      <c r="B164" s="173" t="str">
        <f t="shared" ref="B164:C164" si="24">B142</f>
        <v>ขวางล่าง</v>
      </c>
      <c r="C164" s="173" t="str">
        <f t="shared" si="24"/>
        <v>SASH (Hor) (B)</v>
      </c>
      <c r="D164" s="510"/>
      <c r="E164" s="175">
        <f t="shared" si="19"/>
        <v>1.1060000000000001</v>
      </c>
      <c r="F164" s="353">
        <f t="shared" si="20"/>
        <v>477.78125</v>
      </c>
      <c r="G164" s="175">
        <f t="shared" si="21"/>
        <v>8</v>
      </c>
      <c r="H164" s="514"/>
      <c r="I164" s="506"/>
      <c r="J164" s="506"/>
    </row>
    <row r="165" spans="1:23" s="1" customFormat="1" ht="13.8" outlineLevel="1">
      <c r="A165" s="18">
        <f t="shared" si="17"/>
        <v>11</v>
      </c>
      <c r="B165" s="173" t="str">
        <f t="shared" ref="B165:C165" si="25">B143</f>
        <v>เสา</v>
      </c>
      <c r="C165" s="173" t="str">
        <f t="shared" si="25"/>
        <v xml:space="preserve">SASH (Ver) </v>
      </c>
      <c r="D165" s="510"/>
      <c r="E165" s="175">
        <f t="shared" si="19"/>
        <v>1.1060000000000001</v>
      </c>
      <c r="F165" s="353">
        <f t="shared" si="20"/>
        <v>2508</v>
      </c>
      <c r="G165" s="175">
        <f t="shared" si="21"/>
        <v>12</v>
      </c>
      <c r="H165" s="514"/>
      <c r="I165" s="506"/>
      <c r="J165" s="506"/>
    </row>
    <row r="166" spans="1:23" s="1" customFormat="1" ht="13.8" outlineLevel="1">
      <c r="A166" s="18">
        <f t="shared" si="17"/>
        <v>12</v>
      </c>
      <c r="B166" s="173" t="str">
        <f t="shared" ref="B166:C166" si="26">B144</f>
        <v>เสากุญแจ</v>
      </c>
      <c r="C166" s="173" t="str">
        <f t="shared" si="26"/>
        <v xml:space="preserve">SASH (Ver) LOCK </v>
      </c>
      <c r="D166" s="510"/>
      <c r="E166" s="175">
        <f t="shared" si="19"/>
        <v>1.1060000000000001</v>
      </c>
      <c r="F166" s="353">
        <f t="shared" si="20"/>
        <v>2508</v>
      </c>
      <c r="G166" s="175">
        <f t="shared" si="21"/>
        <v>2</v>
      </c>
      <c r="H166" s="514"/>
      <c r="I166" s="506"/>
      <c r="J166" s="506"/>
    </row>
    <row r="167" spans="1:23" s="1" customFormat="1" ht="13.8" outlineLevel="1">
      <c r="A167" s="18">
        <f t="shared" si="17"/>
        <v>13</v>
      </c>
      <c r="B167" s="173" t="str">
        <f t="shared" ref="B167:C167" si="27">B145</f>
        <v>เสากุญแจ</v>
      </c>
      <c r="C167" s="173" t="str">
        <f t="shared" si="27"/>
        <v xml:space="preserve">SASH (Ver) LOCK  </v>
      </c>
      <c r="D167" s="510"/>
      <c r="E167" s="175">
        <f t="shared" si="19"/>
        <v>1.1060000000000001</v>
      </c>
      <c r="F167" s="353">
        <f t="shared" si="20"/>
        <v>2508</v>
      </c>
      <c r="G167" s="175">
        <f t="shared" si="21"/>
        <v>1</v>
      </c>
      <c r="H167" s="514"/>
      <c r="I167" s="506"/>
      <c r="J167" s="506"/>
    </row>
    <row r="168" spans="1:23" s="1" customFormat="1" ht="13.8" outlineLevel="1">
      <c r="A168" s="18">
        <f t="shared" si="17"/>
        <v>14</v>
      </c>
      <c r="B168" s="173" t="str">
        <f t="shared" ref="B168:C168" si="28">B146</f>
        <v>เสากุญแจมือจับ</v>
      </c>
      <c r="C168" s="173" t="str">
        <f t="shared" si="28"/>
        <v>SASH (Ver) LOCK HANDLE</v>
      </c>
      <c r="D168" s="509"/>
      <c r="E168" s="175">
        <f t="shared" si="19"/>
        <v>1.1060000000000001</v>
      </c>
      <c r="F168" s="353">
        <f t="shared" si="20"/>
        <v>2508</v>
      </c>
      <c r="G168" s="175">
        <f t="shared" si="21"/>
        <v>1</v>
      </c>
      <c r="H168" s="515"/>
      <c r="I168" s="501"/>
      <c r="J168" s="501"/>
    </row>
    <row r="169" spans="1:23" s="1" customFormat="1" ht="13.8" outlineLevel="1">
      <c r="A169" s="18">
        <f t="shared" si="17"/>
        <v>15</v>
      </c>
      <c r="B169" s="173" t="str">
        <f t="shared" ref="B169:C169" si="29">B147</f>
        <v>5-6mm คิ้วตบกระจกแนวนอน</v>
      </c>
      <c r="C169" s="173" t="str">
        <f t="shared" si="29"/>
        <v>5-6mm GLAZING BEAD HORIZONTAL</v>
      </c>
      <c r="D169" s="508" t="str">
        <f t="shared" si="23"/>
        <v>B24008</v>
      </c>
      <c r="E169" s="175">
        <f t="shared" si="19"/>
        <v>0.23100000000000001</v>
      </c>
      <c r="F169" s="353">
        <f t="shared" si="20"/>
        <v>477.78125</v>
      </c>
      <c r="G169" s="175">
        <f t="shared" si="21"/>
        <v>16</v>
      </c>
      <c r="H169" s="516">
        <f>ROUNDUP(((F169*G169)+(F170*G170))/6400,0)</f>
        <v>8</v>
      </c>
      <c r="I169" s="233"/>
      <c r="J169" s="233"/>
    </row>
    <row r="170" spans="1:23" s="1" customFormat="1" ht="13.8" outlineLevel="1">
      <c r="A170" s="18">
        <f t="shared" si="17"/>
        <v>16</v>
      </c>
      <c r="B170" s="173" t="str">
        <f t="shared" ref="B170:C170" si="30">B148</f>
        <v>5-6mm คิ้วตบกระจกแนวตั้ง</v>
      </c>
      <c r="C170" s="173" t="str">
        <f t="shared" si="30"/>
        <v>5-6mm GLAZING BEAD VERTICAL</v>
      </c>
      <c r="D170" s="509"/>
      <c r="E170" s="175">
        <f t="shared" si="19"/>
        <v>0.23100000000000001</v>
      </c>
      <c r="F170" s="353">
        <f t="shared" si="20"/>
        <v>2358</v>
      </c>
      <c r="G170" s="175">
        <f t="shared" si="21"/>
        <v>16</v>
      </c>
      <c r="H170" s="516"/>
      <c r="I170" s="233"/>
      <c r="J170" s="233"/>
    </row>
    <row r="171" spans="1:23" s="1" customFormat="1" ht="13.8" outlineLevel="1">
      <c r="A171" s="18">
        <f t="shared" si="17"/>
        <v>17</v>
      </c>
      <c r="B171" s="173" t="str">
        <f t="shared" ref="B171:C171" si="31">B149</f>
        <v>บังใบ</v>
      </c>
      <c r="C171" s="173" t="str">
        <f t="shared" si="31"/>
        <v>SASH STOP</v>
      </c>
      <c r="D171" s="508" t="str">
        <f t="shared" si="23"/>
        <v>B24009</v>
      </c>
      <c r="E171" s="175">
        <f t="shared" si="19"/>
        <v>0</v>
      </c>
      <c r="F171" s="353">
        <f t="shared" si="20"/>
        <v>2508</v>
      </c>
      <c r="G171" s="175">
        <f t="shared" si="21"/>
        <v>1</v>
      </c>
      <c r="H171" s="516">
        <f>ROUNDUP(((F171*G171)+(F172*G172))/6400,0)</f>
        <v>1</v>
      </c>
      <c r="I171" s="233"/>
      <c r="J171" s="233"/>
    </row>
    <row r="172" spans="1:23" s="1" customFormat="1" outlineLevel="1" thickBot="1">
      <c r="A172" s="18">
        <f t="shared" si="17"/>
        <v>18</v>
      </c>
      <c r="B172" s="173" t="str">
        <f t="shared" ref="B172:C172" si="32">B150</f>
        <v>บังใบ</v>
      </c>
      <c r="C172" s="173" t="str">
        <f t="shared" si="32"/>
        <v>SASH STOP</v>
      </c>
      <c r="D172" s="511"/>
      <c r="E172" s="175">
        <f t="shared" si="19"/>
        <v>0</v>
      </c>
      <c r="F172" s="353">
        <f t="shared" si="20"/>
        <v>2508</v>
      </c>
      <c r="G172" s="175">
        <f t="shared" si="21"/>
        <v>1</v>
      </c>
      <c r="H172" s="516"/>
      <c r="I172" s="233"/>
      <c r="J172" s="233"/>
    </row>
    <row r="173" spans="1:23" s="1" customFormat="1" ht="24.9" customHeight="1" thickBot="1">
      <c r="A173" s="529" t="s">
        <v>9</v>
      </c>
      <c r="B173" s="530"/>
      <c r="C173" s="530"/>
      <c r="D173" s="530"/>
      <c r="E173" s="530"/>
      <c r="F173" s="530"/>
      <c r="G173" s="530"/>
      <c r="H173" s="530"/>
      <c r="I173" s="530"/>
      <c r="J173" s="531"/>
    </row>
    <row r="174" spans="1:23" s="1" customFormat="1" ht="35.1" customHeight="1" thickBot="1">
      <c r="A174" s="102" t="s">
        <v>2</v>
      </c>
      <c r="B174" s="103" t="s">
        <v>29</v>
      </c>
      <c r="C174" s="103" t="s">
        <v>3</v>
      </c>
      <c r="D174" s="103" t="s">
        <v>199</v>
      </c>
      <c r="E174" s="103" t="s">
        <v>5</v>
      </c>
      <c r="F174" s="104" t="s">
        <v>28</v>
      </c>
      <c r="G174" s="103" t="s">
        <v>19</v>
      </c>
      <c r="H174" s="104" t="s">
        <v>200</v>
      </c>
      <c r="I174" s="104" t="s">
        <v>20</v>
      </c>
      <c r="J174" s="115" t="s">
        <v>201</v>
      </c>
      <c r="N174" s="101" t="s">
        <v>191</v>
      </c>
      <c r="O174" s="246" t="s">
        <v>29</v>
      </c>
      <c r="P174" s="246" t="s">
        <v>3</v>
      </c>
      <c r="Q174" s="246" t="s">
        <v>199</v>
      </c>
      <c r="R174" s="246" t="s">
        <v>5</v>
      </c>
      <c r="S174" s="246" t="s">
        <v>28</v>
      </c>
      <c r="T174" s="246" t="s">
        <v>19</v>
      </c>
      <c r="U174" s="246" t="s">
        <v>200</v>
      </c>
      <c r="V174" s="246" t="s">
        <v>20</v>
      </c>
      <c r="W174" s="246" t="s">
        <v>201</v>
      </c>
    </row>
    <row r="175" spans="1:23" s="1" customFormat="1" ht="18" customHeight="1">
      <c r="A175" s="200">
        <f>IF(B175="","",1)</f>
        <v>1</v>
      </c>
      <c r="B175" s="140" t="s">
        <v>111</v>
      </c>
      <c r="C175" s="140" t="s">
        <v>67</v>
      </c>
      <c r="D175" s="139" t="s">
        <v>74</v>
      </c>
      <c r="E175" s="143"/>
      <c r="F175" s="143" t="s">
        <v>74</v>
      </c>
      <c r="G175" s="143" t="s">
        <v>202</v>
      </c>
      <c r="H175" s="143">
        <v>16</v>
      </c>
      <c r="I175" s="130"/>
      <c r="J175" s="131">
        <f>$J$120*H175</f>
        <v>16</v>
      </c>
      <c r="N175" s="101" t="s">
        <v>226</v>
      </c>
      <c r="O175" s="280" t="s">
        <v>252</v>
      </c>
      <c r="P175" s="290" t="s">
        <v>248</v>
      </c>
      <c r="Q175" s="280" t="s">
        <v>69</v>
      </c>
      <c r="R175" s="213"/>
      <c r="S175" s="213" t="s">
        <v>69</v>
      </c>
      <c r="T175" s="213" t="s">
        <v>198</v>
      </c>
      <c r="U175" s="291">
        <f>((($I$141*$G$141)+($I$142*$G$142)+($I$143*$G$143)+($I$144*$G$144)+($I$145*$G$145)+($I$146*$G$146))/1000)*$J$120</f>
        <v>47.772500000000001</v>
      </c>
      <c r="V175" s="291">
        <v>100</v>
      </c>
      <c r="W175" s="292">
        <f>ROUNDUP((U175)/100,0)</f>
        <v>1</v>
      </c>
    </row>
    <row r="176" spans="1:23" s="1" customFormat="1" ht="18" customHeight="1">
      <c r="A176" s="201">
        <f>IF(B176="","",+A175+1)</f>
        <v>2</v>
      </c>
      <c r="B176" s="140" t="s">
        <v>106</v>
      </c>
      <c r="C176" s="140" t="s">
        <v>503</v>
      </c>
      <c r="D176" s="139" t="s">
        <v>75</v>
      </c>
      <c r="E176" s="143"/>
      <c r="F176" s="143" t="s">
        <v>75</v>
      </c>
      <c r="G176" s="143" t="s">
        <v>202</v>
      </c>
      <c r="H176" s="143">
        <v>2</v>
      </c>
      <c r="I176" s="130"/>
      <c r="J176" s="131">
        <f t="shared" ref="J176:J200" si="33">$J$120*H176</f>
        <v>2</v>
      </c>
      <c r="N176" s="101" t="s">
        <v>230</v>
      </c>
      <c r="O176" s="280" t="s">
        <v>253</v>
      </c>
      <c r="P176" s="290" t="s">
        <v>249</v>
      </c>
      <c r="Q176" s="280" t="s">
        <v>188</v>
      </c>
      <c r="R176" s="213"/>
      <c r="S176" s="213" t="s">
        <v>188</v>
      </c>
      <c r="T176" s="213" t="s">
        <v>198</v>
      </c>
      <c r="U176" s="291">
        <f>((($I$141*$G$141)+($I$142*$G$142)+($I$143*$G$143)+($I$144*$G$144)+($I$145*$G$145)+($I$146*$G$146))/1000)*$J$120</f>
        <v>47.772500000000001</v>
      </c>
      <c r="V176" s="291">
        <v>100</v>
      </c>
      <c r="W176" s="292">
        <f t="shared" ref="W176:W178" si="34">ROUNDUP((U176)/100,0)</f>
        <v>1</v>
      </c>
    </row>
    <row r="177" spans="1:23" s="1" customFormat="1" ht="18" customHeight="1">
      <c r="A177" s="201">
        <f t="shared" ref="A177:A204" si="35">IF(B177="","",+A176+1)</f>
        <v>3</v>
      </c>
      <c r="B177" s="140" t="s">
        <v>107</v>
      </c>
      <c r="C177" s="140" t="s">
        <v>504</v>
      </c>
      <c r="D177" s="139" t="s">
        <v>76</v>
      </c>
      <c r="E177" s="143"/>
      <c r="F177" s="143" t="s">
        <v>76</v>
      </c>
      <c r="G177" s="143" t="s">
        <v>202</v>
      </c>
      <c r="H177" s="143">
        <v>2</v>
      </c>
      <c r="I177" s="130"/>
      <c r="J177" s="131">
        <f t="shared" si="33"/>
        <v>2</v>
      </c>
      <c r="N177" s="101" t="s">
        <v>229</v>
      </c>
      <c r="O177" s="290" t="s">
        <v>254</v>
      </c>
      <c r="P177" s="290" t="s">
        <v>250</v>
      </c>
      <c r="Q177" s="280" t="s">
        <v>70</v>
      </c>
      <c r="R177" s="213"/>
      <c r="S177" s="213" t="s">
        <v>70</v>
      </c>
      <c r="T177" s="213" t="s">
        <v>198</v>
      </c>
      <c r="U177" s="291">
        <f>((($I$141*$G$141)+($I$142*$G$142)+($I$143*$G$143)+($I$144*$G$144)+($I$145*$G$145)+($I$146*$G$146))/1000)*$J$120</f>
        <v>47.772500000000001</v>
      </c>
      <c r="V177" s="291">
        <v>100</v>
      </c>
      <c r="W177" s="292">
        <f t="shared" si="34"/>
        <v>1</v>
      </c>
    </row>
    <row r="178" spans="1:23" s="1" customFormat="1" ht="18" customHeight="1">
      <c r="A178" s="201">
        <f t="shared" si="35"/>
        <v>4</v>
      </c>
      <c r="B178" s="140" t="s">
        <v>108</v>
      </c>
      <c r="C178" s="140" t="s">
        <v>10</v>
      </c>
      <c r="D178" s="139">
        <v>9</v>
      </c>
      <c r="E178" s="143"/>
      <c r="F178" s="143">
        <v>9</v>
      </c>
      <c r="G178" s="143" t="s">
        <v>202</v>
      </c>
      <c r="H178" s="143">
        <v>8</v>
      </c>
      <c r="I178" s="130"/>
      <c r="J178" s="131">
        <f t="shared" si="33"/>
        <v>8</v>
      </c>
      <c r="N178" s="101" t="s">
        <v>231</v>
      </c>
      <c r="O178" s="290" t="s">
        <v>255</v>
      </c>
      <c r="P178" s="290" t="s">
        <v>251</v>
      </c>
      <c r="Q178" s="280" t="s">
        <v>189</v>
      </c>
      <c r="R178" s="213"/>
      <c r="S178" s="213" t="s">
        <v>189</v>
      </c>
      <c r="T178" s="213" t="s">
        <v>198</v>
      </c>
      <c r="U178" s="291">
        <f>((($I$141*$G$141)+($I$142*$G$142)+($I$143*$G$143)+($I$144*$G$144)+($I$145*$G$145)+($I$146*$G$146))/1000)*$J$120</f>
        <v>47.772500000000001</v>
      </c>
      <c r="V178" s="291">
        <v>100</v>
      </c>
      <c r="W178" s="292">
        <f t="shared" si="34"/>
        <v>1</v>
      </c>
    </row>
    <row r="179" spans="1:23" s="1" customFormat="1" ht="18" customHeight="1">
      <c r="A179" s="201">
        <f t="shared" si="35"/>
        <v>5</v>
      </c>
      <c r="B179" s="140" t="s">
        <v>109</v>
      </c>
      <c r="C179" s="140" t="s">
        <v>68</v>
      </c>
      <c r="D179" s="139">
        <v>9</v>
      </c>
      <c r="E179" s="143"/>
      <c r="F179" s="143">
        <v>9</v>
      </c>
      <c r="G179" s="143" t="s">
        <v>202</v>
      </c>
      <c r="H179" s="143">
        <v>110</v>
      </c>
      <c r="I179" s="130"/>
      <c r="J179" s="131">
        <f t="shared" si="33"/>
        <v>110</v>
      </c>
      <c r="N179" s="101" t="s">
        <v>232</v>
      </c>
      <c r="O179" s="290" t="s">
        <v>256</v>
      </c>
      <c r="P179" s="290" t="s">
        <v>247</v>
      </c>
      <c r="Q179" s="280" t="s">
        <v>233</v>
      </c>
      <c r="R179" s="213"/>
      <c r="S179" s="213" t="s">
        <v>233</v>
      </c>
      <c r="T179" s="213" t="s">
        <v>198</v>
      </c>
      <c r="U179" s="291">
        <f>((($I$141*$G$141)+($I$142*$G$142)+($I$143*$G$143)+($I$144*$G$144)+($I$145*$G$145)+($I$146*$G$146))/1000)*$J$120</f>
        <v>47.772500000000001</v>
      </c>
      <c r="V179" s="291">
        <v>100</v>
      </c>
      <c r="W179" s="292">
        <f>ROUNDUP((U179)/100,0)</f>
        <v>1</v>
      </c>
    </row>
    <row r="180" spans="1:23" s="1" customFormat="1" ht="18" customHeight="1">
      <c r="A180" s="201">
        <f t="shared" si="35"/>
        <v>6</v>
      </c>
      <c r="B180" s="140" t="s">
        <v>132</v>
      </c>
      <c r="C180" s="140" t="s">
        <v>79</v>
      </c>
      <c r="D180" s="139" t="s">
        <v>82</v>
      </c>
      <c r="E180" s="143"/>
      <c r="F180" s="143" t="s">
        <v>82</v>
      </c>
      <c r="G180" s="143" t="s">
        <v>185</v>
      </c>
      <c r="H180" s="143">
        <v>1</v>
      </c>
      <c r="I180" s="130"/>
      <c r="J180" s="131">
        <f>$J$120*H180</f>
        <v>1</v>
      </c>
    </row>
    <row r="181" spans="1:23" s="1" customFormat="1" ht="18" customHeight="1">
      <c r="A181" s="201">
        <f t="shared" si="35"/>
        <v>7</v>
      </c>
      <c r="B181" s="140" t="s">
        <v>143</v>
      </c>
      <c r="C181" s="140" t="s">
        <v>121</v>
      </c>
      <c r="D181" s="139" t="s">
        <v>103</v>
      </c>
      <c r="E181" s="143"/>
      <c r="F181" s="143" t="s">
        <v>103</v>
      </c>
      <c r="G181" s="143" t="s">
        <v>185</v>
      </c>
      <c r="H181" s="143">
        <v>2</v>
      </c>
      <c r="I181" s="130"/>
      <c r="J181" s="131">
        <f>$J$120*H181</f>
        <v>2</v>
      </c>
    </row>
    <row r="182" spans="1:23" s="1" customFormat="1" ht="18" customHeight="1">
      <c r="A182" s="201">
        <f t="shared" si="35"/>
        <v>8</v>
      </c>
      <c r="B182" s="140" t="s">
        <v>118</v>
      </c>
      <c r="C182" s="140" t="s">
        <v>77</v>
      </c>
      <c r="D182" s="139" t="s">
        <v>80</v>
      </c>
      <c r="E182" s="143"/>
      <c r="F182" s="143" t="s">
        <v>80</v>
      </c>
      <c r="G182" s="143" t="s">
        <v>185</v>
      </c>
      <c r="H182" s="143">
        <v>1</v>
      </c>
      <c r="I182" s="130"/>
      <c r="J182" s="131">
        <f t="shared" si="33"/>
        <v>1</v>
      </c>
    </row>
    <row r="183" spans="1:23" s="1" customFormat="1" ht="18" customHeight="1">
      <c r="A183" s="201">
        <f t="shared" si="35"/>
        <v>9</v>
      </c>
      <c r="B183" s="140" t="s">
        <v>120</v>
      </c>
      <c r="C183" s="140" t="s">
        <v>94</v>
      </c>
      <c r="D183" s="139" t="s">
        <v>96</v>
      </c>
      <c r="E183" s="143"/>
      <c r="F183" s="143" t="s">
        <v>96</v>
      </c>
      <c r="G183" s="143" t="s">
        <v>185</v>
      </c>
      <c r="H183" s="143">
        <v>1</v>
      </c>
      <c r="I183" s="130"/>
      <c r="J183" s="131">
        <f t="shared" si="33"/>
        <v>1</v>
      </c>
    </row>
    <row r="184" spans="1:23" s="1" customFormat="1" ht="18" customHeight="1">
      <c r="A184" s="201">
        <f t="shared" si="35"/>
        <v>10</v>
      </c>
      <c r="B184" s="140" t="s">
        <v>131</v>
      </c>
      <c r="C184" s="140" t="s">
        <v>100</v>
      </c>
      <c r="D184" s="139" t="s">
        <v>102</v>
      </c>
      <c r="E184" s="143"/>
      <c r="F184" s="143" t="s">
        <v>102</v>
      </c>
      <c r="G184" s="143" t="s">
        <v>185</v>
      </c>
      <c r="H184" s="143">
        <v>3</v>
      </c>
      <c r="I184" s="130"/>
      <c r="J184" s="131">
        <f>$J$120*H184</f>
        <v>3</v>
      </c>
      <c r="N184" s="56"/>
      <c r="O184" s="56"/>
      <c r="P184" s="56"/>
      <c r="Q184" s="289"/>
      <c r="R184" s="289"/>
      <c r="S184" s="289"/>
      <c r="T184" s="17"/>
      <c r="U184" s="17"/>
      <c r="V184" s="17"/>
      <c r="W184" s="56"/>
    </row>
    <row r="185" spans="1:23" s="1" customFormat="1" ht="18" customHeight="1">
      <c r="A185" s="201">
        <f t="shared" si="35"/>
        <v>11</v>
      </c>
      <c r="B185" s="140" t="s">
        <v>113</v>
      </c>
      <c r="C185" s="140" t="s">
        <v>502</v>
      </c>
      <c r="D185" s="139" t="s">
        <v>83</v>
      </c>
      <c r="E185" s="143"/>
      <c r="F185" s="143" t="s">
        <v>83</v>
      </c>
      <c r="G185" s="143" t="s">
        <v>185</v>
      </c>
      <c r="H185" s="143">
        <v>3</v>
      </c>
      <c r="I185" s="144"/>
      <c r="J185" s="131">
        <f>$J$120*H185</f>
        <v>3</v>
      </c>
      <c r="N185" s="101" t="s">
        <v>227</v>
      </c>
      <c r="O185" s="246" t="s">
        <v>29</v>
      </c>
      <c r="P185" s="246" t="s">
        <v>3</v>
      </c>
      <c r="Q185" s="246" t="s">
        <v>199</v>
      </c>
      <c r="R185" s="246" t="s">
        <v>5</v>
      </c>
      <c r="S185" s="246" t="s">
        <v>28</v>
      </c>
      <c r="T185" s="246" t="s">
        <v>19</v>
      </c>
      <c r="U185" s="246" t="s">
        <v>200</v>
      </c>
      <c r="V185" s="246" t="s">
        <v>20</v>
      </c>
      <c r="W185" s="246" t="s">
        <v>201</v>
      </c>
    </row>
    <row r="186" spans="1:23" s="1" customFormat="1" ht="18" customHeight="1">
      <c r="A186" s="201">
        <f t="shared" si="35"/>
        <v>12</v>
      </c>
      <c r="B186" s="140" t="s">
        <v>122</v>
      </c>
      <c r="C186" s="140" t="s">
        <v>101</v>
      </c>
      <c r="D186" s="139" t="s">
        <v>104</v>
      </c>
      <c r="E186" s="143"/>
      <c r="F186" s="143" t="s">
        <v>104</v>
      </c>
      <c r="G186" s="143" t="s">
        <v>185</v>
      </c>
      <c r="H186" s="143">
        <v>1</v>
      </c>
      <c r="I186" s="144"/>
      <c r="J186" s="131">
        <f t="shared" si="33"/>
        <v>1</v>
      </c>
      <c r="N186" s="101" t="s">
        <v>240</v>
      </c>
      <c r="O186" s="290" t="s">
        <v>234</v>
      </c>
      <c r="P186" s="290" t="s">
        <v>236</v>
      </c>
      <c r="Q186" s="280" t="s">
        <v>190</v>
      </c>
      <c r="R186" s="213"/>
      <c r="S186" s="213" t="s">
        <v>190</v>
      </c>
      <c r="T186" s="213" t="s">
        <v>198</v>
      </c>
      <c r="U186" s="291">
        <f>((($I$134*$G$134)+($I$136*$G$136)+($I$139*$G$139))/1000)*$J$120</f>
        <v>11.958</v>
      </c>
      <c r="V186" s="291">
        <v>300</v>
      </c>
      <c r="W186" s="292">
        <f>ROUNDUP((U186)/V186,0)</f>
        <v>1</v>
      </c>
    </row>
    <row r="187" spans="1:23" s="1" customFormat="1" ht="18" customHeight="1">
      <c r="A187" s="201">
        <f t="shared" si="35"/>
        <v>13</v>
      </c>
      <c r="B187" s="140" t="s">
        <v>112</v>
      </c>
      <c r="C187" s="140" t="s">
        <v>114</v>
      </c>
      <c r="D187" s="128" t="s">
        <v>520</v>
      </c>
      <c r="E187" s="129"/>
      <c r="F187" s="129" t="s">
        <v>520</v>
      </c>
      <c r="G187" s="143" t="s">
        <v>202</v>
      </c>
      <c r="H187" s="143">
        <v>6</v>
      </c>
      <c r="I187" s="130"/>
      <c r="J187" s="131">
        <f t="shared" si="33"/>
        <v>6</v>
      </c>
      <c r="N187" s="101" t="s">
        <v>241</v>
      </c>
      <c r="O187" s="290" t="s">
        <v>235</v>
      </c>
      <c r="P187" s="290" t="s">
        <v>238</v>
      </c>
      <c r="Q187" s="280" t="s">
        <v>71</v>
      </c>
      <c r="R187" s="213"/>
      <c r="S187" s="213" t="s">
        <v>71</v>
      </c>
      <c r="T187" s="213" t="s">
        <v>198</v>
      </c>
      <c r="U187" s="291">
        <f>((($I$134*$G$134)+($I$136*$G$136)+($I$139*$G$139))/1000)*$J$120</f>
        <v>11.958</v>
      </c>
      <c r="V187" s="291">
        <v>100</v>
      </c>
      <c r="W187" s="292">
        <f t="shared" ref="W187:W189" si="36">ROUNDUP((U187)/V187,0)</f>
        <v>1</v>
      </c>
    </row>
    <row r="188" spans="1:23" s="1" customFormat="1" ht="18" customHeight="1">
      <c r="A188" s="201">
        <f t="shared" si="35"/>
        <v>14</v>
      </c>
      <c r="B188" s="140" t="s">
        <v>115</v>
      </c>
      <c r="C188" s="140" t="s">
        <v>45</v>
      </c>
      <c r="D188" s="139" t="s">
        <v>84</v>
      </c>
      <c r="E188" s="143"/>
      <c r="F188" s="143" t="s">
        <v>84</v>
      </c>
      <c r="G188" s="143" t="s">
        <v>202</v>
      </c>
      <c r="H188" s="143">
        <v>1</v>
      </c>
      <c r="I188" s="130"/>
      <c r="J188" s="131">
        <f t="shared" si="33"/>
        <v>1</v>
      </c>
      <c r="N188" s="101" t="s">
        <v>240</v>
      </c>
      <c r="O188" s="290" t="s">
        <v>245</v>
      </c>
      <c r="P188" s="290" t="s">
        <v>237</v>
      </c>
      <c r="Q188" s="280" t="s">
        <v>72</v>
      </c>
      <c r="R188" s="213"/>
      <c r="S188" s="213" t="s">
        <v>72</v>
      </c>
      <c r="T188" s="213" t="s">
        <v>198</v>
      </c>
      <c r="U188" s="291">
        <f>((($I$141*$G$141*2)+($I$143*$G$143*2)+($I$144*$G$144*2))/1000)*$J$120</f>
        <v>77.868499999999997</v>
      </c>
      <c r="V188" s="291">
        <v>350</v>
      </c>
      <c r="W188" s="292">
        <f t="shared" si="36"/>
        <v>1</v>
      </c>
    </row>
    <row r="189" spans="1:23" s="1" customFormat="1" ht="18" customHeight="1">
      <c r="A189" s="201">
        <f t="shared" si="35"/>
        <v>15</v>
      </c>
      <c r="B189" s="140" t="s">
        <v>110</v>
      </c>
      <c r="C189" s="140" t="s">
        <v>66</v>
      </c>
      <c r="D189" s="139" t="s">
        <v>128</v>
      </c>
      <c r="E189" s="143"/>
      <c r="F189" s="143" t="s">
        <v>128</v>
      </c>
      <c r="G189" s="143" t="s">
        <v>202</v>
      </c>
      <c r="H189" s="143">
        <v>1</v>
      </c>
      <c r="I189" s="130"/>
      <c r="J189" s="131">
        <f>$J$120*H189</f>
        <v>1</v>
      </c>
      <c r="N189" s="101" t="s">
        <v>241</v>
      </c>
      <c r="O189" s="290" t="s">
        <v>246</v>
      </c>
      <c r="P189" s="290" t="s">
        <v>239</v>
      </c>
      <c r="Q189" s="280" t="s">
        <v>193</v>
      </c>
      <c r="R189" s="213"/>
      <c r="S189" s="213" t="s">
        <v>193</v>
      </c>
      <c r="T189" s="213" t="s">
        <v>198</v>
      </c>
      <c r="U189" s="291">
        <f>((($I$141*$G$141*2)+($I$143*$G$143*2)+($I$144*$G$144*2))/1000)*$J$120</f>
        <v>77.868499999999997</v>
      </c>
      <c r="V189" s="291">
        <v>100</v>
      </c>
      <c r="W189" s="292">
        <f t="shared" si="36"/>
        <v>1</v>
      </c>
    </row>
    <row r="190" spans="1:23" s="1" customFormat="1" ht="18" customHeight="1">
      <c r="A190" s="201">
        <f t="shared" si="35"/>
        <v>16</v>
      </c>
      <c r="B190" s="140" t="s">
        <v>110</v>
      </c>
      <c r="C190" s="140" t="s">
        <v>66</v>
      </c>
      <c r="D190" s="139" t="s">
        <v>73</v>
      </c>
      <c r="E190" s="143"/>
      <c r="F190" s="143" t="s">
        <v>73</v>
      </c>
      <c r="G190" s="143" t="s">
        <v>202</v>
      </c>
      <c r="H190" s="143">
        <v>3</v>
      </c>
      <c r="I190" s="130"/>
      <c r="J190" s="131">
        <f>$J$120*H190</f>
        <v>3</v>
      </c>
    </row>
    <row r="191" spans="1:23" s="1" customFormat="1" ht="18" customHeight="1">
      <c r="A191" s="201">
        <f t="shared" si="35"/>
        <v>17</v>
      </c>
      <c r="B191" s="140" t="s">
        <v>647</v>
      </c>
      <c r="C191" s="140" t="s">
        <v>127</v>
      </c>
      <c r="D191" s="139" t="s">
        <v>126</v>
      </c>
      <c r="E191" s="143"/>
      <c r="F191" s="143" t="s">
        <v>126</v>
      </c>
      <c r="G191" s="143" t="s">
        <v>185</v>
      </c>
      <c r="H191" s="143">
        <v>1</v>
      </c>
      <c r="I191" s="130"/>
      <c r="J191" s="131">
        <f>$J$120*H191</f>
        <v>1</v>
      </c>
    </row>
    <row r="192" spans="1:23" s="1" customFormat="1" ht="18" customHeight="1">
      <c r="A192" s="201">
        <f t="shared" si="35"/>
        <v>18</v>
      </c>
      <c r="B192" s="140" t="s">
        <v>648</v>
      </c>
      <c r="C192" s="140" t="s">
        <v>127</v>
      </c>
      <c r="D192" s="139" t="s">
        <v>521</v>
      </c>
      <c r="E192" s="143"/>
      <c r="F192" s="143" t="s">
        <v>521</v>
      </c>
      <c r="G192" s="143" t="s">
        <v>185</v>
      </c>
      <c r="H192" s="143">
        <v>1</v>
      </c>
      <c r="I192" s="130"/>
      <c r="J192" s="131">
        <f>$J$120*H192</f>
        <v>1</v>
      </c>
    </row>
    <row r="193" spans="1:24" s="1" customFormat="1" ht="18" customHeight="1">
      <c r="A193" s="201">
        <f t="shared" si="35"/>
        <v>19</v>
      </c>
      <c r="B193" s="140" t="s">
        <v>512</v>
      </c>
      <c r="C193" s="140" t="s">
        <v>135</v>
      </c>
      <c r="D193" s="139" t="s">
        <v>137</v>
      </c>
      <c r="E193" s="143"/>
      <c r="F193" s="143" t="s">
        <v>137</v>
      </c>
      <c r="G193" s="143" t="s">
        <v>198</v>
      </c>
      <c r="H193" s="261">
        <f>((($I$149*$G$149)+($I$150*$G$150))/1000)*$J$120</f>
        <v>5.016</v>
      </c>
      <c r="I193" s="258">
        <v>100</v>
      </c>
      <c r="J193" s="260">
        <f>ROUNDUP((H193)/100,0)</f>
        <v>1</v>
      </c>
    </row>
    <row r="194" spans="1:24" s="1" customFormat="1" ht="18" customHeight="1">
      <c r="A194" s="201">
        <f t="shared" si="35"/>
        <v>20</v>
      </c>
      <c r="B194" s="140" t="s">
        <v>513</v>
      </c>
      <c r="C194" s="140" t="s">
        <v>136</v>
      </c>
      <c r="D194" s="139" t="s">
        <v>138</v>
      </c>
      <c r="E194" s="143"/>
      <c r="F194" s="143" t="s">
        <v>138</v>
      </c>
      <c r="G194" s="143" t="s">
        <v>198</v>
      </c>
      <c r="H194" s="261">
        <f>((($I$146*$G$146)+($I$144*$G$144))/1000)*$J$120</f>
        <v>7.524</v>
      </c>
      <c r="I194" s="258">
        <v>100</v>
      </c>
      <c r="J194" s="260">
        <f t="shared" ref="J194:J195" si="37">ROUNDUP((H194)/100,0)</f>
        <v>1</v>
      </c>
    </row>
    <row r="195" spans="1:24" ht="18" customHeight="1">
      <c r="A195" s="201">
        <f t="shared" si="35"/>
        <v>21</v>
      </c>
      <c r="B195" s="139" t="str">
        <f>IF($D$129="Standard",$O$186,IF($D$129="Soumdproof",$O$187,))</f>
        <v>ยางเฟรมกันน้ำ (ธรรมดา)</v>
      </c>
      <c r="C195" s="139" t="str">
        <f>IF($D$129="Standard",$P$186,IF($D$129="Soumdproof",$P$187,))</f>
        <v>FRAME SEAL (Standard)</v>
      </c>
      <c r="D195" s="139" t="str">
        <f>IF($D$129="Standard",$Q$186,IF($D$129="Soumdproof",$Q$187,))</f>
        <v>02-026</v>
      </c>
      <c r="E195" s="143">
        <f>IF($D$129="Standard",R191,IF($D$129="Soumdproof",R192,))</f>
        <v>0</v>
      </c>
      <c r="F195" s="143" t="str">
        <f>IF($D$129="Standard",$S$186,IF($D$129="Soumdproof",$S$187,))</f>
        <v>02-026</v>
      </c>
      <c r="G195" s="143" t="str">
        <f>IF($D$129="Standard",$T$186,IF($D$129="Soumdproof",$T$187,))</f>
        <v>M</v>
      </c>
      <c r="H195" s="261">
        <f>IF($D$129="Standard",$U$186,IF($D$129="Soumdproof",$U$187,))</f>
        <v>11.958</v>
      </c>
      <c r="I195" s="258">
        <f>IF($D$129="Standard",$V$186,IF($D$129="Soumdproof",$V$187,))</f>
        <v>300</v>
      </c>
      <c r="J195" s="260">
        <f t="shared" si="37"/>
        <v>1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s="1" customFormat="1" ht="18" customHeight="1">
      <c r="A196" s="201">
        <f t="shared" si="35"/>
        <v>22</v>
      </c>
      <c r="B196" s="139" t="str">
        <f>IF($D$129="Standard",$O$188,IF($D$129="Soumdproof",$O$189,))</f>
        <v>ยางแซชกันน้ำ (ธรรมดา)</v>
      </c>
      <c r="C196" s="139" t="str">
        <f>IF($D$129="Standard",$P$188,IF($D$129="Soumdproof",$P$189,))</f>
        <v>SASH SEAL FOAM (Standard)</v>
      </c>
      <c r="D196" s="139" t="str">
        <f>IF($D$129="Standard",$Q$188,IF($D$129="Soumdproof",$Q$189,))</f>
        <v>02-031</v>
      </c>
      <c r="E196" s="143">
        <f>IF($D$129="Standard",R193,IF($D$129="Soumdproof",R194,))</f>
        <v>0</v>
      </c>
      <c r="F196" s="143" t="str">
        <f>IF($D$129="Standard",$S$188,IF($D$129="Soumdproof",$S$189,))</f>
        <v>02-031</v>
      </c>
      <c r="G196" s="143" t="str">
        <f>IF($D$129="Standard",$T$188,IF($D$129="Soumdproof",$T$189,))</f>
        <v>M</v>
      </c>
      <c r="H196" s="261">
        <f>IF($D$129="Standard",$U$188,IF($D$129="Soumdproof",$U$189,))</f>
        <v>77.868499999999997</v>
      </c>
      <c r="I196" s="258">
        <f>IF($D$129="Standard",$V$188,IF($D$129="Soumdproof",$V$189,))</f>
        <v>350</v>
      </c>
      <c r="J196" s="260">
        <f>ROUNDUP((H196)/100,0)</f>
        <v>1</v>
      </c>
    </row>
    <row r="197" spans="1:24" s="1" customFormat="1" ht="18" customHeight="1">
      <c r="A197" s="201">
        <f t="shared" si="35"/>
        <v>23</v>
      </c>
      <c r="B197" s="241" t="str">
        <f>IF($D$127=5,$O$177,IF($D$127=6,$O$178,IF($D$127=8,$O$179,IF($D$127=10,$O$177,IF($D$127=12,$O$177,IF($D$127=14,$O$179,IF($D$127=18,$O$177,IF($D$127=20,$O$178,IF($D$127=22,"")))))))))</f>
        <v>6,20 mm ยางอัดกระจก</v>
      </c>
      <c r="C197" s="241" t="str">
        <f>IF($D$127=5,$P$177,IF($D$127=6,$P$178,IF($D$127=8,$P$179,IF($D$127=10,$P$177,IF($D$127=12,$P$177,IF($D$127=14,$P$179,IF($D$127=18,$P$177,IF($D$127=20,$P$178,IF($D$127=22,"")))))))))</f>
        <v>6,20 mm ROLL IN WEDGE</v>
      </c>
      <c r="D197" s="241" t="str">
        <f>IF($D$127=5,$Q$177,IF($D$127=6,$Q$178,IF($D$127=8,$Q$179,IF($D$127=10,$Q$177,IF($D$127=12,$Q$177,IF($D$127=14,$Q$179,IF($D$127=18,$Q$177,IF($D$127=20,$Q$178,IF($D$127=22,"")))))))))</f>
        <v>02-034</v>
      </c>
      <c r="E197" s="241">
        <f>IF($D$127=5,R182,IF($D$127=6,R183,IF($D$127=8,R184,IF($D$127=10,R182,IF($D$127=12,R182,IF($D$127=14,R184,IF($D$127=18,R182,IF($D$127=20,R183,IF($D$127=22,"",)))))))))</f>
        <v>0</v>
      </c>
      <c r="F197" s="242" t="str">
        <f>IF($D$127=5,$S$177,IF($D$127=6,$S$178,IF($D$127=8,$S$179,IF($D$127=10,$S$177,IF($D$127=12,$S$177,IF($D$127=14,$S$179,IF($D$127=18,$S$177,IF($D$127=20,$S$178,IF($D$127=22,"")))))))))</f>
        <v>02-034</v>
      </c>
      <c r="G197" s="242" t="str">
        <f>IF($D$127=5,$T$177,IF($D$127=6,$T$178,IF($D$127=8,$T$179,IF($D$127=10,$T$177,IF($D$127=12,$T$177,IF($D$127=14,$T$179,IF($D$127=18,$T$177,IF($D$127=20,$T$178,IF($D$127=22,"")))))))))</f>
        <v>M</v>
      </c>
      <c r="H197" s="261">
        <f>IF($D$127=5,$U$177,IF($D$127=6,$U$178,IF($D$127=8,$U$179,IF($D$127=10,$U$177*2,IF($D$127=12,$U$177,IF($D$127=14,$U$179*2,IF($D$127=18,$U$177,IF($D$127=20,$U$178,IF($D$127=22,"")))))))))</f>
        <v>47.772500000000001</v>
      </c>
      <c r="I197" s="258">
        <f>IF($D$127=5,$V$177,IF($D$127=6,$V$178,IF($D$127=8,$V$179,IF($D$127=10,$V$177,IF($D$127=12,$V$177,IF($D$127=14,$V$179,IF($D$127=18,$V$177,IF($D$127=20,$V$178,IF($D$127=22,"")))))))))</f>
        <v>100</v>
      </c>
      <c r="J197" s="260">
        <f>ROUNDUP((H197)/100,0)</f>
        <v>1</v>
      </c>
    </row>
    <row r="198" spans="1:24" s="1" customFormat="1" ht="18" customHeight="1">
      <c r="A198" s="201">
        <f t="shared" si="35"/>
        <v>24</v>
      </c>
      <c r="B198" s="241" t="str">
        <f>IF($D$127=5,$O$175,IF($D$127=6,$O$175,IF($D$127=8,$O$177,IF($D$127=10,"",IF($D$127=12,$O$176,IF($D$127=14,"",IF($D$127=18,$O$175,IF($D$127=20,$O$176,IF($D$127=22,"",)))))))))</f>
        <v>5,6,18 mm ยางรองกระจก</v>
      </c>
      <c r="C198" s="241" t="str">
        <f>IF($D$127=5,$P$175,IF($D$127=6,$P$175,IF($D$127=8,$P$177,IF($D$127=10,"",IF($D$127=12,$P$176,IF($D$127=14,"",IF($D$127=18,$P$175,IF($D$127=20,$P$176,IF($D$127=22,"",)))))))))</f>
        <v>5,6,18 mm CAPTIVE WEDGE</v>
      </c>
      <c r="D198" s="241" t="str">
        <f>IF($D$127=5,$Q$175,IF($D$127=6,$Q$175,IF($D$127=8,$Q$177,IF($D$127=10,"",IF($D$127=12,$Q$176,IF($D$127=14,"",IF($D$127=18,$Q$175,IF($D$127=20,$Q$176,IF($D$127=22,"",)))))))))</f>
        <v>02-022</v>
      </c>
      <c r="E198" s="241">
        <f>IF($D$127=5,R180,IF($D$127=6,R180,IF($D$127=8,R182,IF($D$127=10,"",IF($D$127=12,R181,IF($D$127=14,"",IF($D$127=18,R180,IF($D$127=20,R181,IF($D$127=22,"",)))))))))</f>
        <v>0</v>
      </c>
      <c r="F198" s="242" t="str">
        <f>IF($D$127=5,$S$175,IF($D$127=6,$S$175,IF($D$127=8,$S$177,IF($D$127=10,"",IF($D$127=12,$S$176,IF($D$127=14,"",IF($D$127=18,$S$175,IF($D$127=20,$S$176,IF($D$127=22,"",)))))))))</f>
        <v>02-022</v>
      </c>
      <c r="G198" s="242" t="str">
        <f>IF($D$127=5,$T$175,IF($D$127=6,$T$175,IF($D$127=8,$T$177,IF($D$127=10,"",IF($D$127=12,$T$176,IF($D$127=14,"",IF($D$127=18,$T$175,IF($D$127=20,$T$176,IF($D$127=22,"",)))))))))</f>
        <v>M</v>
      </c>
      <c r="H198" s="261">
        <f>IF($D$127=5,$U$175,IF($D$127=6,$U$175,IF($D$127=8,$U$177,IF($D$127=10,"",IF($D$127=12,$U$176,IF($D$127=14,"",IF($D$127=18,$U$175,IF($D$127=20,$U$176,IF($D$127=22,"")))))))))</f>
        <v>47.772500000000001</v>
      </c>
      <c r="I198" s="258">
        <f>IF($D$127=5,$V$175,IF($D$127=6,$V$175,IF($D$127=8,$V$177,IF($D$127=10,"",IF($D$127=12,$V$176,IF($D$127=14,"",IF($D$127=18,$V$175,IF($D$127=20,$V$176,IF($D$127=22,"",)))))))))</f>
        <v>100</v>
      </c>
      <c r="J198" s="260">
        <f>ROUNDUP((H198)/100,0)</f>
        <v>1</v>
      </c>
    </row>
    <row r="199" spans="1:24" s="1" customFormat="1" ht="18" customHeight="1">
      <c r="A199" s="201" t="str">
        <f t="shared" si="35"/>
        <v/>
      </c>
      <c r="B199" s="140"/>
      <c r="C199" s="140"/>
      <c r="D199" s="139"/>
      <c r="E199" s="143"/>
      <c r="F199" s="143"/>
      <c r="G199" s="143"/>
      <c r="H199" s="143"/>
      <c r="I199" s="130"/>
      <c r="J199" s="131"/>
    </row>
    <row r="200" spans="1:24" s="1" customFormat="1" ht="18" customHeight="1">
      <c r="A200" s="201" t="str">
        <f t="shared" si="35"/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si="33"/>
        <v>0</v>
      </c>
    </row>
    <row r="201" spans="1:24" s="1" customFormat="1" ht="18" customHeight="1">
      <c r="A201" s="201" t="str">
        <f t="shared" si="35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ref="J201:J204" si="38">$J$120*H201</f>
        <v>0</v>
      </c>
    </row>
    <row r="202" spans="1:24" s="1" customFormat="1" ht="18" customHeight="1">
      <c r="A202" s="201" t="str">
        <f t="shared" si="35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si="38"/>
        <v>0</v>
      </c>
    </row>
    <row r="203" spans="1:24" s="1" customFormat="1" ht="18" customHeight="1">
      <c r="A203" s="201" t="str">
        <f t="shared" si="35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si="38"/>
        <v>0</v>
      </c>
    </row>
    <row r="204" spans="1:24" s="1" customFormat="1" ht="18" customHeight="1">
      <c r="A204" s="201" t="str">
        <f t="shared" si="35"/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 t="shared" si="38"/>
        <v>0</v>
      </c>
    </row>
    <row r="205" spans="1:24" s="1" customFormat="1" ht="18" customHeight="1">
      <c r="A205" s="317" t="str">
        <f>IF(B205="","",+A204+1)</f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 t="shared" ref="J205" si="39">$J$120*H205</f>
        <v>0</v>
      </c>
    </row>
    <row r="206" spans="1:24" s="1" customFormat="1" ht="18" customHeight="1">
      <c r="A206" s="25"/>
      <c r="B206" s="161"/>
      <c r="C206" s="33"/>
      <c r="D206" s="30"/>
      <c r="E206" s="17"/>
      <c r="F206" s="30"/>
      <c r="G206" s="30"/>
      <c r="H206" s="161"/>
      <c r="I206" s="24"/>
      <c r="J206" s="24"/>
    </row>
    <row r="207" spans="1:24" ht="18" customHeight="1">
      <c r="A207" s="17"/>
      <c r="J207" s="99" t="str">
        <f>LEFT($J$111,13)&amp;"-02"</f>
        <v>FG-240-8P5L3R-02</v>
      </c>
    </row>
    <row r="208" spans="1:24" ht="12.75" customHeight="1">
      <c r="B208" s="56"/>
      <c r="C208" s="56"/>
      <c r="D208" s="30"/>
      <c r="E208" s="17"/>
      <c r="F208" s="17"/>
      <c r="G208" s="17"/>
      <c r="H208" s="17"/>
      <c r="K208" s="7"/>
      <c r="L208" s="7"/>
      <c r="M208" s="2"/>
      <c r="N208" s="2"/>
    </row>
    <row r="209" spans="1:14" ht="30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235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235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/>
      <c r="C215"/>
      <c r="D215" s="81"/>
      <c r="E215"/>
      <c r="F215"/>
      <c r="G215"/>
      <c r="H215"/>
      <c r="I215" s="160"/>
      <c r="J215" s="116"/>
    </row>
    <row r="216" spans="1:14" s="1" customFormat="1" ht="15" customHeight="1">
      <c r="A216" s="17"/>
      <c r="B216" s="93"/>
      <c r="C216" s="56"/>
      <c r="D216" s="30"/>
      <c r="E216" s="29"/>
      <c r="F216" s="160"/>
      <c r="G216" s="160"/>
      <c r="H216" s="16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s="1" customFormat="1" ht="15.6">
      <c r="A218" s="109"/>
      <c r="B218" s="33"/>
      <c r="C218" s="327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272</v>
      </c>
      <c r="D220" s="30"/>
      <c r="E220" s="29"/>
      <c r="F220" s="30"/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89"/>
      <c r="J221" s="12"/>
    </row>
    <row r="222" spans="1:14" s="1" customFormat="1" ht="15" customHeight="1">
      <c r="A222" s="109"/>
      <c r="B222" s="33"/>
      <c r="C222" s="327" t="s">
        <v>273</v>
      </c>
      <c r="D222" s="161"/>
      <c r="E222" s="109"/>
      <c r="F222" s="161"/>
      <c r="J222" s="12"/>
    </row>
    <row r="223" spans="1:14" s="1" customFormat="1" ht="15" customHeight="1">
      <c r="A223" s="109"/>
      <c r="B223" s="33"/>
      <c r="C223" s="374">
        <f>$I$133</f>
        <v>4740</v>
      </c>
      <c r="D223" s="161"/>
      <c r="E223" s="35"/>
      <c r="F223" s="161"/>
      <c r="G223" s="68"/>
      <c r="J223" s="12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326"/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326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327"/>
      <c r="D229" s="161"/>
      <c r="E229" s="109"/>
      <c r="F229" s="161"/>
      <c r="H229" s="109"/>
      <c r="I229" s="234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234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234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234"/>
      <c r="J232" s="117"/>
    </row>
    <row r="233" spans="1:10" s="1" customFormat="1" ht="15.9" customHeight="1">
      <c r="A233" s="44"/>
      <c r="B233" s="44"/>
      <c r="C233" s="89" t="s">
        <v>274</v>
      </c>
      <c r="D233" s="84"/>
      <c r="E233" s="44"/>
      <c r="F233" s="44"/>
      <c r="G233" s="109"/>
      <c r="H233" s="109"/>
      <c r="I233" s="234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4714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234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34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109"/>
      <c r="J242" s="24"/>
    </row>
    <row r="243" spans="1:10" s="1" customFormat="1" ht="15.9" customHeight="1">
      <c r="A243" s="109"/>
      <c r="B243" s="33"/>
      <c r="C243" s="89" t="s">
        <v>276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.9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" customHeight="1">
      <c r="A245" s="109"/>
      <c r="B245" s="33"/>
      <c r="C245" s="327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4740</v>
      </c>
      <c r="D246" s="161"/>
      <c r="E246" s="109"/>
      <c r="F246" s="161"/>
      <c r="G246" s="109"/>
      <c r="H246" s="109"/>
      <c r="I246" s="44"/>
      <c r="J246" s="119"/>
    </row>
    <row r="247" spans="1:10" s="1" customFormat="1" ht="15.9" customHeight="1">
      <c r="A247" s="109"/>
      <c r="B247" s="33"/>
      <c r="C247" s="363">
        <f>$J$135</f>
        <v>1</v>
      </c>
      <c r="D247" s="161"/>
      <c r="E247" s="109"/>
      <c r="F247" s="161"/>
      <c r="G247" s="109"/>
      <c r="H247" s="109"/>
      <c r="I247" s="32"/>
      <c r="J247" s="40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0"/>
      <c r="H251" s="109"/>
      <c r="I251" s="24"/>
      <c r="J251" s="24"/>
    </row>
    <row r="252" spans="1:10" s="1" customFormat="1" ht="15.9" customHeight="1">
      <c r="A252" s="109"/>
      <c r="B252" s="33"/>
      <c r="D252" s="161"/>
      <c r="E252" s="109"/>
      <c r="F252" s="109"/>
      <c r="G252" s="109"/>
      <c r="H252" s="109"/>
      <c r="I252" s="24"/>
      <c r="J252" s="24"/>
    </row>
    <row r="253" spans="1:10" s="1" customFormat="1" ht="15.9" customHeight="1">
      <c r="A253" s="44"/>
      <c r="B253" s="44"/>
      <c r="D253" s="84"/>
      <c r="E253" s="44"/>
      <c r="F253" s="44"/>
      <c r="G253" s="109"/>
      <c r="H253" s="109"/>
      <c r="I253" s="24"/>
      <c r="J253" s="24"/>
    </row>
    <row r="254" spans="1:10" s="1" customFormat="1" ht="15.9" customHeight="1">
      <c r="A254" s="40"/>
      <c r="B254" s="40"/>
      <c r="C254" s="89" t="s">
        <v>277</v>
      </c>
      <c r="D254" s="85"/>
      <c r="E254" s="40"/>
      <c r="F254" s="32"/>
      <c r="G254" s="109"/>
      <c r="I254" s="24"/>
      <c r="J254" s="24"/>
    </row>
    <row r="255" spans="1:10" s="1" customFormat="1" ht="15.9" customHeight="1">
      <c r="A255" s="27"/>
      <c r="B255" s="33"/>
      <c r="C255" s="328" t="s">
        <v>275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27" t="s">
        <v>273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74">
        <f>$I$136</f>
        <v>4740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63">
        <f>$J$136</f>
        <v>1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46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161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89" t="s">
        <v>278</v>
      </c>
      <c r="D264" s="161"/>
      <c r="E264" s="109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8" t="s">
        <v>287</v>
      </c>
      <c r="D265" s="328"/>
      <c r="E265" s="328"/>
      <c r="F265" s="109"/>
      <c r="G265" s="109"/>
      <c r="H265" s="109"/>
      <c r="I265" s="24"/>
      <c r="J265" s="24"/>
    </row>
    <row r="266" spans="1:10" s="1" customFormat="1" ht="15.9" customHeight="1">
      <c r="A266" s="27"/>
      <c r="B266" s="33"/>
      <c r="C266" s="327" t="s">
        <v>279</v>
      </c>
      <c r="D266" s="327"/>
      <c r="E266" s="327"/>
      <c r="F266" s="109"/>
      <c r="G266" s="109"/>
      <c r="H266" s="109"/>
      <c r="J266" s="12"/>
    </row>
    <row r="267" spans="1:10" s="1" customFormat="1" ht="15.9" customHeight="1">
      <c r="A267" s="27"/>
      <c r="B267" s="33"/>
      <c r="C267" s="374">
        <f>$I$137</f>
        <v>2600</v>
      </c>
      <c r="D267" s="161"/>
      <c r="E267" s="109"/>
      <c r="F267" s="109"/>
      <c r="G267" s="33"/>
      <c r="H267" s="33"/>
      <c r="J267" s="12"/>
    </row>
    <row r="268" spans="1:10" s="1" customFormat="1" ht="15.9" customHeight="1">
      <c r="A268" s="27"/>
      <c r="B268" s="33"/>
      <c r="C268" s="363">
        <f>$J$137+$J$138</f>
        <v>2</v>
      </c>
      <c r="D268" s="161"/>
      <c r="E268" s="10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D271" s="328"/>
      <c r="E271" s="328"/>
      <c r="F271" s="109"/>
      <c r="G271" s="109"/>
      <c r="H271" s="109"/>
      <c r="J271" s="12"/>
    </row>
    <row r="272" spans="1:10" s="1" customFormat="1" ht="15.9" customHeight="1">
      <c r="A272" s="27"/>
      <c r="B272" s="33"/>
      <c r="D272" s="328"/>
      <c r="E272" s="328"/>
      <c r="F272" s="109"/>
      <c r="G272" s="109"/>
      <c r="I272" s="24"/>
      <c r="J272" s="24"/>
    </row>
    <row r="273" spans="1:10" s="1" customFormat="1" ht="15.9" customHeight="1">
      <c r="A273" s="27"/>
      <c r="B273" s="33"/>
      <c r="C273" s="33"/>
      <c r="D273" s="161"/>
      <c r="E273" s="109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89" t="s">
        <v>280</v>
      </c>
      <c r="D274" s="162"/>
      <c r="E274" s="24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328" t="s">
        <v>649</v>
      </c>
      <c r="D275" s="328"/>
      <c r="E275" s="328"/>
      <c r="F275" s="109"/>
      <c r="G275" s="109"/>
      <c r="I275" s="109"/>
      <c r="J275" s="24"/>
    </row>
    <row r="276" spans="1:10" s="1" customFormat="1" ht="15.9" customHeight="1">
      <c r="A276" s="27"/>
      <c r="B276" s="33"/>
      <c r="C276" s="433" t="s">
        <v>650</v>
      </c>
      <c r="D276" s="327"/>
      <c r="E276" s="327"/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374">
        <f>$I$139</f>
        <v>2504</v>
      </c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363">
        <f>$J$139+$J$140</f>
        <v>2</v>
      </c>
      <c r="F278" s="109"/>
      <c r="G278" s="109"/>
      <c r="I278" s="109"/>
      <c r="J278" s="24"/>
    </row>
    <row r="279" spans="1:10" s="1" customFormat="1" ht="15.9" customHeight="1">
      <c r="A279" s="27"/>
      <c r="B279" s="33"/>
      <c r="F279" s="109"/>
      <c r="G279" s="109"/>
      <c r="H279" s="109"/>
      <c r="J279" s="12"/>
    </row>
    <row r="280" spans="1:10" s="1" customFormat="1" ht="15.9" customHeight="1">
      <c r="A280" s="27"/>
      <c r="B280" s="33"/>
      <c r="C280" s="33"/>
      <c r="D280" s="161"/>
      <c r="E280" s="109"/>
      <c r="F280" s="109"/>
      <c r="G280" s="109"/>
      <c r="H280" s="109"/>
      <c r="J280" s="12"/>
    </row>
    <row r="281" spans="1:10" s="1" customFormat="1" ht="15.9" customHeight="1">
      <c r="A281" s="27"/>
      <c r="B281" s="33"/>
      <c r="F281" s="109"/>
      <c r="G281" s="109"/>
      <c r="H281" s="109"/>
      <c r="J281" s="12"/>
    </row>
    <row r="282" spans="1:10" s="1" customFormat="1" ht="15.9" customHeight="1">
      <c r="A282" s="27"/>
      <c r="B282" s="33"/>
      <c r="F282" s="109"/>
      <c r="G282" s="109"/>
      <c r="H282" s="109"/>
      <c r="I282" s="162"/>
      <c r="J282" s="24"/>
    </row>
    <row r="283" spans="1:10" s="1" customFormat="1" ht="15.9" customHeight="1">
      <c r="A283" s="27"/>
      <c r="B283" s="33"/>
      <c r="C283" s="89" t="s">
        <v>283</v>
      </c>
      <c r="F283" s="109"/>
      <c r="G283" s="109"/>
      <c r="H283" s="109"/>
      <c r="I283" s="109"/>
      <c r="J283" s="24"/>
    </row>
    <row r="284" spans="1:10" s="1" customFormat="1" ht="15.9" customHeight="1">
      <c r="A284" s="27"/>
      <c r="B284" s="33"/>
      <c r="C284" s="94" t="s">
        <v>442</v>
      </c>
      <c r="D284" s="161"/>
      <c r="E284" s="109"/>
      <c r="F284" s="109"/>
      <c r="G284" s="109"/>
      <c r="H284" s="109"/>
      <c r="I284" s="24"/>
      <c r="J284" s="24"/>
    </row>
    <row r="285" spans="1:10" s="1" customFormat="1" ht="15.9" customHeight="1">
      <c r="A285" s="27"/>
      <c r="B285" s="33"/>
      <c r="C285" s="327" t="s">
        <v>443</v>
      </c>
      <c r="D285" s="161"/>
      <c r="E285" s="109"/>
      <c r="F285" s="109"/>
      <c r="G285" s="109"/>
      <c r="H285" s="109"/>
      <c r="I285" s="24"/>
      <c r="J285" s="24"/>
    </row>
    <row r="286" spans="1:10" s="1" customFormat="1" ht="15.9" customHeight="1">
      <c r="A286" s="27"/>
      <c r="B286" s="33"/>
      <c r="C286" s="328" t="s">
        <v>281</v>
      </c>
      <c r="D286" s="328"/>
      <c r="E286" s="328"/>
      <c r="F286" s="109"/>
      <c r="G286" s="109"/>
      <c r="I286" s="24"/>
      <c r="J286" s="24"/>
    </row>
    <row r="287" spans="1:10" s="23" customFormat="1" ht="15.9" customHeight="1">
      <c r="A287" s="27"/>
      <c r="B287" s="33"/>
      <c r="C287" s="327" t="s">
        <v>282</v>
      </c>
      <c r="D287" s="327"/>
      <c r="E287" s="327"/>
      <c r="F287" s="109"/>
      <c r="G287" s="109"/>
      <c r="H287" s="1"/>
      <c r="I287" s="109"/>
      <c r="J287" s="109"/>
    </row>
    <row r="288" spans="1:10" s="1" customFormat="1" ht="15.9" customHeight="1">
      <c r="A288" s="27"/>
      <c r="B288" s="33"/>
      <c r="C288" s="374">
        <f>$I$141</f>
        <v>477.78125</v>
      </c>
      <c r="F288" s="109"/>
      <c r="G288" s="109"/>
      <c r="I288" s="44"/>
      <c r="J288" s="119"/>
    </row>
    <row r="289" spans="1:10" s="1" customFormat="1" ht="15.9" customHeight="1">
      <c r="A289" s="27"/>
      <c r="B289" s="33"/>
      <c r="C289" s="363">
        <f>$J$141+$J$142</f>
        <v>16</v>
      </c>
      <c r="D289" s="161"/>
      <c r="E289" s="109"/>
      <c r="F289" s="109"/>
      <c r="G289" s="109"/>
      <c r="H289" s="161"/>
      <c r="I289" s="32"/>
      <c r="J289" s="40"/>
    </row>
    <row r="290" spans="1:10" s="1" customFormat="1" ht="15.9" customHeight="1">
      <c r="A290" s="27"/>
      <c r="B290" s="33"/>
      <c r="C290" s="374">
        <f>$I$143</f>
        <v>2508</v>
      </c>
      <c r="D290" s="161"/>
      <c r="E290" s="109"/>
      <c r="F290" s="109"/>
      <c r="G290" s="109"/>
      <c r="H290" s="109"/>
      <c r="I290" s="24"/>
      <c r="J290" s="24"/>
    </row>
    <row r="291" spans="1:10" s="1" customFormat="1" ht="15.9" customHeight="1">
      <c r="A291" s="27"/>
      <c r="B291" s="33"/>
      <c r="C291" s="363">
        <f>$J$143+$J$144+$J$145+$J$146</f>
        <v>16</v>
      </c>
      <c r="D291" s="161"/>
      <c r="E291" s="109"/>
      <c r="F291" s="109"/>
      <c r="G291" s="109"/>
      <c r="H291" s="109"/>
      <c r="I291" s="24"/>
      <c r="J291" s="24"/>
    </row>
    <row r="292" spans="1:10" s="1" customFormat="1" ht="15.9" customHeight="1">
      <c r="A292" s="27"/>
      <c r="B292" s="33"/>
      <c r="C292" s="33"/>
      <c r="D292" s="161"/>
      <c r="E292" s="109"/>
      <c r="F292" s="109"/>
      <c r="G292" s="109"/>
      <c r="H292" s="109"/>
      <c r="I292" s="109"/>
      <c r="J292" s="24"/>
    </row>
    <row r="293" spans="1:10" s="1" customFormat="1" ht="15.9" customHeight="1">
      <c r="A293" s="27"/>
      <c r="B293" s="33"/>
      <c r="C293" s="23"/>
      <c r="D293" s="161"/>
      <c r="E293" s="109"/>
      <c r="F293" s="109"/>
      <c r="G293" s="109"/>
      <c r="H293" s="109"/>
      <c r="I293" s="109"/>
      <c r="J293" s="24"/>
    </row>
    <row r="294" spans="1:10" s="1" customFormat="1" ht="15.9" customHeight="1">
      <c r="A294" s="27"/>
      <c r="B294" s="33"/>
      <c r="C294" s="89" t="s">
        <v>284</v>
      </c>
      <c r="D294" s="161"/>
      <c r="E294" s="109"/>
      <c r="F294" s="109"/>
      <c r="G294" s="109"/>
      <c r="H294" s="109"/>
      <c r="I294" s="109"/>
      <c r="J294" s="24"/>
    </row>
    <row r="295" spans="1:10" s="1" customFormat="1" ht="15.9" customHeight="1">
      <c r="A295" s="27"/>
      <c r="B295" s="33"/>
      <c r="C295" s="94" t="s">
        <v>442</v>
      </c>
      <c r="D295" s="161"/>
      <c r="E295" s="109"/>
      <c r="F295" s="109"/>
      <c r="G295" s="44"/>
      <c r="H295" s="44"/>
      <c r="I295" s="109"/>
      <c r="J295" s="24"/>
    </row>
    <row r="296" spans="1:10" s="1" customFormat="1" ht="15.9" customHeight="1">
      <c r="A296" s="27"/>
      <c r="B296" s="33"/>
      <c r="C296" s="327" t="s">
        <v>443</v>
      </c>
      <c r="D296" s="328"/>
      <c r="E296" s="328"/>
      <c r="F296" s="109"/>
      <c r="G296" s="40"/>
      <c r="H296" s="32"/>
      <c r="I296" s="109"/>
      <c r="J296" s="24"/>
    </row>
    <row r="297" spans="1:10" s="1" customFormat="1" ht="15.9" customHeight="1">
      <c r="A297" s="41"/>
      <c r="B297" s="33"/>
      <c r="C297" s="328" t="s">
        <v>286</v>
      </c>
      <c r="D297" s="327"/>
      <c r="E297" s="327"/>
      <c r="F297" s="109"/>
      <c r="G297" s="109"/>
      <c r="H297" s="109"/>
      <c r="I297" s="109"/>
      <c r="J297" s="24"/>
    </row>
    <row r="298" spans="1:10" s="1" customFormat="1" ht="15.9" customHeight="1">
      <c r="A298" s="44"/>
      <c r="B298" s="44"/>
      <c r="C298" s="327" t="s">
        <v>285</v>
      </c>
      <c r="D298" s="86"/>
      <c r="E298" s="79"/>
      <c r="F298" s="44"/>
      <c r="G298" s="109"/>
      <c r="H298" s="109"/>
      <c r="I298" s="109"/>
      <c r="J298" s="24"/>
    </row>
    <row r="299" spans="1:10" s="1" customFormat="1" ht="15.9" customHeight="1">
      <c r="A299" s="40"/>
      <c r="B299" s="40"/>
      <c r="C299" s="374">
        <f>$I$147</f>
        <v>477.78125</v>
      </c>
      <c r="D299" s="87"/>
      <c r="E299" s="80"/>
      <c r="F299" s="32"/>
      <c r="G299" s="109"/>
      <c r="H299" s="109"/>
      <c r="I299" s="109"/>
      <c r="J299" s="24"/>
    </row>
    <row r="300" spans="1:10" s="1" customFormat="1" ht="15.9" customHeight="1">
      <c r="A300" s="109"/>
      <c r="B300" s="33"/>
      <c r="C300" s="363">
        <f>$J$147</f>
        <v>16</v>
      </c>
      <c r="D300" s="15"/>
      <c r="F300" s="109"/>
      <c r="G300" s="109"/>
      <c r="H300" s="109"/>
      <c r="I300" s="109"/>
      <c r="J300" s="24"/>
    </row>
    <row r="301" spans="1:10" s="1" customFormat="1" ht="15.9" customHeight="1">
      <c r="A301" s="109"/>
      <c r="B301" s="33"/>
      <c r="C301" s="374">
        <f>$I$148</f>
        <v>2358</v>
      </c>
      <c r="D301" s="15"/>
      <c r="F301" s="109"/>
      <c r="G301" s="109"/>
      <c r="H301" s="109"/>
      <c r="I301" s="109"/>
      <c r="J301" s="24"/>
    </row>
    <row r="302" spans="1:10" s="1" customFormat="1" ht="15.9" customHeight="1">
      <c r="A302" s="109"/>
      <c r="B302" s="33"/>
      <c r="C302" s="363">
        <f>$J$148</f>
        <v>16</v>
      </c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C306" s="89" t="s">
        <v>288</v>
      </c>
      <c r="D306" s="161"/>
      <c r="E306" s="109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328" t="s">
        <v>281</v>
      </c>
      <c r="D307" s="328"/>
      <c r="E307" s="328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542" t="s">
        <v>282</v>
      </c>
      <c r="D308" s="542"/>
      <c r="E308" s="542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74">
        <f>$I$149</f>
        <v>2508</v>
      </c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63">
        <f>$J$149+$J$150</f>
        <v>2</v>
      </c>
      <c r="D310" s="328"/>
      <c r="E310" s="328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D311" s="15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33"/>
      <c r="D314" s="162"/>
      <c r="E314" s="24"/>
      <c r="F314" s="109"/>
      <c r="G314" s="109"/>
      <c r="H314" s="109"/>
      <c r="I314" s="27"/>
      <c r="J314" s="99" t="str">
        <f>LEFT($J$111,13)&amp;"-03"</f>
        <v>FG-240-8P5L3R-03</v>
      </c>
    </row>
    <row r="315" spans="1:14" ht="12.75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30" customHeight="1">
      <c r="A316" s="17"/>
      <c r="B316" s="26"/>
      <c r="C316" s="26"/>
      <c r="D316" s="83"/>
      <c r="E316" s="25"/>
      <c r="F316" s="25"/>
      <c r="G316" s="25"/>
      <c r="H316" s="25"/>
      <c r="I316" s="179"/>
      <c r="J316" s="90" t="str">
        <f>$J$2</f>
        <v>HOMELIFE</v>
      </c>
    </row>
    <row r="317" spans="1:14" ht="24.9" customHeight="1">
      <c r="B317" s="235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235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s="1" customFormat="1" ht="15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  <c r="K320" s="4"/>
      <c r="L320" s="4"/>
      <c r="M320" s="4"/>
      <c r="N320" s="4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09"/>
      <c r="B325" s="56"/>
      <c r="C325" s="30"/>
      <c r="D325" s="30"/>
      <c r="E325" s="29"/>
      <c r="F325" s="30"/>
      <c r="G325" s="17"/>
      <c r="H325" s="31"/>
      <c r="I325" s="109"/>
      <c r="J325" s="109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236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236"/>
      <c r="I331" s="161"/>
      <c r="J331" s="109"/>
    </row>
    <row r="332" spans="1:10" s="1" customFormat="1" ht="15" customHeight="1">
      <c r="A332" s="64" t="str">
        <f>A18</f>
        <v>240-8 Panel (5L3R)</v>
      </c>
      <c r="B332" s="92"/>
      <c r="C332" s="161"/>
      <c r="D332" s="161"/>
      <c r="E332" s="109"/>
      <c r="F332" s="236"/>
      <c r="G332" s="236"/>
      <c r="H332" s="236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92"/>
      <c r="C333" s="161"/>
      <c r="D333" s="161"/>
      <c r="E333" s="109"/>
      <c r="F333" s="236"/>
      <c r="G333" s="236"/>
      <c r="H333" s="236"/>
      <c r="I333" s="109"/>
      <c r="J333" s="109"/>
    </row>
    <row r="334" spans="1:10" s="1" customFormat="1" ht="15.9" customHeight="1">
      <c r="A334" s="109"/>
      <c r="B334" s="45"/>
      <c r="C334" s="42"/>
      <c r="D334" s="161"/>
      <c r="E334" s="109"/>
      <c r="F334" s="507"/>
      <c r="G334" s="507"/>
      <c r="H334" s="236"/>
      <c r="I334" s="109"/>
      <c r="J334" s="109"/>
    </row>
    <row r="335" spans="1:10" s="1" customFormat="1" ht="15.9" customHeight="1">
      <c r="A335" s="39"/>
      <c r="B335" s="109"/>
      <c r="C335" s="161"/>
      <c r="D335" s="161"/>
      <c r="E335" s="109"/>
      <c r="F335" s="37"/>
      <c r="G335" s="38"/>
      <c r="H335" s="109"/>
      <c r="I335" s="109"/>
      <c r="J335" s="109"/>
    </row>
    <row r="336" spans="1:10" s="1" customFormat="1" ht="15.9" customHeight="1">
      <c r="A336" s="44"/>
      <c r="C336" s="43"/>
      <c r="D336" s="161"/>
      <c r="E336" s="109"/>
      <c r="F336" s="109"/>
      <c r="G336" s="109"/>
      <c r="H336" s="109"/>
      <c r="I336" s="44"/>
      <c r="J336" s="119"/>
    </row>
    <row r="337" spans="1:10" s="1" customFormat="1" ht="15.9" customHeight="1">
      <c r="A337" s="40"/>
      <c r="C337" s="44"/>
      <c r="D337" s="84"/>
      <c r="E337" s="44"/>
      <c r="F337" s="44"/>
      <c r="G337" s="44"/>
      <c r="H337" s="44"/>
      <c r="I337" s="32"/>
      <c r="J337" s="40"/>
    </row>
    <row r="338" spans="1:10" s="1" customFormat="1" ht="15.9" customHeight="1">
      <c r="A338" s="109"/>
      <c r="C338" s="161"/>
      <c r="D338" s="85"/>
      <c r="E338" s="40"/>
      <c r="F338" s="32"/>
      <c r="G338" s="40"/>
      <c r="H338" s="32"/>
      <c r="I338" s="24"/>
      <c r="J338" s="24"/>
    </row>
    <row r="339" spans="1:10" s="1" customFormat="1" ht="15.9" customHeight="1">
      <c r="A339" s="109"/>
      <c r="C339" s="163"/>
      <c r="D339" s="161"/>
      <c r="E339" s="109"/>
      <c r="F339" s="161"/>
      <c r="G339" s="109"/>
      <c r="H339" s="109"/>
      <c r="I339" s="24"/>
      <c r="J339" s="24"/>
    </row>
    <row r="340" spans="1:10" s="1" customFormat="1" ht="15.9" customHeight="1">
      <c r="A340" s="109"/>
      <c r="B340" s="33"/>
      <c r="C340" s="161"/>
      <c r="D340" s="161"/>
      <c r="E340" s="109"/>
      <c r="F340" s="161"/>
      <c r="G340" s="109"/>
      <c r="H340" s="109"/>
      <c r="I340" s="162"/>
      <c r="J340" s="162"/>
    </row>
    <row r="341" spans="1:10" s="1" customFormat="1" ht="15.9" customHeight="1">
      <c r="A341" s="109"/>
      <c r="B341" s="33"/>
      <c r="C341" s="44"/>
      <c r="D341" s="161"/>
      <c r="E341" s="109"/>
      <c r="F341" s="161"/>
      <c r="G341" s="109"/>
      <c r="H341" s="162"/>
      <c r="I341" s="161"/>
      <c r="J341" s="161"/>
    </row>
    <row r="342" spans="1:10" s="1" customFormat="1" ht="15.9" customHeight="1">
      <c r="A342" s="109"/>
      <c r="B342" s="33"/>
      <c r="C342" s="42"/>
      <c r="D342" s="161"/>
      <c r="E342" s="109"/>
      <c r="F342" s="161"/>
      <c r="G342" s="109"/>
      <c r="H342" s="161"/>
      <c r="I342" s="161"/>
      <c r="J342" s="161"/>
    </row>
    <row r="343" spans="1:10" s="1" customFormat="1" ht="15.9" customHeight="1">
      <c r="A343" s="109"/>
      <c r="B343" s="33"/>
      <c r="C343" s="163"/>
      <c r="D343" s="161"/>
      <c r="E343" s="109"/>
      <c r="F343" s="161"/>
      <c r="G343" s="109"/>
      <c r="H343" s="161"/>
      <c r="I343" s="109"/>
      <c r="J343" s="24"/>
    </row>
    <row r="344" spans="1:10" s="1" customFormat="1" ht="15.9" customHeight="1">
      <c r="A344" s="109"/>
      <c r="B344" s="33"/>
      <c r="C344" s="161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44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3"/>
      <c r="D350" s="161"/>
      <c r="E350" s="109"/>
      <c r="F350" s="161"/>
      <c r="G350" s="109"/>
      <c r="H350" s="109"/>
      <c r="I350" s="109"/>
      <c r="J350" s="24"/>
    </row>
    <row r="351" spans="1:10" s="1" customFormat="1" ht="15.9" customHeight="1">
      <c r="A351" s="109"/>
      <c r="B351" s="33"/>
      <c r="C351" s="161"/>
      <c r="D351" s="161"/>
      <c r="E351" s="109"/>
      <c r="F351" s="161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1" customFormat="1" ht="15" customHeight="1">
      <c r="A353" s="109"/>
      <c r="B353" s="33"/>
      <c r="C353" s="33"/>
      <c r="D353" s="161"/>
      <c r="E353" s="109"/>
      <c r="F353" s="109"/>
      <c r="G353" s="109"/>
      <c r="H353" s="107"/>
      <c r="I353" s="24"/>
      <c r="J353" s="24"/>
    </row>
    <row r="354" spans="1:10" s="23" customFormat="1" ht="15.9" customHeight="1">
      <c r="A354" s="109"/>
      <c r="B354" s="33"/>
      <c r="C354" s="33"/>
      <c r="D354" s="161"/>
      <c r="E354" s="109"/>
      <c r="F354" s="109"/>
      <c r="G354" s="109"/>
      <c r="H354" s="109"/>
      <c r="I354" s="109"/>
      <c r="J354" s="109"/>
    </row>
    <row r="355" spans="1:10" s="1" customFormat="1" ht="15.9" customHeight="1">
      <c r="A355" s="44"/>
      <c r="B355" s="33"/>
      <c r="C355" s="33"/>
      <c r="D355" s="161"/>
      <c r="E355" s="109"/>
      <c r="F355" s="109"/>
      <c r="G355" s="109"/>
      <c r="H355" s="109"/>
      <c r="I355" s="44"/>
      <c r="J355" s="119"/>
    </row>
    <row r="356" spans="1:10" s="1" customFormat="1" ht="15.9" customHeight="1">
      <c r="A356" s="40"/>
      <c r="B356" s="44"/>
      <c r="C356" s="44"/>
      <c r="D356" s="84"/>
      <c r="E356" s="44"/>
      <c r="F356" s="44"/>
      <c r="G356" s="44"/>
      <c r="H356" s="44"/>
      <c r="I356" s="32"/>
      <c r="J356" s="40"/>
    </row>
    <row r="357" spans="1:10" s="1" customFormat="1" ht="15.9" customHeight="1">
      <c r="A357" s="27"/>
      <c r="B357" s="40"/>
      <c r="C357" s="44"/>
      <c r="D357" s="85"/>
      <c r="E357" s="40"/>
      <c r="F357" s="32"/>
      <c r="G357" s="40"/>
      <c r="H357" s="32"/>
      <c r="I357" s="24"/>
      <c r="J357" s="24"/>
    </row>
    <row r="358" spans="1:10" s="1" customFormat="1" ht="15.9" customHeight="1">
      <c r="A358" s="27"/>
      <c r="B358" s="33"/>
      <c r="C358" s="42"/>
      <c r="D358" s="161"/>
      <c r="E358" s="109"/>
      <c r="F358" s="109"/>
      <c r="G358" s="109"/>
      <c r="H358" s="42"/>
      <c r="I358" s="163"/>
      <c r="J358" s="163"/>
    </row>
    <row r="359" spans="1:10" s="1" customFormat="1" ht="15.9" customHeight="1">
      <c r="A359" s="27"/>
      <c r="B359" s="33"/>
      <c r="C359" s="163"/>
      <c r="D359" s="161"/>
      <c r="E359" s="109"/>
      <c r="F359" s="109"/>
      <c r="G359" s="109"/>
      <c r="H359" s="163"/>
      <c r="I359" s="161"/>
      <c r="J359" s="161"/>
    </row>
    <row r="360" spans="1:10" s="1" customFormat="1" ht="15.9" customHeight="1">
      <c r="A360" s="27"/>
      <c r="B360" s="33"/>
      <c r="C360" s="161"/>
      <c r="D360" s="161"/>
      <c r="E360" s="109"/>
      <c r="F360" s="109"/>
      <c r="G360" s="109"/>
      <c r="H360" s="161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46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161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D372" s="161"/>
      <c r="E372" s="109"/>
      <c r="F372" s="109"/>
      <c r="G372" s="33"/>
      <c r="H372" s="33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42"/>
      <c r="I376" s="163"/>
      <c r="J376" s="163"/>
    </row>
    <row r="377" spans="1:10" s="1" customFormat="1" ht="15.9" customHeight="1">
      <c r="A377" s="27"/>
      <c r="B377" s="33"/>
      <c r="C377" s="47"/>
      <c r="D377" s="161"/>
      <c r="E377" s="109"/>
      <c r="F377" s="109"/>
      <c r="G377" s="109"/>
      <c r="H377" s="163"/>
      <c r="I377" s="161"/>
      <c r="J377" s="161"/>
    </row>
    <row r="378" spans="1:10" s="1" customFormat="1" ht="15.9" customHeight="1">
      <c r="A378" s="27"/>
      <c r="B378" s="33"/>
      <c r="C378" s="46"/>
      <c r="D378" s="161"/>
      <c r="E378" s="109"/>
      <c r="F378" s="109"/>
      <c r="G378" s="109"/>
      <c r="H378" s="161"/>
      <c r="I378" s="24"/>
      <c r="J378" s="24"/>
    </row>
    <row r="379" spans="1:10" s="1" customFormat="1" ht="15.9" customHeight="1">
      <c r="A379" s="27"/>
      <c r="B379" s="33"/>
      <c r="C379" s="161"/>
      <c r="D379" s="161"/>
      <c r="E379" s="109"/>
      <c r="F379" s="109"/>
      <c r="G379" s="109"/>
      <c r="H379" s="42"/>
      <c r="I379" s="163"/>
      <c r="J379" s="163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3"/>
      <c r="I380" s="161"/>
      <c r="J380" s="161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1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64"/>
      <c r="J388" s="16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4"/>
      <c r="I389" s="165"/>
      <c r="J389" s="165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5"/>
      <c r="I390" s="161"/>
      <c r="J390" s="161"/>
    </row>
    <row r="391" spans="1:10" s="1" customFormat="1" ht="15.9" customHeight="1">
      <c r="A391" s="27"/>
      <c r="B391" s="33"/>
      <c r="C391" s="47"/>
      <c r="D391" s="161"/>
      <c r="E391" s="109"/>
      <c r="F391" s="109"/>
      <c r="G391" s="109"/>
      <c r="H391" s="161"/>
      <c r="I391" s="24"/>
      <c r="J391" s="24"/>
    </row>
    <row r="392" spans="1:10" s="1" customFormat="1" ht="15.9" customHeight="1">
      <c r="A392" s="27"/>
      <c r="B392" s="33"/>
      <c r="C392" s="46"/>
      <c r="D392" s="161"/>
      <c r="E392" s="109"/>
      <c r="F392" s="109"/>
      <c r="G392" s="109"/>
      <c r="H392" s="109"/>
      <c r="I392" s="109"/>
      <c r="J392" s="24"/>
    </row>
    <row r="393" spans="1:10" s="1" customFormat="1" ht="15.9" customHeight="1">
      <c r="A393" s="27"/>
      <c r="B393" s="33"/>
      <c r="C393" s="161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23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1" customFormat="1" ht="15.9" customHeight="1">
      <c r="A405" s="44"/>
      <c r="B405" s="33"/>
      <c r="C405" s="33"/>
      <c r="D405" s="161"/>
      <c r="E405" s="109"/>
      <c r="F405" s="109"/>
      <c r="G405" s="109"/>
      <c r="H405" s="109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109"/>
      <c r="B419" s="44"/>
      <c r="C419" s="44"/>
      <c r="D419" s="84"/>
      <c r="E419" s="44"/>
      <c r="F419" s="44"/>
      <c r="G419" s="44"/>
      <c r="H419" s="44"/>
      <c r="I419" s="24"/>
      <c r="J419" s="24"/>
      <c r="K419" s="71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LEFT($J$111,13)&amp;"-04"</f>
        <v>FG-240-8P5L3R-04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A423" s="109"/>
      <c r="B423" s="33"/>
      <c r="C423" s="33"/>
      <c r="D423" s="161"/>
      <c r="E423" s="109"/>
      <c r="F423" s="109"/>
      <c r="G423" s="109"/>
      <c r="H423" s="109"/>
      <c r="I423" s="109"/>
      <c r="J423" s="90" t="str">
        <f>$J$2</f>
        <v>HOMELIFE</v>
      </c>
      <c r="K423" s="7"/>
      <c r="L423" s="7"/>
      <c r="M423" s="2"/>
      <c r="N423" s="2"/>
    </row>
    <row r="424" spans="1:14" ht="24.9" customHeight="1">
      <c r="A424" s="109"/>
      <c r="B424" s="33"/>
      <c r="C424" s="33"/>
      <c r="D424" s="161"/>
      <c r="E424" s="109"/>
      <c r="F424" s="109"/>
      <c r="G424" s="109"/>
      <c r="H424" s="109"/>
      <c r="I424" s="109"/>
      <c r="J424" s="91" t="str">
        <f>$J$3</f>
        <v>Fabricators Guide</v>
      </c>
      <c r="K424" s="7"/>
      <c r="L424" s="7"/>
      <c r="M424" s="2"/>
      <c r="N424" s="2"/>
    </row>
    <row r="425" spans="1:14" ht="24.9" customHeight="1">
      <c r="B425" s="235"/>
      <c r="C425" s="28"/>
      <c r="D425" s="28"/>
      <c r="E425" s="28"/>
      <c r="F425" s="28"/>
      <c r="G425" s="28"/>
      <c r="H425" s="28"/>
      <c r="I425" s="28"/>
      <c r="J425" s="91" t="str">
        <f>$J$4</f>
        <v xml:space="preserve">240 Series Bi Fold Door </v>
      </c>
      <c r="K425" s="48"/>
      <c r="L425" s="48"/>
      <c r="M425" s="4"/>
      <c r="N425" s="4"/>
    </row>
    <row r="426" spans="1:14" s="1" customFormat="1" ht="15" customHeight="1" thickBot="1">
      <c r="A426" s="78"/>
      <c r="B426" s="8"/>
      <c r="C426" s="28"/>
      <c r="D426" s="28"/>
      <c r="E426" s="28"/>
      <c r="F426" s="28"/>
      <c r="G426" s="28"/>
      <c r="H426" s="2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  <c r="K427" s="4"/>
      <c r="L427" s="4"/>
      <c r="M427" s="4"/>
      <c r="N427" s="4"/>
    </row>
    <row r="428" spans="1:14" s="1" customFormat="1" ht="15" customHeight="1">
      <c r="A428" s="193"/>
      <c r="B428" s="194"/>
      <c r="C428" s="194"/>
      <c r="D428" s="194"/>
      <c r="E428" s="194"/>
      <c r="F428" s="194"/>
      <c r="G428" s="194"/>
      <c r="H428" s="194"/>
      <c r="I428" s="193"/>
      <c r="K428" s="56"/>
      <c r="L428" s="56"/>
      <c r="M428" s="56"/>
      <c r="N428" s="56"/>
    </row>
    <row r="429" spans="1:14" s="1" customFormat="1" ht="15" customHeight="1">
      <c r="A429" s="45"/>
      <c r="B429" s="193"/>
      <c r="C429" s="193"/>
      <c r="D429" s="193"/>
      <c r="E429" s="193"/>
      <c r="F429" s="193"/>
      <c r="G429" s="193"/>
      <c r="H429" s="193"/>
      <c r="I429" s="44"/>
      <c r="J429" s="119"/>
    </row>
    <row r="430" spans="1:14" s="1" customFormat="1" ht="15" customHeight="1">
      <c r="A430" s="109"/>
      <c r="B430" s="39"/>
      <c r="C430" s="33"/>
      <c r="D430" s="161"/>
      <c r="E430" s="35"/>
      <c r="F430" s="39"/>
      <c r="G430" s="193"/>
      <c r="H430" s="44"/>
      <c r="I430" s="44"/>
      <c r="J430" s="119"/>
    </row>
    <row r="431" spans="1:14" s="1" customFormat="1" ht="15" customHeight="1">
      <c r="A431" s="109"/>
      <c r="B431" s="33"/>
      <c r="C431" s="33"/>
      <c r="D431" s="161"/>
      <c r="E431" s="35"/>
      <c r="F431" s="161"/>
      <c r="G431" s="193"/>
      <c r="H431" s="44"/>
      <c r="I431" s="44"/>
      <c r="J431" s="119"/>
    </row>
    <row r="432" spans="1:14" s="1" customFormat="1" ht="15" customHeight="1">
      <c r="A432" s="109"/>
      <c r="B432" s="56"/>
      <c r="C432" s="56"/>
      <c r="D432" s="30"/>
      <c r="E432" s="29"/>
      <c r="F432" s="30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109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3"/>
      <c r="H434" s="44"/>
      <c r="I434" s="44"/>
      <c r="J434" s="119"/>
    </row>
    <row r="435" spans="1:10" s="1" customFormat="1" ht="15" customHeight="1">
      <c r="A435" s="109"/>
      <c r="B435" s="33"/>
      <c r="C435" s="161"/>
      <c r="D435" s="161"/>
      <c r="E435" s="35"/>
      <c r="F435" s="161"/>
      <c r="H435" s="44"/>
      <c r="I435" s="44"/>
      <c r="J435" s="119"/>
    </row>
    <row r="436" spans="1:10" s="1" customFormat="1" ht="15" customHeight="1">
      <c r="A436" s="39"/>
      <c r="B436" s="33"/>
      <c r="C436" s="42"/>
      <c r="D436" s="161"/>
      <c r="E436" s="109"/>
      <c r="F436" s="69"/>
      <c r="H436" s="44"/>
      <c r="I436" s="44"/>
      <c r="J436" s="119"/>
    </row>
    <row r="437" spans="1:10" s="1" customFormat="1" ht="15" customHeight="1">
      <c r="A437" s="92"/>
      <c r="B437" s="39"/>
      <c r="C437" s="163"/>
      <c r="D437" s="161"/>
      <c r="E437" s="109"/>
      <c r="F437" s="68"/>
      <c r="H437" s="44"/>
      <c r="I437" s="44"/>
      <c r="J437" s="119"/>
    </row>
    <row r="438" spans="1:10" s="1" customFormat="1" ht="15" customHeight="1">
      <c r="B438" s="92"/>
      <c r="C438" s="161"/>
      <c r="D438" s="161"/>
      <c r="E438" s="109"/>
      <c r="F438" s="236"/>
      <c r="H438" s="44"/>
      <c r="I438" s="44"/>
      <c r="J438" s="119"/>
    </row>
    <row r="439" spans="1:10" s="1" customFormat="1" ht="15" customHeight="1">
      <c r="A439" s="64" t="str">
        <f>A18</f>
        <v>240-8 Panel (5L3R)</v>
      </c>
      <c r="B439" s="92"/>
      <c r="C439" s="161"/>
      <c r="D439" s="161"/>
      <c r="E439" s="109"/>
      <c r="F439" s="236"/>
      <c r="H439" s="44"/>
      <c r="I439" s="44"/>
      <c r="J439" s="119"/>
    </row>
    <row r="440" spans="1:10" s="1" customFormat="1" ht="15.9" customHeight="1">
      <c r="A440" s="76" t="str">
        <f>A19</f>
        <v xml:space="preserve">Outside Bi Fold Door </v>
      </c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44"/>
      <c r="B442" s="38"/>
      <c r="C442" s="43"/>
      <c r="D442" s="161"/>
      <c r="E442" s="109"/>
      <c r="F442" s="109"/>
      <c r="H442" s="44"/>
      <c r="I442" s="44"/>
      <c r="J442" s="119"/>
    </row>
    <row r="443" spans="1:10" s="1" customFormat="1" ht="15.9" customHeight="1">
      <c r="A443" s="40"/>
      <c r="C443" s="44"/>
      <c r="D443" s="84"/>
      <c r="E443" s="44"/>
      <c r="F443" s="44"/>
      <c r="H443" s="44"/>
      <c r="I443" s="44"/>
      <c r="J443" s="119"/>
    </row>
    <row r="444" spans="1:10" s="1" customFormat="1" ht="35.1" customHeight="1">
      <c r="A444" s="109"/>
      <c r="C444" s="161"/>
      <c r="D444" s="85"/>
      <c r="E444" s="40"/>
      <c r="F444" s="32"/>
      <c r="H444" s="44"/>
      <c r="I444" s="24"/>
      <c r="J444" s="24"/>
    </row>
    <row r="445" spans="1:10" ht="15.6">
      <c r="B445" s="64"/>
      <c r="C445" s="163"/>
      <c r="D445" s="161"/>
      <c r="E445" s="109"/>
      <c r="F445" s="161"/>
      <c r="G445" s="109"/>
      <c r="H445" s="109"/>
    </row>
    <row r="450" spans="1:10" s="1" customFormat="1" ht="15.9" customHeight="1">
      <c r="A450" s="109"/>
      <c r="B450"/>
      <c r="C450"/>
      <c r="D450" s="81"/>
      <c r="E450"/>
      <c r="F450"/>
      <c r="G450"/>
      <c r="H450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44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1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163"/>
      <c r="D456" s="161"/>
      <c r="E456" s="109"/>
      <c r="F456" s="161"/>
      <c r="G456" s="109"/>
      <c r="H456" s="109"/>
      <c r="I456" s="109"/>
      <c r="J456" s="24"/>
    </row>
    <row r="457" spans="1:10" s="1" customFormat="1" ht="15.9" customHeight="1">
      <c r="A457" s="109"/>
      <c r="B457" s="33"/>
      <c r="C457" s="161"/>
      <c r="D457" s="161"/>
      <c r="E457" s="109"/>
      <c r="F457" s="161"/>
      <c r="G457" s="109"/>
      <c r="H457" s="109"/>
      <c r="I457" s="24"/>
      <c r="J457" s="24"/>
    </row>
    <row r="458" spans="1:10" s="1" customFormat="1" ht="15.9" customHeight="1">
      <c r="A458" s="109"/>
      <c r="B458" s="33"/>
      <c r="C458" s="33"/>
      <c r="D458" s="161"/>
      <c r="E458" s="109"/>
      <c r="F458" s="109"/>
      <c r="G458" s="109"/>
      <c r="H458" s="109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7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" customHeight="1">
      <c r="A476" s="109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23" customFormat="1" ht="15.9" customHeight="1">
      <c r="A477" s="109"/>
      <c r="B477" s="33"/>
      <c r="C477" s="33"/>
      <c r="D477" s="161"/>
      <c r="E477" s="109"/>
      <c r="F477" s="109"/>
      <c r="G477" s="109"/>
      <c r="H477" s="109"/>
      <c r="I477" s="109"/>
      <c r="J477" s="109"/>
    </row>
    <row r="478" spans="1:10" s="1" customFormat="1" ht="15.9" customHeight="1">
      <c r="A478" s="44"/>
      <c r="B478" s="33"/>
      <c r="C478" s="33"/>
      <c r="D478" s="161"/>
      <c r="E478" s="109"/>
      <c r="F478" s="109"/>
      <c r="G478" s="109"/>
      <c r="H478" s="109"/>
      <c r="I478" s="44"/>
      <c r="J478" s="119"/>
    </row>
    <row r="479" spans="1:10" s="1" customFormat="1" ht="15.9" customHeight="1">
      <c r="A479" s="40"/>
      <c r="B479" s="44"/>
      <c r="C479" s="44"/>
      <c r="D479" s="84"/>
      <c r="E479" s="44"/>
      <c r="F479" s="44"/>
      <c r="G479" s="44"/>
      <c r="H479" s="44"/>
      <c r="I479" s="32"/>
      <c r="J479" s="40"/>
    </row>
    <row r="480" spans="1:10" s="1" customFormat="1" ht="15.9" customHeight="1">
      <c r="A480" s="27"/>
      <c r="B480" s="40"/>
      <c r="C480" s="44"/>
      <c r="D480" s="85"/>
      <c r="E480" s="40"/>
      <c r="F480" s="32"/>
      <c r="G480" s="40"/>
      <c r="H480" s="32"/>
      <c r="I480" s="24"/>
      <c r="J480" s="24"/>
    </row>
    <row r="481" spans="1:10" s="1" customFormat="1" ht="15.9" customHeight="1">
      <c r="A481" s="27"/>
      <c r="B481" s="33"/>
      <c r="C481" s="42"/>
      <c r="D481" s="161"/>
      <c r="E481" s="109"/>
      <c r="F481" s="109"/>
      <c r="G481" s="109"/>
      <c r="H481" s="42"/>
      <c r="I481" s="67"/>
      <c r="J481" s="165"/>
    </row>
    <row r="482" spans="1:10" s="1" customFormat="1" ht="15.9" customHeight="1">
      <c r="A482" s="27"/>
      <c r="B482" s="33"/>
      <c r="C482" s="163"/>
      <c r="D482" s="161"/>
      <c r="E482" s="109"/>
      <c r="F482" s="109"/>
      <c r="G482" s="109"/>
      <c r="H482" s="67"/>
      <c r="I482" s="38"/>
      <c r="J482" s="109"/>
    </row>
    <row r="483" spans="1:10" s="1" customFormat="1" ht="15.9" customHeight="1">
      <c r="A483" s="27"/>
      <c r="B483" s="33"/>
      <c r="C483" s="161"/>
      <c r="D483" s="161"/>
      <c r="E483" s="109"/>
      <c r="F483" s="109"/>
      <c r="G483" s="109"/>
      <c r="H483" s="38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46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161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D495" s="161"/>
      <c r="E495" s="109"/>
      <c r="F495" s="109"/>
      <c r="G495" s="33"/>
      <c r="H495" s="33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42"/>
      <c r="I499" s="67"/>
      <c r="J499" s="165"/>
    </row>
    <row r="500" spans="1:10" s="1" customFormat="1" ht="15.9" customHeight="1">
      <c r="A500" s="27"/>
      <c r="B500" s="33"/>
      <c r="C500" s="47"/>
      <c r="D500" s="161"/>
      <c r="E500" s="109"/>
      <c r="F500" s="109"/>
      <c r="G500" s="109"/>
      <c r="H500" s="67"/>
      <c r="I500" s="38"/>
      <c r="J500" s="109"/>
    </row>
    <row r="501" spans="1:10" s="1" customFormat="1" ht="15.9" customHeight="1">
      <c r="A501" s="27"/>
      <c r="B501" s="33"/>
      <c r="C501" s="46"/>
      <c r="D501" s="161"/>
      <c r="E501" s="109"/>
      <c r="F501" s="109"/>
      <c r="G501" s="109"/>
      <c r="H501" s="38"/>
      <c r="I501" s="24"/>
      <c r="J501" s="24"/>
    </row>
    <row r="502" spans="1:10" s="1" customFormat="1" ht="15.9" customHeight="1">
      <c r="A502" s="27"/>
      <c r="B502" s="33"/>
      <c r="C502" s="161"/>
      <c r="D502" s="161"/>
      <c r="E502" s="109"/>
      <c r="F502" s="109"/>
      <c r="G502" s="109"/>
      <c r="H502" s="42"/>
      <c r="I502" s="67"/>
      <c r="J502" s="165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67"/>
      <c r="I503" s="38"/>
      <c r="J503" s="109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38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43"/>
      <c r="J511" s="107"/>
    </row>
    <row r="512" spans="1:10" s="1" customFormat="1" ht="15.9" customHeight="1">
      <c r="A512" s="44"/>
      <c r="B512" s="44"/>
      <c r="C512" s="44"/>
      <c r="D512" s="84"/>
      <c r="E512" s="44"/>
      <c r="F512" s="44"/>
      <c r="G512" s="44"/>
      <c r="H512" s="44"/>
      <c r="I512" s="44"/>
      <c r="J512" s="119"/>
    </row>
    <row r="513" spans="1:22" s="1" customFormat="1" ht="15.9" customHeight="1">
      <c r="A513" s="44"/>
      <c r="B513" s="44"/>
      <c r="C513" s="44"/>
      <c r="D513" s="84"/>
      <c r="E513" s="44"/>
      <c r="F513" s="44"/>
      <c r="G513" s="44"/>
      <c r="H513" s="44"/>
      <c r="I513" s="44"/>
      <c r="J513" s="119"/>
    </row>
    <row r="514" spans="1:22" s="1" customFormat="1" ht="15.9" customHeight="1">
      <c r="A514" s="44"/>
      <c r="B514" s="44"/>
      <c r="C514" s="44"/>
      <c r="D514" s="84"/>
      <c r="E514" s="44"/>
      <c r="F514" s="44"/>
      <c r="G514" s="44"/>
      <c r="H514" s="44"/>
      <c r="I514" s="44"/>
      <c r="J514" s="119"/>
    </row>
    <row r="515" spans="1:22" s="1" customFormat="1" ht="15.9" customHeight="1">
      <c r="A515" s="44"/>
      <c r="B515" s="44"/>
      <c r="C515" s="44"/>
      <c r="D515" s="84"/>
      <c r="E515" s="44"/>
      <c r="F515" s="44"/>
      <c r="G515" s="44"/>
      <c r="H515" s="44"/>
      <c r="I515" s="44"/>
      <c r="J515" s="119"/>
    </row>
    <row r="516" spans="1:22" s="1" customFormat="1" ht="15.9" customHeight="1">
      <c r="B516" s="44"/>
      <c r="C516" s="44"/>
      <c r="D516" s="84"/>
      <c r="E516" s="44"/>
      <c r="F516" s="44"/>
      <c r="G516" s="44"/>
      <c r="H516" s="44"/>
    </row>
    <row r="517" spans="1:22" s="1" customFormat="1" ht="15.9" customHeight="1" thickBot="1"/>
    <row r="518" spans="1:22" s="1" customFormat="1" ht="24.9" customHeight="1" thickBot="1">
      <c r="A518" s="502" t="s">
        <v>401</v>
      </c>
      <c r="B518" s="503"/>
      <c r="C518" s="503"/>
      <c r="D518" s="503"/>
      <c r="E518" s="503"/>
      <c r="F518" s="503"/>
      <c r="G518" s="503"/>
      <c r="H518" s="503"/>
      <c r="I518" s="503"/>
      <c r="J518" s="504"/>
    </row>
    <row r="519" spans="1:22" s="1" customFormat="1" ht="35.1" customHeight="1" thickBot="1">
      <c r="A519" s="102" t="s">
        <v>2</v>
      </c>
      <c r="B519" s="103" t="s">
        <v>3</v>
      </c>
      <c r="C519" s="103" t="s">
        <v>3</v>
      </c>
      <c r="D519" s="104" t="s">
        <v>35</v>
      </c>
      <c r="E519" s="103" t="s">
        <v>5</v>
      </c>
      <c r="F519" s="339" t="s">
        <v>27</v>
      </c>
      <c r="G519" s="305"/>
      <c r="H519" s="104" t="s">
        <v>27</v>
      </c>
      <c r="I519" s="104" t="s">
        <v>26</v>
      </c>
      <c r="J519" s="115" t="s">
        <v>6</v>
      </c>
      <c r="N519" s="249" t="s">
        <v>3</v>
      </c>
      <c r="O519" s="249" t="s">
        <v>3</v>
      </c>
    </row>
    <row r="520" spans="1:22" s="1" customFormat="1" ht="15.9" customHeight="1">
      <c r="A520" s="123">
        <f>IF(C520="","",1)</f>
        <v>1</v>
      </c>
      <c r="B520" s="121" t="str">
        <f>IF($D$127=5,N520,IF($D$127=6,N521,IF($D$127=8,N522,IF($D$127=10,N523,IF($D$127=12,N524,IF($D$127=14,N525,IF($D$127=18,N526,IF($D$127=20,N527,IF($D$127=22,N528,)))))))))</f>
        <v>กระจก 6 mm (สูง) (กว้าง)</v>
      </c>
      <c r="C520" s="121" t="str">
        <f>IF($D$127=5,O520,IF($D$127=6,O521,IF($D$127=8,O522,IF($D$127=10,O523,IF($D$127=12,O524,IF($D$127=14,O525,IF($D$127=18,O526,IF($D$127=20,O527,IF($D$127=22,O528,)))))))))</f>
        <v>GLASS thk.6 mm (H) (W)</v>
      </c>
      <c r="D520" s="124">
        <f>$J$123-215</f>
        <v>2385</v>
      </c>
      <c r="E520" s="123" t="s">
        <v>11</v>
      </c>
      <c r="F520" s="527" t="s">
        <v>271</v>
      </c>
      <c r="G520" s="528"/>
      <c r="H520" s="123" t="s">
        <v>410</v>
      </c>
      <c r="I520" s="124">
        <f>(($J$126-185-(113.25*7))/8)-13</f>
        <v>464.78125</v>
      </c>
      <c r="J520" s="151">
        <f>$J$120*8</f>
        <v>8</v>
      </c>
      <c r="M520" s="1">
        <f>ROW()</f>
        <v>520</v>
      </c>
      <c r="N520" s="19" t="s">
        <v>194</v>
      </c>
      <c r="O520" s="19" t="s">
        <v>195</v>
      </c>
    </row>
    <row r="521" spans="1:22" s="1" customFormat="1" ht="15.9" customHeight="1">
      <c r="A521" s="346"/>
      <c r="B521" s="295"/>
      <c r="C521" s="295"/>
      <c r="D521" s="296"/>
      <c r="E521" s="238"/>
      <c r="F521" s="251"/>
      <c r="G521" s="297"/>
      <c r="H521" s="238"/>
      <c r="I521" s="298"/>
      <c r="J521" s="299"/>
      <c r="M521" s="1">
        <f>ROW()</f>
        <v>521</v>
      </c>
      <c r="N521" s="19" t="s">
        <v>53</v>
      </c>
      <c r="O521" s="19" t="s">
        <v>54</v>
      </c>
    </row>
    <row r="522" spans="1:22" s="1" customFormat="1" ht="15.9" customHeight="1">
      <c r="A522" s="346"/>
      <c r="B522" s="295"/>
      <c r="C522" s="295"/>
      <c r="D522" s="296"/>
      <c r="E522" s="238"/>
      <c r="F522" s="251"/>
      <c r="G522" s="297"/>
      <c r="H522" s="238"/>
      <c r="I522" s="298"/>
      <c r="J522" s="299"/>
      <c r="M522" s="1">
        <f>ROW()</f>
        <v>522</v>
      </c>
      <c r="N522" s="19" t="s">
        <v>257</v>
      </c>
      <c r="O522" s="19" t="s">
        <v>258</v>
      </c>
    </row>
    <row r="523" spans="1:22" s="1" customFormat="1" ht="15.9" customHeight="1">
      <c r="A523" s="129" t="str">
        <f>IF(B523="","",+#REF!+1)</f>
        <v/>
      </c>
      <c r="B523" s="127"/>
      <c r="C523" s="127"/>
      <c r="D523" s="128"/>
      <c r="E523" s="129"/>
      <c r="F523" s="155"/>
      <c r="G523" s="157"/>
      <c r="H523" s="129"/>
      <c r="I523" s="144"/>
      <c r="J523" s="130"/>
      <c r="M523" s="1">
        <f>ROW()</f>
        <v>523</v>
      </c>
      <c r="N523" s="19" t="s">
        <v>259</v>
      </c>
      <c r="O523" s="19" t="s">
        <v>265</v>
      </c>
    </row>
    <row r="524" spans="1:22" s="1" customFormat="1" ht="15.9" customHeight="1">
      <c r="A524" s="135" t="str">
        <f>IF(B524="","",+A523+1)</f>
        <v/>
      </c>
      <c r="B524" s="133"/>
      <c r="C524" s="133"/>
      <c r="D524" s="134"/>
      <c r="E524" s="135"/>
      <c r="F524" s="158"/>
      <c r="G524" s="159"/>
      <c r="H524" s="135"/>
      <c r="I524" s="145"/>
      <c r="J524" s="136"/>
      <c r="M524" s="1">
        <f>ROW()</f>
        <v>524</v>
      </c>
      <c r="N524" s="19" t="s">
        <v>260</v>
      </c>
      <c r="O524" s="19" t="s">
        <v>266</v>
      </c>
    </row>
    <row r="525" spans="1:22" s="1" customFormat="1" ht="15.9" customHeight="1">
      <c r="A525" s="17"/>
      <c r="B525" s="56"/>
      <c r="C525" s="56"/>
      <c r="D525" s="30"/>
      <c r="E525" s="17"/>
      <c r="F525" s="17"/>
      <c r="G525" s="17"/>
      <c r="H525" s="109"/>
      <c r="I525" s="109"/>
      <c r="J525" s="24"/>
      <c r="M525" s="1">
        <f>ROW()</f>
        <v>525</v>
      </c>
      <c r="N525" s="19" t="s">
        <v>261</v>
      </c>
      <c r="O525" s="19" t="s">
        <v>267</v>
      </c>
    </row>
    <row r="526" spans="1:22">
      <c r="H526" s="294"/>
      <c r="I526" s="294"/>
      <c r="J526" s="99" t="str">
        <f>LEFT($J$111,13)&amp;"-05"</f>
        <v>FG-240-8P5L3R-05</v>
      </c>
      <c r="M526" s="1">
        <f>ROW()</f>
        <v>526</v>
      </c>
      <c r="N526" s="19" t="s">
        <v>262</v>
      </c>
      <c r="O526" s="19" t="s">
        <v>268</v>
      </c>
      <c r="P526" s="1"/>
      <c r="Q526" s="1"/>
      <c r="R526" s="1"/>
      <c r="S526" s="1"/>
      <c r="T526" s="1"/>
      <c r="U526" s="1"/>
      <c r="V526" s="1"/>
    </row>
    <row r="527" spans="1:22">
      <c r="M527" s="1">
        <f>ROW()</f>
        <v>527</v>
      </c>
      <c r="N527" s="19" t="s">
        <v>263</v>
      </c>
      <c r="O527" s="19" t="s">
        <v>269</v>
      </c>
      <c r="P527" s="1"/>
      <c r="Q527" s="1"/>
      <c r="R527" s="1"/>
      <c r="S527" s="1"/>
      <c r="T527" s="1"/>
      <c r="U527" s="1"/>
      <c r="V527" s="1"/>
    </row>
    <row r="528" spans="1:22">
      <c r="M528" s="1">
        <f>ROW()</f>
        <v>528</v>
      </c>
      <c r="N528" s="19" t="s">
        <v>264</v>
      </c>
      <c r="O528" s="19" t="s">
        <v>270</v>
      </c>
    </row>
  </sheetData>
  <sheetProtection selectLockedCells="1" selectUnlockedCells="1"/>
  <dataConsolidate function="product">
    <dataRefs count="1">
      <dataRef ref="N129:N131" sheet="240_7Panel(6L1R)" r:id="rId1"/>
    </dataRefs>
  </dataConsolidate>
  <mergeCells count="46">
    <mergeCell ref="D161:D162"/>
    <mergeCell ref="D163:D168"/>
    <mergeCell ref="D169:D170"/>
    <mergeCell ref="D171:D172"/>
    <mergeCell ref="H163:H168"/>
    <mergeCell ref="H161:H162"/>
    <mergeCell ref="H169:H170"/>
    <mergeCell ref="H171:H172"/>
    <mergeCell ref="A173:J173"/>
    <mergeCell ref="I168:J168"/>
    <mergeCell ref="I162:J165"/>
    <mergeCell ref="I166:J167"/>
    <mergeCell ref="D127:G127"/>
    <mergeCell ref="A131:J131"/>
    <mergeCell ref="I154:J154"/>
    <mergeCell ref="I155:J155"/>
    <mergeCell ref="I156:J156"/>
    <mergeCell ref="I157:J157"/>
    <mergeCell ref="I158:J158"/>
    <mergeCell ref="D159:D160"/>
    <mergeCell ref="H159:H160"/>
    <mergeCell ref="I159:J160"/>
    <mergeCell ref="I161:J161"/>
    <mergeCell ref="D129:G129"/>
    <mergeCell ref="H123:I124"/>
    <mergeCell ref="J123:J124"/>
    <mergeCell ref="A125:B125"/>
    <mergeCell ref="H126:I127"/>
    <mergeCell ref="J126:J127"/>
    <mergeCell ref="D123:G123"/>
    <mergeCell ref="D125:G125"/>
    <mergeCell ref="A6:J6"/>
    <mergeCell ref="H120:I121"/>
    <mergeCell ref="J120:J121"/>
    <mergeCell ref="A117:J117"/>
    <mergeCell ref="D119:G119"/>
    <mergeCell ref="D121:G121"/>
    <mergeCell ref="F520:G520"/>
    <mergeCell ref="A518:J518"/>
    <mergeCell ref="A427:J427"/>
    <mergeCell ref="A320:J320"/>
    <mergeCell ref="A213:J213"/>
    <mergeCell ref="F331:G331"/>
    <mergeCell ref="F334:G334"/>
    <mergeCell ref="F330:G330"/>
    <mergeCell ref="C308:E308"/>
  </mergeCells>
  <dataValidations count="4">
    <dataValidation type="list" allowBlank="1" showInputMessage="1" showErrorMessage="1" sqref="C206">
      <formula1>$O$175:$O$193</formula1>
    </dataValidation>
    <dataValidation type="list" allowBlank="1" showInputMessage="1" showErrorMessage="1" sqref="D123:G123">
      <formula1>$P$118:$P$127</formula1>
    </dataValidation>
    <dataValidation type="list" allowBlank="1" showInputMessage="1" showErrorMessage="1" sqref="D127:G127">
      <formula1>$N$119:$N$127</formula1>
    </dataValidation>
    <dataValidation type="list" allowBlank="1" showInputMessage="1" showErrorMessage="1" sqref="D129:G129">
      <formula1>$O$119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16383" man="1"/>
    <brk id="421" max="9" man="1"/>
  </rowBreaks>
  <drawing r:id="rId3"/>
  <legacyDrawing r:id="rId4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theme="5" tint="-0.249977111117893"/>
  </sheetPr>
  <dimension ref="A1:X528"/>
  <sheetViews>
    <sheetView showGridLines="0" view="pageBreakPreview" topLeftCell="A117" zoomScale="75" zoomScaleNormal="75" zoomScaleSheetLayoutView="75" workbookViewId="0">
      <selection activeCell="I135" sqref="I135"/>
    </sheetView>
  </sheetViews>
  <sheetFormatPr defaultRowHeight="14.4" outlineLevelRow="1" outlineLevelCol="1"/>
  <cols>
    <col min="1" max="1" width="7" customWidth="1"/>
    <col min="2" max="2" width="40.6640625" customWidth="1"/>
    <col min="3" max="3" width="59.664062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6.6640625" customWidth="1"/>
    <col min="9" max="9" width="13.6640625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19.88671875" hidden="1" customWidth="1" outlineLevel="1"/>
    <col min="22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35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35"/>
      <c r="E3" s="235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197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/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>
      <c r="G55" s="10"/>
    </row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352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35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35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8">
      <c r="A118" s="12"/>
      <c r="C118" s="8"/>
      <c r="D118" s="15"/>
      <c r="E118" s="13"/>
      <c r="J118" s="237"/>
      <c r="K118" s="11"/>
      <c r="L118" s="56"/>
      <c r="M118" s="56"/>
      <c r="N118" s="243" t="s">
        <v>191</v>
      </c>
      <c r="O118" s="12" t="s">
        <v>227</v>
      </c>
      <c r="P118" s="247" t="s">
        <v>16</v>
      </c>
    </row>
    <row r="119" spans="1:16" s="1" customFormat="1" ht="15" customHeight="1">
      <c r="A119" s="12"/>
      <c r="C119" s="110" t="s">
        <v>635</v>
      </c>
      <c r="D119" s="524"/>
      <c r="E119" s="525"/>
      <c r="F119" s="525"/>
      <c r="G119" s="526"/>
      <c r="I119" s="16"/>
      <c r="J119" s="12"/>
      <c r="N119" s="244">
        <v>5</v>
      </c>
      <c r="O119" s="12" t="s">
        <v>243</v>
      </c>
      <c r="P119" s="335" t="s">
        <v>389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5">
        <v>6</v>
      </c>
      <c r="O120" s="12" t="s">
        <v>244</v>
      </c>
      <c r="P120" s="336" t="s">
        <v>390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8</v>
      </c>
      <c r="P121" s="336" t="s">
        <v>391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10</v>
      </c>
      <c r="P122" s="336" t="s">
        <v>392</v>
      </c>
    </row>
    <row r="123" spans="1:16" s="1" customFormat="1" ht="15" customHeight="1">
      <c r="A123" s="12"/>
      <c r="C123" s="110" t="s">
        <v>629</v>
      </c>
      <c r="D123" s="524" t="s">
        <v>15</v>
      </c>
      <c r="E123" s="525"/>
      <c r="F123" s="525"/>
      <c r="G123" s="526"/>
      <c r="H123" s="519" t="s">
        <v>638</v>
      </c>
      <c r="I123" s="520"/>
      <c r="J123" s="517">
        <v>2000</v>
      </c>
      <c r="N123" s="245">
        <v>12</v>
      </c>
      <c r="P123" s="335" t="s">
        <v>393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14</v>
      </c>
      <c r="P124" s="335" t="s">
        <v>394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236"/>
      <c r="L125" s="77"/>
      <c r="N125" s="245">
        <v>18</v>
      </c>
      <c r="P125" s="335" t="s">
        <v>395</v>
      </c>
    </row>
    <row r="126" spans="1:16" s="1" customFormat="1" ht="15" customHeight="1">
      <c r="A126" s="237"/>
      <c r="B126" s="237"/>
      <c r="C126" s="423" t="s">
        <v>631</v>
      </c>
      <c r="D126" s="15"/>
      <c r="H126" s="519" t="s">
        <v>639</v>
      </c>
      <c r="I126" s="520"/>
      <c r="J126" s="517">
        <v>2000</v>
      </c>
      <c r="K126" s="236"/>
      <c r="L126" s="77"/>
      <c r="N126" s="245">
        <v>20</v>
      </c>
      <c r="P126" s="335" t="s">
        <v>396</v>
      </c>
    </row>
    <row r="127" spans="1:16" s="1" customFormat="1" ht="15" customHeight="1">
      <c r="A127" s="237"/>
      <c r="B127" s="237"/>
      <c r="C127" s="110" t="s">
        <v>633</v>
      </c>
      <c r="D127" s="534">
        <v>8</v>
      </c>
      <c r="E127" s="535"/>
      <c r="F127" s="535"/>
      <c r="G127" s="536"/>
      <c r="H127" s="520"/>
      <c r="I127" s="520"/>
      <c r="J127" s="518"/>
      <c r="N127" s="245">
        <v>22</v>
      </c>
      <c r="P127" s="335" t="s">
        <v>397</v>
      </c>
    </row>
    <row r="128" spans="1:16" s="1" customFormat="1" ht="18.75" customHeight="1">
      <c r="C128" s="423" t="s">
        <v>632</v>
      </c>
      <c r="I128" s="12"/>
      <c r="J128" s="12"/>
    </row>
    <row r="129" spans="1:23" s="1" customFormat="1" ht="15" customHeight="1">
      <c r="A129" s="88" t="str">
        <f>A18</f>
        <v>240-9 Panel (3L6R)</v>
      </c>
      <c r="C129" s="110" t="s">
        <v>242</v>
      </c>
      <c r="D129" s="537" t="s">
        <v>244</v>
      </c>
      <c r="E129" s="538"/>
      <c r="F129" s="538"/>
      <c r="G129" s="539"/>
      <c r="H129" s="12"/>
      <c r="I129" s="12"/>
      <c r="J129" s="12"/>
      <c r="P129" s="97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  <c r="P131" s="97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1940</v>
      </c>
      <c r="J133" s="125">
        <f t="shared" ref="J133:J151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18</v>
      </c>
      <c r="U133" s="283" t="s">
        <v>302</v>
      </c>
      <c r="V133" s="285">
        <f>($J$126-185-(113.25*8))/9</f>
        <v>101</v>
      </c>
      <c r="W133" s="286">
        <f>$J$120*T133</f>
        <v>18</v>
      </c>
    </row>
    <row r="134" spans="1:23" s="1" customFormat="1" ht="18" customHeight="1">
      <c r="A134" s="143">
        <f t="shared" ref="A134:A150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1914</v>
      </c>
      <c r="J134" s="131">
        <f t="shared" ref="J134:J139" si="2"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18</v>
      </c>
      <c r="U134" s="129" t="s">
        <v>302</v>
      </c>
      <c r="V134" s="144">
        <f>($J$126-185-(113.25*8))/9</f>
        <v>101</v>
      </c>
      <c r="W134" s="131">
        <f t="shared" ref="W134:W135" si="3">$J$120*T134</f>
        <v>18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1940</v>
      </c>
      <c r="J135" s="131">
        <f t="shared" si="2"/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18</v>
      </c>
      <c r="U135" s="135" t="s">
        <v>302</v>
      </c>
      <c r="V135" s="145">
        <f>($J$126-185-(113.25*8))/9</f>
        <v>101</v>
      </c>
      <c r="W135" s="293">
        <f t="shared" si="3"/>
        <v>18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1940</v>
      </c>
      <c r="J136" s="131">
        <f t="shared" si="2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18</v>
      </c>
      <c r="U136" s="283" t="s">
        <v>64</v>
      </c>
      <c r="V136" s="288">
        <f>$J$123-242</f>
        <v>1758</v>
      </c>
      <c r="W136" s="286">
        <f>$J$120*T136</f>
        <v>18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2000</v>
      </c>
      <c r="J137" s="131">
        <f t="shared" si="2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18</v>
      </c>
      <c r="U137" s="129" t="s">
        <v>64</v>
      </c>
      <c r="V137" s="130">
        <f>$J$123-242</f>
        <v>1758</v>
      </c>
      <c r="W137" s="131">
        <f t="shared" ref="W137:W138" si="4">$J$120*T137</f>
        <v>18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2000</v>
      </c>
      <c r="J138" s="131">
        <f t="shared" si="2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18</v>
      </c>
      <c r="U138" s="135" t="s">
        <v>64</v>
      </c>
      <c r="V138" s="136">
        <f>$J$123-242</f>
        <v>1758</v>
      </c>
      <c r="W138" s="293">
        <f t="shared" si="4"/>
        <v>18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1904</v>
      </c>
      <c r="J139" s="131">
        <f t="shared" si="2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1904</v>
      </c>
      <c r="J140" s="131">
        <f t="shared" ref="J140" si="5">$J$120*G140</f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9</v>
      </c>
      <c r="H141" s="268" t="s">
        <v>302</v>
      </c>
      <c r="I141" s="178">
        <f>($J$126-185-(113.25*8))/9</f>
        <v>101</v>
      </c>
      <c r="J141" s="131">
        <f t="shared" ref="J141:J150" si="6">$J$120*G141</f>
        <v>9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9</v>
      </c>
      <c r="H142" s="268" t="s">
        <v>302</v>
      </c>
      <c r="I142" s="178">
        <f>($J$126-185-(113.25*8))/9</f>
        <v>101</v>
      </c>
      <c r="J142" s="131">
        <f t="shared" si="6"/>
        <v>9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13</v>
      </c>
      <c r="H143" s="143" t="s">
        <v>63</v>
      </c>
      <c r="I143" s="130">
        <f>$J$123-92</f>
        <v>1908</v>
      </c>
      <c r="J143" s="131">
        <f t="shared" si="6"/>
        <v>13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150</v>
      </c>
      <c r="D144" s="139" t="s">
        <v>50</v>
      </c>
      <c r="E144" s="143">
        <v>1.1060000000000001</v>
      </c>
      <c r="F144" s="139" t="s">
        <v>497</v>
      </c>
      <c r="G144" s="143">
        <v>3</v>
      </c>
      <c r="H144" s="143" t="s">
        <v>63</v>
      </c>
      <c r="I144" s="130">
        <f>$J$123-92</f>
        <v>1908</v>
      </c>
      <c r="J144" s="131">
        <f t="shared" si="6"/>
        <v>3</v>
      </c>
      <c r="N144" s="98"/>
    </row>
    <row r="145" spans="1:14" s="1" customFormat="1" ht="18" customHeight="1">
      <c r="A145" s="143">
        <f t="shared" si="1"/>
        <v>13</v>
      </c>
      <c r="B145" s="140" t="s">
        <v>8</v>
      </c>
      <c r="C145" s="140" t="s">
        <v>151</v>
      </c>
      <c r="D145" s="139" t="s">
        <v>50</v>
      </c>
      <c r="E145" s="143">
        <v>1.1060000000000001</v>
      </c>
      <c r="F145" s="139" t="s">
        <v>496</v>
      </c>
      <c r="G145" s="143">
        <v>1</v>
      </c>
      <c r="H145" s="143" t="s">
        <v>63</v>
      </c>
      <c r="I145" s="130">
        <f>$J$123-92</f>
        <v>1908</v>
      </c>
      <c r="J145" s="131">
        <f t="shared" si="6"/>
        <v>1</v>
      </c>
      <c r="N145" s="98"/>
    </row>
    <row r="146" spans="1:14" s="1" customFormat="1" ht="18" customHeight="1">
      <c r="A146" s="143">
        <f t="shared" si="1"/>
        <v>14</v>
      </c>
      <c r="B146" s="140" t="s">
        <v>116</v>
      </c>
      <c r="C146" s="140" t="s">
        <v>99</v>
      </c>
      <c r="D146" s="139" t="s">
        <v>50</v>
      </c>
      <c r="E146" s="143">
        <v>1.1060000000000001</v>
      </c>
      <c r="F146" s="139" t="s">
        <v>506</v>
      </c>
      <c r="G146" s="143">
        <v>1</v>
      </c>
      <c r="H146" s="143" t="s">
        <v>63</v>
      </c>
      <c r="I146" s="130">
        <f>$J$123-92</f>
        <v>1908</v>
      </c>
      <c r="J146" s="131">
        <f t="shared" si="6"/>
        <v>1</v>
      </c>
      <c r="N146" s="98"/>
    </row>
    <row r="147" spans="1:14" s="1" customFormat="1" ht="18" customHeight="1">
      <c r="A147" s="143">
        <f t="shared" si="1"/>
        <v>15</v>
      </c>
      <c r="B147" s="140" t="str">
        <f t="shared" ref="B147:I147" si="7">IF($D$127=5,O133,IF($D$127=6,O133,IF($D$127=8,O134,IF($D$127=10,O134,IF($D$127=12,O134,IF($D$127=14,O135,IF($D$127=18,O135,IF($D$127=20,O135,IF($D$127=22,O135,)))))))))</f>
        <v>8-12mm คิ้วตบกระจกแนวนอน</v>
      </c>
      <c r="C147" s="140" t="str">
        <f t="shared" si="7"/>
        <v>8-12mm GLAZING BEAD HORIZONTAL</v>
      </c>
      <c r="D147" s="140" t="str">
        <f t="shared" si="7"/>
        <v>B24016</v>
      </c>
      <c r="E147" s="140">
        <f t="shared" si="7"/>
        <v>0.215</v>
      </c>
      <c r="F147" s="140" t="str">
        <f t="shared" si="7"/>
        <v>B24016-001</v>
      </c>
      <c r="G147" s="143">
        <f t="shared" si="7"/>
        <v>18</v>
      </c>
      <c r="H147" s="129" t="str">
        <f t="shared" si="7"/>
        <v>(W-185-(113.25 × 8))/9</v>
      </c>
      <c r="I147" s="178">
        <f t="shared" si="7"/>
        <v>101</v>
      </c>
      <c r="J147" s="131">
        <f t="shared" si="6"/>
        <v>18</v>
      </c>
      <c r="N147" s="98"/>
    </row>
    <row r="148" spans="1:14" s="1" customFormat="1" ht="18" customHeight="1">
      <c r="A148" s="143">
        <f t="shared" si="1"/>
        <v>16</v>
      </c>
      <c r="B148" s="140" t="str">
        <f t="shared" ref="B148:I148" si="8">IF($D$127=5,O136,IF($D$127=6,O136,IF($D$127=8,O137,IF($D$127=10,O137,IF($D$127=12,O137,IF($D$127=14,O138,IF($D$127=18,O138,IF($D$127=20,O138,IF($D$127=22,O138,)))))))))</f>
        <v>8-12mm คิ้วตบกระจกแนวตั้ง</v>
      </c>
      <c r="C148" s="140" t="str">
        <f t="shared" si="8"/>
        <v>8-12mm GLAZING BEAD VERTICAL</v>
      </c>
      <c r="D148" s="140" t="str">
        <f t="shared" si="8"/>
        <v>B24016</v>
      </c>
      <c r="E148" s="140">
        <f t="shared" si="8"/>
        <v>0.215</v>
      </c>
      <c r="F148" s="140" t="str">
        <f t="shared" si="8"/>
        <v>B24016-002</v>
      </c>
      <c r="G148" s="143">
        <f t="shared" si="8"/>
        <v>18</v>
      </c>
      <c r="H148" s="129" t="str">
        <f t="shared" si="8"/>
        <v>H-242</v>
      </c>
      <c r="I148" s="144">
        <f t="shared" si="8"/>
        <v>1758</v>
      </c>
      <c r="J148" s="131">
        <f t="shared" si="6"/>
        <v>18</v>
      </c>
      <c r="N148" s="98"/>
    </row>
    <row r="149" spans="1:14" s="1" customFormat="1" ht="18" customHeight="1">
      <c r="A149" s="143">
        <f t="shared" si="1"/>
        <v>17</v>
      </c>
      <c r="B149" s="140" t="s">
        <v>125</v>
      </c>
      <c r="C149" s="140" t="s">
        <v>124</v>
      </c>
      <c r="D149" s="139" t="s">
        <v>123</v>
      </c>
      <c r="E149" s="143"/>
      <c r="F149" s="139" t="s">
        <v>362</v>
      </c>
      <c r="G149" s="143">
        <v>1</v>
      </c>
      <c r="H149" s="143" t="s">
        <v>63</v>
      </c>
      <c r="I149" s="130">
        <f>$J$123-92</f>
        <v>1908</v>
      </c>
      <c r="J149" s="131">
        <f t="shared" si="6"/>
        <v>1</v>
      </c>
      <c r="N149" s="98"/>
    </row>
    <row r="150" spans="1:14" s="1" customFormat="1" ht="18" customHeight="1">
      <c r="A150" s="143">
        <f t="shared" si="1"/>
        <v>18</v>
      </c>
      <c r="B150" s="140" t="s">
        <v>125</v>
      </c>
      <c r="C150" s="140" t="s">
        <v>124</v>
      </c>
      <c r="D150" s="139" t="s">
        <v>123</v>
      </c>
      <c r="E150" s="143"/>
      <c r="F150" s="139" t="s">
        <v>363</v>
      </c>
      <c r="G150" s="143">
        <v>1</v>
      </c>
      <c r="H150" s="143" t="s">
        <v>63</v>
      </c>
      <c r="I150" s="130">
        <f>$J$123-92</f>
        <v>1908</v>
      </c>
      <c r="J150" s="131">
        <f t="shared" si="6"/>
        <v>1</v>
      </c>
      <c r="N150" s="98"/>
    </row>
    <row r="151" spans="1:14" s="1" customFormat="1" ht="18" customHeight="1" thickBot="1">
      <c r="A151" s="143" t="str">
        <f>IF(B151="","",+#REF!+1)</f>
        <v/>
      </c>
      <c r="B151" s="167"/>
      <c r="C151" s="167"/>
      <c r="D151" s="168"/>
      <c r="E151" s="166"/>
      <c r="F151" s="168"/>
      <c r="G151" s="166"/>
      <c r="H151" s="166"/>
      <c r="I151" s="171"/>
      <c r="J151" s="172">
        <f t="shared" si="0"/>
        <v>0</v>
      </c>
    </row>
    <row r="152" spans="1:14" s="1" customFormat="1" ht="27" outlineLevel="1" thickBot="1">
      <c r="A152" s="169" t="s">
        <v>2</v>
      </c>
      <c r="B152" s="169" t="s">
        <v>29</v>
      </c>
      <c r="C152" s="169" t="s">
        <v>3</v>
      </c>
      <c r="D152" s="169" t="s">
        <v>4</v>
      </c>
      <c r="E152" s="169" t="s">
        <v>5</v>
      </c>
      <c r="F152" s="177" t="s">
        <v>85</v>
      </c>
      <c r="G152" s="169" t="s">
        <v>22</v>
      </c>
      <c r="H152" s="170" t="s">
        <v>23</v>
      </c>
      <c r="I152" s="540"/>
      <c r="J152" s="541"/>
    </row>
    <row r="153" spans="1:14" s="1" customFormat="1" ht="15" customHeight="1" outlineLevel="1">
      <c r="A153" s="21">
        <f>IF(B153="","",1)</f>
        <v>1</v>
      </c>
      <c r="B153" s="173" t="str">
        <f t="shared" ref="B153:C159" si="9">B133</f>
        <v>เฟรมบน</v>
      </c>
      <c r="C153" s="173" t="str">
        <f t="shared" si="9"/>
        <v>HEAD</v>
      </c>
      <c r="D153" s="174" t="str">
        <f>VLOOKUP(C153,$C$133:$H$151,2,0)</f>
        <v>B24001</v>
      </c>
      <c r="E153" s="175">
        <f t="shared" ref="E153:E159" si="10">VLOOKUP(C153,$C$133:$H$151,3,0)</f>
        <v>1.603</v>
      </c>
      <c r="F153" s="353">
        <f>VLOOKUP(C153,$C$133:$J$151,7,0)</f>
        <v>1940</v>
      </c>
      <c r="G153" s="175">
        <f t="shared" ref="G153:G159" si="11">VLOOKUP(C153,$C$133:$J$151,8,0)</f>
        <v>1</v>
      </c>
      <c r="H153" s="191">
        <f>ROUNDUP((F153*G153)/6400,0)</f>
        <v>1</v>
      </c>
      <c r="I153" s="501"/>
      <c r="J153" s="501"/>
    </row>
    <row r="154" spans="1:14" s="1" customFormat="1" ht="15" customHeight="1" outlineLevel="1">
      <c r="A154" s="18">
        <f t="shared" ref="A154" si="12">IF(B154="","",+A153+1)</f>
        <v>2</v>
      </c>
      <c r="B154" s="173" t="str">
        <f t="shared" si="9"/>
        <v>บังใบบน</v>
      </c>
      <c r="C154" s="173" t="str">
        <f t="shared" si="9"/>
        <v>DOOR STOP HEAD</v>
      </c>
      <c r="D154" s="174" t="str">
        <f>VLOOKUP(C154,$C$133:$H$151,2,0)</f>
        <v>B24002</v>
      </c>
      <c r="E154" s="175">
        <f t="shared" si="10"/>
        <v>0.27800000000000002</v>
      </c>
      <c r="F154" s="353">
        <f t="shared" ref="F154:F159" si="13">VLOOKUP(C154,$C$133:$I$151,7,0)</f>
        <v>1914</v>
      </c>
      <c r="G154" s="175">
        <f t="shared" si="11"/>
        <v>1</v>
      </c>
      <c r="H154" s="192">
        <f>ROUNDUP((F154*G154)/6400,0)</f>
        <v>1</v>
      </c>
      <c r="I154" s="501"/>
      <c r="J154" s="501"/>
    </row>
    <row r="155" spans="1:14" s="1" customFormat="1" ht="15" customHeight="1" outlineLevel="1">
      <c r="A155" s="18">
        <f t="shared" ref="A155:A159" si="14">IF(B155="","",+A154+1)</f>
        <v>3</v>
      </c>
      <c r="B155" s="173" t="str">
        <f t="shared" si="9"/>
        <v xml:space="preserve">เฟรมล่าง </v>
      </c>
      <c r="C155" s="173" t="str">
        <f t="shared" si="9"/>
        <v>SILL</v>
      </c>
      <c r="D155" s="174" t="str">
        <f>VLOOKUP(C155,$C$133:$H$151,2,0)</f>
        <v>B24003</v>
      </c>
      <c r="E155" s="175">
        <f t="shared" si="10"/>
        <v>1.603</v>
      </c>
      <c r="F155" s="353">
        <f t="shared" si="13"/>
        <v>1940</v>
      </c>
      <c r="G155" s="175">
        <f t="shared" si="11"/>
        <v>1</v>
      </c>
      <c r="H155" s="192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si="14"/>
        <v>4</v>
      </c>
      <c r="B156" s="173" t="str">
        <f t="shared" si="9"/>
        <v>ตัวตับธรณี</v>
      </c>
      <c r="C156" s="173" t="str">
        <f t="shared" si="9"/>
        <v>DOOR STOP SILL</v>
      </c>
      <c r="D156" s="174" t="str">
        <f>VLOOKUP(C156,$C$133:$H$151,2,0)</f>
        <v>B24004</v>
      </c>
      <c r="E156" s="175">
        <f t="shared" si="10"/>
        <v>0.51600000000000001</v>
      </c>
      <c r="F156" s="353">
        <f t="shared" si="13"/>
        <v>1940</v>
      </c>
      <c r="G156" s="175">
        <f t="shared" si="11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si="14"/>
        <v>5</v>
      </c>
      <c r="B157" s="173" t="str">
        <f t="shared" si="9"/>
        <v>เฟรมข้าง (ซ้าย)</v>
      </c>
      <c r="C157" s="173" t="str">
        <f t="shared" si="9"/>
        <v>JAMB (L)</v>
      </c>
      <c r="D157" s="508" t="str">
        <f>VLOOKUP(C157,$C$133:$H$151,2,0)</f>
        <v>B24005</v>
      </c>
      <c r="E157" s="175">
        <f t="shared" si="10"/>
        <v>0.89300000000000002</v>
      </c>
      <c r="F157" s="353">
        <f t="shared" si="13"/>
        <v>2000</v>
      </c>
      <c r="G157" s="175">
        <f t="shared" si="11"/>
        <v>1</v>
      </c>
      <c r="H157" s="516">
        <f>ROUNDUP(((F157*G157)+(F158*G158))/6400,0)</f>
        <v>1</v>
      </c>
      <c r="I157" s="506"/>
      <c r="J157" s="506"/>
    </row>
    <row r="158" spans="1:14" s="1" customFormat="1" ht="15" customHeight="1" outlineLevel="1">
      <c r="A158" s="18">
        <f t="shared" si="14"/>
        <v>6</v>
      </c>
      <c r="B158" s="173" t="str">
        <f t="shared" si="9"/>
        <v>เฟรมข้าง (ขวา)</v>
      </c>
      <c r="C158" s="173" t="str">
        <f t="shared" si="9"/>
        <v>JAMB (R)</v>
      </c>
      <c r="D158" s="509"/>
      <c r="E158" s="175">
        <f t="shared" si="10"/>
        <v>0.89300000000000002</v>
      </c>
      <c r="F158" s="353">
        <f t="shared" si="13"/>
        <v>2000</v>
      </c>
      <c r="G158" s="175">
        <f t="shared" si="11"/>
        <v>1</v>
      </c>
      <c r="H158" s="516"/>
      <c r="I158" s="506"/>
      <c r="J158" s="506"/>
    </row>
    <row r="159" spans="1:14" s="1" customFormat="1" ht="15" customHeight="1" outlineLevel="1">
      <c r="A159" s="18">
        <f t="shared" si="14"/>
        <v>7</v>
      </c>
      <c r="B159" s="173" t="str">
        <f t="shared" si="9"/>
        <v>บังใบข้าง (ซ้าย)</v>
      </c>
      <c r="C159" s="173" t="str">
        <f t="shared" si="9"/>
        <v>DOOR STOP JAMB (L)</v>
      </c>
      <c r="D159" s="508" t="str">
        <f>VLOOKUP(C159,$C$133:$H$151,2,0)</f>
        <v>B24006</v>
      </c>
      <c r="E159" s="175">
        <f t="shared" si="10"/>
        <v>0.23499999999999999</v>
      </c>
      <c r="F159" s="353">
        <f t="shared" si="13"/>
        <v>1904</v>
      </c>
      <c r="G159" s="175">
        <f t="shared" si="11"/>
        <v>1</v>
      </c>
      <c r="H159" s="516">
        <f>ROUNDUP(((F159*G159)+(F160*G160))/6400,0)</f>
        <v>1</v>
      </c>
      <c r="I159" s="501"/>
      <c r="J159" s="501"/>
    </row>
    <row r="160" spans="1:14" s="1" customFormat="1" ht="15" customHeight="1" outlineLevel="1">
      <c r="A160" s="18">
        <f t="shared" ref="A160:A170" si="15">IF(B160="","",+A159+1)</f>
        <v>8</v>
      </c>
      <c r="B160" s="173" t="str">
        <f t="shared" ref="B160:C160" si="16">B140</f>
        <v>บังใบข้าง (ขวา)</v>
      </c>
      <c r="C160" s="173" t="str">
        <f t="shared" si="16"/>
        <v>DOOR STOP JAMB (R)</v>
      </c>
      <c r="D160" s="509"/>
      <c r="E160" s="175">
        <f t="shared" ref="E160:E170" si="17">VLOOKUP(C160,$C$133:$H$151,3,0)</f>
        <v>0.23499999999999999</v>
      </c>
      <c r="F160" s="353">
        <f t="shared" ref="F160:F170" si="18">VLOOKUP(C160,$C$133:$I$151,7,0)</f>
        <v>1904</v>
      </c>
      <c r="G160" s="175">
        <f t="shared" ref="G160:G170" si="19">VLOOKUP(C160,$C$133:$J$151,8,0)</f>
        <v>1</v>
      </c>
      <c r="H160" s="516"/>
      <c r="I160" s="506"/>
      <c r="J160" s="506"/>
    </row>
    <row r="161" spans="1:23" s="1" customFormat="1" ht="13.8" outlineLevel="1">
      <c r="A161" s="18">
        <f t="shared" si="15"/>
        <v>9</v>
      </c>
      <c r="B161" s="173" t="str">
        <f t="shared" ref="B161:C161" si="20">B141</f>
        <v>ขวางบน</v>
      </c>
      <c r="C161" s="173" t="str">
        <f t="shared" si="20"/>
        <v>SASH (Hor) (T)</v>
      </c>
      <c r="D161" s="508" t="str">
        <f t="shared" ref="D161:D169" si="21">VLOOKUP(C161,$C$133:$H$151,2,0)</f>
        <v>B24007</v>
      </c>
      <c r="E161" s="175">
        <f t="shared" si="17"/>
        <v>1.1060000000000001</v>
      </c>
      <c r="F161" s="353">
        <f t="shared" si="18"/>
        <v>101</v>
      </c>
      <c r="G161" s="175">
        <f t="shared" si="19"/>
        <v>9</v>
      </c>
      <c r="H161" s="512">
        <f>ROUNDUP(((F161*G161)+(F162*G162)+(F163*G163)+(F164*G164)+(F165*G165)+(F166*G166))/6400,0)</f>
        <v>6</v>
      </c>
      <c r="I161" s="506"/>
      <c r="J161" s="506"/>
    </row>
    <row r="162" spans="1:23" s="1" customFormat="1" ht="13.8" outlineLevel="1">
      <c r="A162" s="18">
        <f t="shared" si="15"/>
        <v>10</v>
      </c>
      <c r="B162" s="173" t="str">
        <f t="shared" ref="B162:C162" si="22">B142</f>
        <v>ขวางล่าง</v>
      </c>
      <c r="C162" s="173" t="str">
        <f t="shared" si="22"/>
        <v>SASH (Hor) (B)</v>
      </c>
      <c r="D162" s="510"/>
      <c r="E162" s="175">
        <f t="shared" si="17"/>
        <v>1.1060000000000001</v>
      </c>
      <c r="F162" s="353">
        <f t="shared" si="18"/>
        <v>101</v>
      </c>
      <c r="G162" s="175">
        <f t="shared" si="19"/>
        <v>9</v>
      </c>
      <c r="H162" s="514"/>
      <c r="I162" s="506"/>
      <c r="J162" s="506"/>
    </row>
    <row r="163" spans="1:23" s="1" customFormat="1" ht="13.8" outlineLevel="1">
      <c r="A163" s="18">
        <f t="shared" si="15"/>
        <v>11</v>
      </c>
      <c r="B163" s="173" t="str">
        <f t="shared" ref="B163:C163" si="23">B143</f>
        <v>เสา</v>
      </c>
      <c r="C163" s="173" t="str">
        <f t="shared" si="23"/>
        <v xml:space="preserve">SASH (Ver) </v>
      </c>
      <c r="D163" s="510"/>
      <c r="E163" s="175">
        <f t="shared" si="17"/>
        <v>1.1060000000000001</v>
      </c>
      <c r="F163" s="353">
        <f t="shared" si="18"/>
        <v>1908</v>
      </c>
      <c r="G163" s="175">
        <f t="shared" si="19"/>
        <v>13</v>
      </c>
      <c r="H163" s="514"/>
      <c r="I163" s="506"/>
      <c r="J163" s="506"/>
    </row>
    <row r="164" spans="1:23" s="1" customFormat="1" ht="13.8" outlineLevel="1">
      <c r="A164" s="18">
        <f t="shared" si="15"/>
        <v>12</v>
      </c>
      <c r="B164" s="173" t="str">
        <f t="shared" ref="B164:C164" si="24">B144</f>
        <v>เสากุญแจ</v>
      </c>
      <c r="C164" s="173" t="str">
        <f t="shared" si="24"/>
        <v>SASH (Ver) LOCK</v>
      </c>
      <c r="D164" s="510"/>
      <c r="E164" s="175">
        <f t="shared" si="17"/>
        <v>1.1060000000000001</v>
      </c>
      <c r="F164" s="353">
        <f t="shared" si="18"/>
        <v>1908</v>
      </c>
      <c r="G164" s="175">
        <f t="shared" si="19"/>
        <v>3</v>
      </c>
      <c r="H164" s="514"/>
      <c r="I164" s="506"/>
      <c r="J164" s="506"/>
    </row>
    <row r="165" spans="1:23" s="1" customFormat="1" ht="13.8" outlineLevel="1">
      <c r="A165" s="18">
        <f t="shared" si="15"/>
        <v>13</v>
      </c>
      <c r="B165" s="173" t="str">
        <f t="shared" ref="B165:C165" si="25">B145</f>
        <v>เสากุญแจ</v>
      </c>
      <c r="C165" s="173" t="str">
        <f t="shared" si="25"/>
        <v xml:space="preserve">SASH (Ver) LOCK  </v>
      </c>
      <c r="D165" s="510"/>
      <c r="E165" s="175">
        <f t="shared" si="17"/>
        <v>1.1060000000000001</v>
      </c>
      <c r="F165" s="353">
        <f t="shared" si="18"/>
        <v>1908</v>
      </c>
      <c r="G165" s="175">
        <f t="shared" si="19"/>
        <v>1</v>
      </c>
      <c r="H165" s="514"/>
      <c r="I165" s="506"/>
      <c r="J165" s="506"/>
    </row>
    <row r="166" spans="1:23" s="1" customFormat="1" ht="15" customHeight="1" outlineLevel="1">
      <c r="A166" s="18">
        <f t="shared" si="15"/>
        <v>14</v>
      </c>
      <c r="B166" s="173" t="str">
        <f t="shared" ref="B166:C166" si="26">B146</f>
        <v>เสากุญแจมือจับ</v>
      </c>
      <c r="C166" s="173" t="str">
        <f t="shared" si="26"/>
        <v>SASH (Ver) LOCK HANDLE</v>
      </c>
      <c r="D166" s="509"/>
      <c r="E166" s="175">
        <f t="shared" si="17"/>
        <v>1.1060000000000001</v>
      </c>
      <c r="F166" s="353">
        <f t="shared" si="18"/>
        <v>1908</v>
      </c>
      <c r="G166" s="175">
        <f t="shared" si="19"/>
        <v>1</v>
      </c>
      <c r="H166" s="515"/>
      <c r="I166" s="501"/>
      <c r="J166" s="501"/>
    </row>
    <row r="167" spans="1:23" s="1" customFormat="1" ht="15" customHeight="1" outlineLevel="1">
      <c r="A167" s="18">
        <f t="shared" si="15"/>
        <v>15</v>
      </c>
      <c r="B167" s="173" t="str">
        <f t="shared" ref="B167:C167" si="27">B147</f>
        <v>8-12mm คิ้วตบกระจกแนวนอน</v>
      </c>
      <c r="C167" s="173" t="str">
        <f t="shared" si="27"/>
        <v>8-12mm GLAZING BEAD HORIZONTAL</v>
      </c>
      <c r="D167" s="508" t="str">
        <f t="shared" si="21"/>
        <v>B24016</v>
      </c>
      <c r="E167" s="175">
        <f t="shared" si="17"/>
        <v>0.215</v>
      </c>
      <c r="F167" s="353">
        <f t="shared" si="18"/>
        <v>101</v>
      </c>
      <c r="G167" s="175">
        <f t="shared" si="19"/>
        <v>18</v>
      </c>
      <c r="H167" s="516">
        <f>ROUNDUP(((F167*G167)+(F168*G168))/6400,0)</f>
        <v>6</v>
      </c>
      <c r="I167" s="233"/>
      <c r="J167" s="233"/>
    </row>
    <row r="168" spans="1:23" s="1" customFormat="1" ht="15" customHeight="1" outlineLevel="1">
      <c r="A168" s="18">
        <f t="shared" si="15"/>
        <v>16</v>
      </c>
      <c r="B168" s="173" t="str">
        <f t="shared" ref="B168:C168" si="28">B148</f>
        <v>8-12mm คิ้วตบกระจกแนวตั้ง</v>
      </c>
      <c r="C168" s="173" t="str">
        <f t="shared" si="28"/>
        <v>8-12mm GLAZING BEAD VERTICAL</v>
      </c>
      <c r="D168" s="509"/>
      <c r="E168" s="175">
        <f t="shared" si="17"/>
        <v>0.215</v>
      </c>
      <c r="F168" s="353">
        <f t="shared" si="18"/>
        <v>1758</v>
      </c>
      <c r="G168" s="175">
        <f t="shared" si="19"/>
        <v>18</v>
      </c>
      <c r="H168" s="516"/>
      <c r="I168" s="233"/>
      <c r="J168" s="233"/>
    </row>
    <row r="169" spans="1:23" s="1" customFormat="1" ht="13.8" outlineLevel="1">
      <c r="A169" s="18">
        <f t="shared" si="15"/>
        <v>17</v>
      </c>
      <c r="B169" s="173" t="str">
        <f t="shared" ref="B169:C169" si="29">B149</f>
        <v>บังใบ</v>
      </c>
      <c r="C169" s="173" t="str">
        <f t="shared" si="29"/>
        <v>SASH STOP</v>
      </c>
      <c r="D169" s="508" t="str">
        <f t="shared" si="21"/>
        <v>B24009</v>
      </c>
      <c r="E169" s="175">
        <f t="shared" si="17"/>
        <v>0</v>
      </c>
      <c r="F169" s="353">
        <f t="shared" si="18"/>
        <v>1908</v>
      </c>
      <c r="G169" s="175">
        <f t="shared" si="19"/>
        <v>1</v>
      </c>
      <c r="H169" s="516">
        <f>ROUNDUP(((F169*G169)+(F170*G170))/6400,0)</f>
        <v>1</v>
      </c>
      <c r="I169" s="233"/>
      <c r="J169" s="233"/>
    </row>
    <row r="170" spans="1:23" s="1" customFormat="1" outlineLevel="1" thickBot="1">
      <c r="A170" s="18">
        <f t="shared" si="15"/>
        <v>18</v>
      </c>
      <c r="B170" s="173" t="str">
        <f t="shared" ref="B170:C170" si="30">B150</f>
        <v>บังใบ</v>
      </c>
      <c r="C170" s="173" t="str">
        <f t="shared" si="30"/>
        <v>SASH STOP</v>
      </c>
      <c r="D170" s="511"/>
      <c r="E170" s="175">
        <f t="shared" si="17"/>
        <v>0</v>
      </c>
      <c r="F170" s="353">
        <f t="shared" si="18"/>
        <v>1908</v>
      </c>
      <c r="G170" s="175">
        <f t="shared" si="19"/>
        <v>1</v>
      </c>
      <c r="H170" s="516"/>
      <c r="I170" s="233"/>
      <c r="J170" s="233"/>
    </row>
    <row r="171" spans="1:23" s="1" customFormat="1" ht="24.9" customHeight="1" thickBot="1">
      <c r="A171" s="529" t="s">
        <v>9</v>
      </c>
      <c r="B171" s="530"/>
      <c r="C171" s="530"/>
      <c r="D171" s="530"/>
      <c r="E171" s="530"/>
      <c r="F171" s="530"/>
      <c r="G171" s="530"/>
      <c r="H171" s="530"/>
      <c r="I171" s="530"/>
      <c r="J171" s="531"/>
    </row>
    <row r="172" spans="1:23" s="1" customFormat="1" ht="35.1" customHeight="1" thickBot="1">
      <c r="A172" s="102" t="s">
        <v>2</v>
      </c>
      <c r="B172" s="103" t="s">
        <v>29</v>
      </c>
      <c r="C172" s="103" t="s">
        <v>3</v>
      </c>
      <c r="D172" s="103" t="s">
        <v>199</v>
      </c>
      <c r="E172" s="103" t="s">
        <v>5</v>
      </c>
      <c r="F172" s="104" t="s">
        <v>28</v>
      </c>
      <c r="G172" s="103" t="s">
        <v>19</v>
      </c>
      <c r="H172" s="104" t="s">
        <v>200</v>
      </c>
      <c r="I172" s="104" t="s">
        <v>20</v>
      </c>
      <c r="J172" s="115" t="s">
        <v>201</v>
      </c>
      <c r="N172" s="101" t="s">
        <v>191</v>
      </c>
      <c r="O172" s="246" t="s">
        <v>29</v>
      </c>
      <c r="P172" s="246" t="s">
        <v>3</v>
      </c>
      <c r="Q172" s="246" t="s">
        <v>199</v>
      </c>
      <c r="R172" s="246" t="s">
        <v>5</v>
      </c>
      <c r="S172" s="246" t="s">
        <v>28</v>
      </c>
      <c r="T172" s="246" t="s">
        <v>19</v>
      </c>
      <c r="U172" s="246" t="s">
        <v>200</v>
      </c>
      <c r="V172" s="246" t="s">
        <v>20</v>
      </c>
      <c r="W172" s="246" t="s">
        <v>201</v>
      </c>
    </row>
    <row r="173" spans="1:23" s="1" customFormat="1" ht="18" customHeight="1">
      <c r="A173" s="200">
        <f>IF(B173="","",1)</f>
        <v>1</v>
      </c>
      <c r="B173" s="140" t="s">
        <v>111</v>
      </c>
      <c r="C173" s="140" t="s">
        <v>67</v>
      </c>
      <c r="D173" s="139" t="s">
        <v>74</v>
      </c>
      <c r="E173" s="143"/>
      <c r="F173" s="143" t="s">
        <v>74</v>
      </c>
      <c r="G173" s="143" t="s">
        <v>202</v>
      </c>
      <c r="H173" s="143">
        <v>18</v>
      </c>
      <c r="I173" s="130"/>
      <c r="J173" s="131">
        <f>$J$120*H173</f>
        <v>18</v>
      </c>
      <c r="N173" s="101" t="s">
        <v>226</v>
      </c>
      <c r="O173" s="280" t="s">
        <v>252</v>
      </c>
      <c r="P173" s="290" t="s">
        <v>248</v>
      </c>
      <c r="Q173" s="280" t="s">
        <v>69</v>
      </c>
      <c r="R173" s="213"/>
      <c r="S173" s="213" t="s">
        <v>69</v>
      </c>
      <c r="T173" s="213" t="s">
        <v>198</v>
      </c>
      <c r="U173" s="291">
        <f>((($I$141*$G$141)+($I$142*$G$142)+($I$143*$G$143)+($I$144*$G$144)+($I$145*$G$145)+($I$146*$G$146))/1000)*$J$120</f>
        <v>36.161999999999999</v>
      </c>
      <c r="V173" s="291">
        <v>100</v>
      </c>
      <c r="W173" s="292">
        <f>ROUNDUP((U173)/100,0)</f>
        <v>1</v>
      </c>
    </row>
    <row r="174" spans="1:23" s="1" customFormat="1" ht="18" customHeight="1">
      <c r="A174" s="201">
        <f>IF(B174="","",+A173+1)</f>
        <v>2</v>
      </c>
      <c r="B174" s="140" t="s">
        <v>106</v>
      </c>
      <c r="C174" s="140" t="s">
        <v>503</v>
      </c>
      <c r="D174" s="139" t="s">
        <v>75</v>
      </c>
      <c r="E174" s="143"/>
      <c r="F174" s="143" t="s">
        <v>75</v>
      </c>
      <c r="G174" s="143" t="s">
        <v>202</v>
      </c>
      <c r="H174" s="143">
        <v>2</v>
      </c>
      <c r="I174" s="130"/>
      <c r="J174" s="131">
        <f t="shared" ref="J174:J197" si="31">$J$120*H174</f>
        <v>2</v>
      </c>
      <c r="N174" s="101" t="s">
        <v>230</v>
      </c>
      <c r="O174" s="280" t="s">
        <v>253</v>
      </c>
      <c r="P174" s="290" t="s">
        <v>249</v>
      </c>
      <c r="Q174" s="280" t="s">
        <v>188</v>
      </c>
      <c r="R174" s="213"/>
      <c r="S174" s="213" t="s">
        <v>188</v>
      </c>
      <c r="T174" s="213" t="s">
        <v>198</v>
      </c>
      <c r="U174" s="291">
        <f>((($I$141*$G$141)+($I$142*$G$142)+($I$143*$G$143)+($I$144*$G$144)+($I$145*$G$145)+($I$146*$G$146))/1000)*$J$120</f>
        <v>36.161999999999999</v>
      </c>
      <c r="V174" s="291">
        <v>100</v>
      </c>
      <c r="W174" s="292">
        <f t="shared" ref="W174:W177" si="32">ROUNDUP((U174)/100,0)</f>
        <v>1</v>
      </c>
    </row>
    <row r="175" spans="1:23" s="1" customFormat="1" ht="18" customHeight="1">
      <c r="A175" s="201">
        <f t="shared" ref="A175:A204" si="33">IF(B175="","",+A174+1)</f>
        <v>3</v>
      </c>
      <c r="B175" s="140" t="s">
        <v>107</v>
      </c>
      <c r="C175" s="140" t="s">
        <v>504</v>
      </c>
      <c r="D175" s="139" t="s">
        <v>76</v>
      </c>
      <c r="E175" s="143"/>
      <c r="F175" s="143" t="s">
        <v>76</v>
      </c>
      <c r="G175" s="143" t="s">
        <v>202</v>
      </c>
      <c r="H175" s="143">
        <v>2</v>
      </c>
      <c r="I175" s="130"/>
      <c r="J175" s="131">
        <f t="shared" si="31"/>
        <v>2</v>
      </c>
      <c r="N175" s="101" t="s">
        <v>229</v>
      </c>
      <c r="O175" s="290" t="s">
        <v>254</v>
      </c>
      <c r="P175" s="290" t="s">
        <v>250</v>
      </c>
      <c r="Q175" s="280" t="s">
        <v>70</v>
      </c>
      <c r="R175" s="213"/>
      <c r="S175" s="213" t="s">
        <v>70</v>
      </c>
      <c r="T175" s="213" t="s">
        <v>198</v>
      </c>
      <c r="U175" s="291">
        <f>((($I$141*$G$141)+($I$142*$G$142)+($I$143*$G$143)+($I$144*$G$144)+($I$145*$G$145)+($I$146*$G$146))/1000)*$J$120</f>
        <v>36.161999999999999</v>
      </c>
      <c r="V175" s="291">
        <v>100</v>
      </c>
      <c r="W175" s="292">
        <f t="shared" si="32"/>
        <v>1</v>
      </c>
    </row>
    <row r="176" spans="1:23" s="1" customFormat="1" ht="18" customHeight="1">
      <c r="A176" s="201">
        <f t="shared" si="33"/>
        <v>4</v>
      </c>
      <c r="B176" s="140" t="s">
        <v>108</v>
      </c>
      <c r="C176" s="140" t="s">
        <v>10</v>
      </c>
      <c r="D176" s="139">
        <v>9</v>
      </c>
      <c r="E176" s="143"/>
      <c r="F176" s="143">
        <v>9</v>
      </c>
      <c r="G176" s="143" t="s">
        <v>202</v>
      </c>
      <c r="H176" s="143">
        <v>8</v>
      </c>
      <c r="I176" s="130"/>
      <c r="J176" s="131">
        <f t="shared" si="31"/>
        <v>8</v>
      </c>
      <c r="N176" s="101" t="s">
        <v>231</v>
      </c>
      <c r="O176" s="290" t="s">
        <v>255</v>
      </c>
      <c r="P176" s="290" t="s">
        <v>251</v>
      </c>
      <c r="Q176" s="280" t="s">
        <v>189</v>
      </c>
      <c r="R176" s="213"/>
      <c r="S176" s="213" t="s">
        <v>189</v>
      </c>
      <c r="T176" s="213" t="s">
        <v>198</v>
      </c>
      <c r="U176" s="291">
        <f>((($I$141*$G$141)+($I$142*$G$142)+($I$143*$G$143)+($I$144*$G$144)+($I$145*$G$145)+($I$146*$G$146))/1000)*$J$120</f>
        <v>36.161999999999999</v>
      </c>
      <c r="V176" s="291">
        <v>100</v>
      </c>
      <c r="W176" s="292">
        <f t="shared" si="32"/>
        <v>1</v>
      </c>
    </row>
    <row r="177" spans="1:23" s="1" customFormat="1" ht="18" customHeight="1">
      <c r="A177" s="201">
        <f t="shared" si="33"/>
        <v>5</v>
      </c>
      <c r="B177" s="140" t="s">
        <v>109</v>
      </c>
      <c r="C177" s="140" t="s">
        <v>68</v>
      </c>
      <c r="D177" s="139">
        <v>9</v>
      </c>
      <c r="E177" s="143"/>
      <c r="F177" s="143">
        <v>9</v>
      </c>
      <c r="G177" s="143" t="s">
        <v>202</v>
      </c>
      <c r="H177" s="143">
        <v>110</v>
      </c>
      <c r="I177" s="130"/>
      <c r="J177" s="131">
        <f t="shared" si="31"/>
        <v>110</v>
      </c>
      <c r="N177" s="101" t="s">
        <v>232</v>
      </c>
      <c r="O177" s="290" t="s">
        <v>256</v>
      </c>
      <c r="P177" s="290" t="s">
        <v>247</v>
      </c>
      <c r="Q177" s="280" t="s">
        <v>233</v>
      </c>
      <c r="R177" s="213"/>
      <c r="S177" s="213" t="s">
        <v>233</v>
      </c>
      <c r="T177" s="213" t="s">
        <v>198</v>
      </c>
      <c r="U177" s="291">
        <f>((($I$141*$G$141)+($I$142*$G$142)+($I$143*$G$143)+($I$144*$G$144)+($I$145*$G$145)+($I$146*$G$146))/1000)*$J$120</f>
        <v>36.161999999999999</v>
      </c>
      <c r="V177" s="291">
        <v>100</v>
      </c>
      <c r="W177" s="292">
        <f t="shared" si="32"/>
        <v>1</v>
      </c>
    </row>
    <row r="178" spans="1:23" s="1" customFormat="1" ht="18" customHeight="1">
      <c r="A178" s="201">
        <f t="shared" si="33"/>
        <v>6</v>
      </c>
      <c r="B178" s="140" t="s">
        <v>132</v>
      </c>
      <c r="C178" s="140" t="s">
        <v>79</v>
      </c>
      <c r="D178" s="139" t="s">
        <v>82</v>
      </c>
      <c r="E178" s="143"/>
      <c r="F178" s="143" t="s">
        <v>82</v>
      </c>
      <c r="G178" s="143" t="s">
        <v>185</v>
      </c>
      <c r="H178" s="143">
        <v>1</v>
      </c>
      <c r="I178" s="130"/>
      <c r="J178" s="131">
        <f t="shared" si="31"/>
        <v>1</v>
      </c>
    </row>
    <row r="179" spans="1:23" s="1" customFormat="1" ht="18" customHeight="1">
      <c r="A179" s="201">
        <f t="shared" si="33"/>
        <v>7</v>
      </c>
      <c r="B179" s="140" t="s">
        <v>143</v>
      </c>
      <c r="C179" s="140" t="s">
        <v>121</v>
      </c>
      <c r="D179" s="139" t="s">
        <v>103</v>
      </c>
      <c r="E179" s="143"/>
      <c r="F179" s="143" t="s">
        <v>103</v>
      </c>
      <c r="G179" s="143" t="s">
        <v>185</v>
      </c>
      <c r="H179" s="143">
        <v>3</v>
      </c>
      <c r="I179" s="130"/>
      <c r="J179" s="131">
        <f t="shared" si="31"/>
        <v>3</v>
      </c>
    </row>
    <row r="180" spans="1:23" s="1" customFormat="1" ht="18" customHeight="1">
      <c r="A180" s="201">
        <f t="shared" si="33"/>
        <v>8</v>
      </c>
      <c r="B180" s="140" t="s">
        <v>118</v>
      </c>
      <c r="C180" s="140" t="s">
        <v>77</v>
      </c>
      <c r="D180" s="139" t="s">
        <v>80</v>
      </c>
      <c r="E180" s="143"/>
      <c r="F180" s="143" t="s">
        <v>80</v>
      </c>
      <c r="G180" s="143" t="s">
        <v>185</v>
      </c>
      <c r="H180" s="143">
        <v>1</v>
      </c>
      <c r="I180" s="130"/>
      <c r="J180" s="131">
        <f t="shared" si="31"/>
        <v>1</v>
      </c>
    </row>
    <row r="181" spans="1:23" s="1" customFormat="1" ht="18" customHeight="1">
      <c r="A181" s="201">
        <f t="shared" si="33"/>
        <v>9</v>
      </c>
      <c r="B181" s="140" t="s">
        <v>120</v>
      </c>
      <c r="C181" s="140" t="s">
        <v>94</v>
      </c>
      <c r="D181" s="139" t="s">
        <v>96</v>
      </c>
      <c r="E181" s="143"/>
      <c r="F181" s="143" t="s">
        <v>96</v>
      </c>
      <c r="G181" s="143" t="s">
        <v>185</v>
      </c>
      <c r="H181" s="143">
        <v>1</v>
      </c>
      <c r="I181" s="130"/>
      <c r="J181" s="131">
        <f t="shared" si="31"/>
        <v>1</v>
      </c>
    </row>
    <row r="182" spans="1:23" s="1" customFormat="1" ht="18" customHeight="1">
      <c r="A182" s="201">
        <f t="shared" si="33"/>
        <v>10</v>
      </c>
      <c r="B182" s="140" t="s">
        <v>142</v>
      </c>
      <c r="C182" s="140" t="s">
        <v>492</v>
      </c>
      <c r="D182" s="139" t="s">
        <v>97</v>
      </c>
      <c r="E182" s="143"/>
      <c r="F182" s="143" t="s">
        <v>97</v>
      </c>
      <c r="G182" s="143" t="s">
        <v>185</v>
      </c>
      <c r="H182" s="143">
        <v>1</v>
      </c>
      <c r="I182" s="130"/>
      <c r="J182" s="131">
        <f t="shared" si="31"/>
        <v>1</v>
      </c>
      <c r="N182" s="56"/>
      <c r="O182" s="56"/>
      <c r="P182" s="56"/>
      <c r="Q182" s="289"/>
      <c r="R182" s="289"/>
      <c r="S182" s="289"/>
      <c r="T182" s="17"/>
      <c r="U182" s="17"/>
      <c r="V182" s="17"/>
      <c r="W182" s="56"/>
    </row>
    <row r="183" spans="1:23" s="1" customFormat="1" ht="18" customHeight="1">
      <c r="A183" s="201">
        <f t="shared" si="33"/>
        <v>11</v>
      </c>
      <c r="B183" s="140" t="s">
        <v>131</v>
      </c>
      <c r="C183" s="140" t="s">
        <v>100</v>
      </c>
      <c r="D183" s="139" t="s">
        <v>102</v>
      </c>
      <c r="E183" s="143"/>
      <c r="F183" s="143" t="s">
        <v>102</v>
      </c>
      <c r="G183" s="143" t="s">
        <v>185</v>
      </c>
      <c r="H183" s="143">
        <v>3</v>
      </c>
      <c r="I183" s="144"/>
      <c r="J183" s="131">
        <f t="shared" si="31"/>
        <v>3</v>
      </c>
      <c r="N183" s="101" t="s">
        <v>227</v>
      </c>
      <c r="O183" s="246" t="s">
        <v>29</v>
      </c>
      <c r="P183" s="246" t="s">
        <v>3</v>
      </c>
      <c r="Q183" s="246" t="s">
        <v>199</v>
      </c>
      <c r="R183" s="246" t="s">
        <v>5</v>
      </c>
      <c r="S183" s="246" t="s">
        <v>28</v>
      </c>
      <c r="T183" s="246" t="s">
        <v>19</v>
      </c>
      <c r="U183" s="246" t="s">
        <v>200</v>
      </c>
      <c r="V183" s="246" t="s">
        <v>20</v>
      </c>
      <c r="W183" s="246" t="s">
        <v>201</v>
      </c>
    </row>
    <row r="184" spans="1:23" s="1" customFormat="1" ht="18" customHeight="1">
      <c r="A184" s="201">
        <f t="shared" si="33"/>
        <v>12</v>
      </c>
      <c r="B184" s="140" t="s">
        <v>113</v>
      </c>
      <c r="C184" s="140" t="s">
        <v>502</v>
      </c>
      <c r="D184" s="139" t="s">
        <v>83</v>
      </c>
      <c r="E184" s="143"/>
      <c r="F184" s="143" t="s">
        <v>83</v>
      </c>
      <c r="G184" s="143" t="s">
        <v>185</v>
      </c>
      <c r="H184" s="143">
        <v>4</v>
      </c>
      <c r="I184" s="144"/>
      <c r="J184" s="131">
        <f t="shared" si="31"/>
        <v>4</v>
      </c>
      <c r="N184" s="101" t="s">
        <v>240</v>
      </c>
      <c r="O184" s="290" t="s">
        <v>234</v>
      </c>
      <c r="P184" s="290" t="s">
        <v>236</v>
      </c>
      <c r="Q184" s="280" t="s">
        <v>190</v>
      </c>
      <c r="R184" s="213"/>
      <c r="S184" s="213" t="s">
        <v>190</v>
      </c>
      <c r="T184" s="213" t="s">
        <v>198</v>
      </c>
      <c r="U184" s="291">
        <f>((($I$134*$G$134)+($I$136*$G$136)+($I$139*$G$139))/1000)*$J$120</f>
        <v>5.758</v>
      </c>
      <c r="V184" s="291">
        <v>300</v>
      </c>
      <c r="W184" s="292">
        <f>ROUNDUP((U184)/V184,0)</f>
        <v>1</v>
      </c>
    </row>
    <row r="185" spans="1:23" s="1" customFormat="1" ht="18" customHeight="1">
      <c r="A185" s="201">
        <f t="shared" si="33"/>
        <v>13</v>
      </c>
      <c r="B185" s="140" t="s">
        <v>122</v>
      </c>
      <c r="C185" s="140" t="s">
        <v>101</v>
      </c>
      <c r="D185" s="139" t="s">
        <v>104</v>
      </c>
      <c r="E185" s="143"/>
      <c r="F185" s="143" t="s">
        <v>104</v>
      </c>
      <c r="G185" s="143" t="s">
        <v>185</v>
      </c>
      <c r="H185" s="143">
        <v>1</v>
      </c>
      <c r="I185" s="130"/>
      <c r="J185" s="131">
        <f t="shared" si="31"/>
        <v>1</v>
      </c>
      <c r="N185" s="101" t="s">
        <v>241</v>
      </c>
      <c r="O185" s="290" t="s">
        <v>235</v>
      </c>
      <c r="P185" s="290" t="s">
        <v>238</v>
      </c>
      <c r="Q185" s="280" t="s">
        <v>71</v>
      </c>
      <c r="R185" s="213"/>
      <c r="S185" s="213" t="s">
        <v>71</v>
      </c>
      <c r="T185" s="213" t="s">
        <v>198</v>
      </c>
      <c r="U185" s="291">
        <f>((($I$134*$G$134)+($I$136*$G$136)+($I$139*$G$139))/1000)*$J$120</f>
        <v>5.758</v>
      </c>
      <c r="V185" s="291">
        <v>100</v>
      </c>
      <c r="W185" s="292">
        <f t="shared" ref="W185:W187" si="34">ROUNDUP((U185)/V185,0)</f>
        <v>1</v>
      </c>
    </row>
    <row r="186" spans="1:23" s="1" customFormat="1" ht="18" customHeight="1">
      <c r="A186" s="201">
        <f t="shared" si="33"/>
        <v>14</v>
      </c>
      <c r="B186" s="140" t="s">
        <v>112</v>
      </c>
      <c r="C186" s="140" t="s">
        <v>114</v>
      </c>
      <c r="D186" s="128" t="s">
        <v>520</v>
      </c>
      <c r="E186" s="129"/>
      <c r="F186" s="129" t="s">
        <v>520</v>
      </c>
      <c r="G186" s="143" t="s">
        <v>202</v>
      </c>
      <c r="H186" s="143">
        <v>8</v>
      </c>
      <c r="I186" s="130"/>
      <c r="J186" s="131">
        <f t="shared" si="31"/>
        <v>8</v>
      </c>
      <c r="N186" s="101" t="s">
        <v>240</v>
      </c>
      <c r="O186" s="290" t="s">
        <v>245</v>
      </c>
      <c r="P186" s="290" t="s">
        <v>237</v>
      </c>
      <c r="Q186" s="280" t="s">
        <v>72</v>
      </c>
      <c r="R186" s="213"/>
      <c r="S186" s="213" t="s">
        <v>72</v>
      </c>
      <c r="T186" s="213" t="s">
        <v>198</v>
      </c>
      <c r="U186" s="291">
        <f>((($I$141*$G$141*2)+($I$143*$G$143*2)+($I$144*$G$144*2))/1000)*$J$120</f>
        <v>62.874000000000002</v>
      </c>
      <c r="V186" s="291">
        <v>350</v>
      </c>
      <c r="W186" s="292">
        <f t="shared" si="34"/>
        <v>1</v>
      </c>
    </row>
    <row r="187" spans="1:23" s="1" customFormat="1" ht="18" customHeight="1">
      <c r="A187" s="201">
        <f t="shared" si="33"/>
        <v>15</v>
      </c>
      <c r="B187" s="140" t="s">
        <v>115</v>
      </c>
      <c r="C187" s="140" t="s">
        <v>45</v>
      </c>
      <c r="D187" s="139" t="s">
        <v>84</v>
      </c>
      <c r="E187" s="143"/>
      <c r="F187" s="143" t="s">
        <v>84</v>
      </c>
      <c r="G187" s="143" t="s">
        <v>202</v>
      </c>
      <c r="H187" s="143">
        <v>1</v>
      </c>
      <c r="I187" s="130"/>
      <c r="J187" s="131">
        <f t="shared" si="31"/>
        <v>1</v>
      </c>
      <c r="N187" s="101" t="s">
        <v>241</v>
      </c>
      <c r="O187" s="290" t="s">
        <v>246</v>
      </c>
      <c r="P187" s="290" t="s">
        <v>239</v>
      </c>
      <c r="Q187" s="280" t="s">
        <v>193</v>
      </c>
      <c r="R187" s="213"/>
      <c r="S187" s="213" t="s">
        <v>193</v>
      </c>
      <c r="T187" s="213" t="s">
        <v>198</v>
      </c>
      <c r="U187" s="291">
        <f>((($I$141*$G$141*2)+($I$143*$G$143*2)+($I$144*$G$144*2))/1000)*$J$120</f>
        <v>62.874000000000002</v>
      </c>
      <c r="V187" s="291">
        <v>100</v>
      </c>
      <c r="W187" s="292">
        <f t="shared" si="34"/>
        <v>1</v>
      </c>
    </row>
    <row r="188" spans="1:23" s="1" customFormat="1" ht="18" customHeight="1">
      <c r="A188" s="201">
        <f t="shared" si="33"/>
        <v>16</v>
      </c>
      <c r="B188" s="140" t="s">
        <v>110</v>
      </c>
      <c r="C188" s="140" t="s">
        <v>66</v>
      </c>
      <c r="D188" s="139" t="s">
        <v>73</v>
      </c>
      <c r="E188" s="143"/>
      <c r="F188" s="143" t="s">
        <v>73</v>
      </c>
      <c r="G188" s="143" t="s">
        <v>202</v>
      </c>
      <c r="H188" s="143">
        <v>4</v>
      </c>
      <c r="I188" s="130"/>
      <c r="J188" s="131">
        <f t="shared" si="31"/>
        <v>4</v>
      </c>
    </row>
    <row r="189" spans="1:23" s="1" customFormat="1" ht="18" customHeight="1">
      <c r="A189" s="201">
        <f t="shared" si="33"/>
        <v>17</v>
      </c>
      <c r="B189" s="140" t="s">
        <v>512</v>
      </c>
      <c r="C189" s="140" t="s">
        <v>135</v>
      </c>
      <c r="D189" s="139" t="s">
        <v>137</v>
      </c>
      <c r="E189" s="143"/>
      <c r="F189" s="143" t="s">
        <v>137</v>
      </c>
      <c r="G189" s="143" t="s">
        <v>198</v>
      </c>
      <c r="H189" s="261">
        <f>((($I$149*$G$149)+($I$150*$G$150))/1000)*$J$120</f>
        <v>3.8159999999999998</v>
      </c>
      <c r="I189" s="258">
        <v>100</v>
      </c>
      <c r="J189" s="260">
        <f>ROUNDUP((H189)/100,0)</f>
        <v>1</v>
      </c>
    </row>
    <row r="190" spans="1:23" s="1" customFormat="1" ht="18" customHeight="1">
      <c r="A190" s="201">
        <f t="shared" si="33"/>
        <v>18</v>
      </c>
      <c r="B190" s="140" t="s">
        <v>513</v>
      </c>
      <c r="C190" s="140" t="s">
        <v>136</v>
      </c>
      <c r="D190" s="139" t="s">
        <v>138</v>
      </c>
      <c r="E190" s="143"/>
      <c r="F190" s="143" t="s">
        <v>138</v>
      </c>
      <c r="G190" s="143" t="s">
        <v>198</v>
      </c>
      <c r="H190" s="261">
        <f>(((I145*G145)+($I$146*$G$146))/1000)*$J$120</f>
        <v>3.8159999999999998</v>
      </c>
      <c r="I190" s="258">
        <v>100</v>
      </c>
      <c r="J190" s="260">
        <f>ROUNDUP((H190)/100,0)</f>
        <v>1</v>
      </c>
    </row>
    <row r="191" spans="1:23" s="1" customFormat="1" ht="18" customHeight="1">
      <c r="A191" s="201">
        <f t="shared" si="33"/>
        <v>19</v>
      </c>
      <c r="B191" s="139" t="str">
        <f>IF($D$129="Standard",$O$184,IF($D$129="Soumdproof",$O$185,))</f>
        <v>ยางเฟรมกันน้ำ (กันเสียง)</v>
      </c>
      <c r="C191" s="139" t="str">
        <f>IF($D$129="Standard",$P$184,IF($D$129="Soumdproof",$P$185,))</f>
        <v>FRAME SEAL (Soumdproof)</v>
      </c>
      <c r="D191" s="139" t="str">
        <f>IF($D$129="Standard",$Q$184,IF($D$129="Soumdproof",$Q$185,))</f>
        <v>02-025</v>
      </c>
      <c r="E191" s="143">
        <f>IF($D$129="Standard",R189,IF($D$129="Soumdproof",R190,))</f>
        <v>0</v>
      </c>
      <c r="F191" s="143" t="str">
        <f>IF($D$129="Standard",$S$184,IF($D$129="Soumdproof",$S$185,))</f>
        <v>02-025</v>
      </c>
      <c r="G191" s="143" t="str">
        <f>IF($D$129="Standard",$T$184,IF($D$129="Soumdproof",$T$185,))</f>
        <v>M</v>
      </c>
      <c r="H191" s="261">
        <f>IF($D$129="Standard",$U$184,IF($D$129="Soumdproof",$U$185,))</f>
        <v>5.758</v>
      </c>
      <c r="I191" s="258">
        <f>IF($D$129="Standard",$V$184,IF($D$129="Soumdproof",$V$185,))</f>
        <v>100</v>
      </c>
      <c r="J191" s="267">
        <f>ROUNDUP((H191)/100,0)</f>
        <v>1</v>
      </c>
    </row>
    <row r="192" spans="1:23" s="1" customFormat="1" ht="18" customHeight="1">
      <c r="A192" s="201">
        <f t="shared" si="33"/>
        <v>20</v>
      </c>
      <c r="B192" s="139" t="str">
        <f>IF($D$129="Standard",$O$186,IF($D$129="Soumdproof",$O$187,))</f>
        <v>ยางแซชกันน้ำ (กันเสียง)</v>
      </c>
      <c r="C192" s="139" t="str">
        <f>IF($D$129="Standard",$P$186,IF($D$129="Soumdproof",$P$187,))</f>
        <v>SASH SEAL FOAM (Soumdproof)</v>
      </c>
      <c r="D192" s="139" t="str">
        <f>IF($D$129="Standard",$Q$186,IF($D$129="Soumdproof",$Q$187,))</f>
        <v>02-035</v>
      </c>
      <c r="E192" s="143">
        <f>IF($D$129="Standard",R191,IF($D$129="Soumdproof",R192,))</f>
        <v>0</v>
      </c>
      <c r="F192" s="143" t="str">
        <f>IF($D$129="Standard",$S$186,IF($D$129="Soumdproof",$S$187,))</f>
        <v>02-035</v>
      </c>
      <c r="G192" s="143" t="str">
        <f>IF($D$129="Standard",$T$186,IF($D$129="Soumdproof",$T$187,))</f>
        <v>M</v>
      </c>
      <c r="H192" s="261">
        <f>IF($D$129="Standard",$U$186,IF($D$129="Soumdproof",$U$187,))</f>
        <v>62.874000000000002</v>
      </c>
      <c r="I192" s="258">
        <f>IF($D$129="Standard",$V$186,IF($D$129="Soumdproof",$V$187,))</f>
        <v>100</v>
      </c>
      <c r="J192" s="260">
        <f t="shared" ref="J192:J194" si="35">ROUNDUP((H192)/100,0)</f>
        <v>1</v>
      </c>
    </row>
    <row r="193" spans="1:24" ht="18" customHeight="1">
      <c r="A193" s="201">
        <f t="shared" si="33"/>
        <v>21</v>
      </c>
      <c r="B193" s="241" t="str">
        <f>IF($D$127=5,$O$175,IF($D$127=6,$O$176,IF($D$127=8,$O$177,IF($D$127=10,$O$175,IF($D$127=12,$O$175,IF($D$127=14,$O$177,IF($D$127=18,$O$175,IF($D$127=20,$O$176,IF($D$127=22,"")))))))))</f>
        <v>8,14 mm ยางอัดกระจก</v>
      </c>
      <c r="C193" s="241" t="str">
        <f>IF($D$127=5,$P$175,IF($D$127=6,$P$176,IF($D$127=8,$P$177,IF($D$127=10,$P$175,IF($D$127=12,$P$175,IF($D$127=14,$P$177,IF($D$127=18,$P$175,IF($D$127=20,$P$176,IF($D$127=22,"")))))))))</f>
        <v>8,14 mm ROLL IN WEDGE</v>
      </c>
      <c r="D193" s="241" t="str">
        <f>IF($D$127=5,$Q$175,IF($D$127=6,$Q$176,IF($D$127=8,$Q$177,IF($D$127=10,$Q$175,IF($D$127=12,$Q$175,IF($D$127=14,$Q$177,IF($D$127=18,$Q$175,IF($D$127=20,$Q$176,IF($D$127=22,"")))))))))</f>
        <v>02-045</v>
      </c>
      <c r="E193" s="241">
        <f>IF($D$127=5,R180,IF($D$127=6,R181,IF($D$127=8,R182,IF($D$127=10,R180,IF($D$127=12,R180,IF($D$127=14,R182,IF($D$127=18,R180,IF($D$127=20,R181,IF($D$127=22,"",)))))))))</f>
        <v>0</v>
      </c>
      <c r="F193" s="242" t="str">
        <f>IF($D$127=5,$S$175,IF($D$127=6,$S$176,IF($D$127=8,$S$177,IF($D$127=10,$S$175,IF($D$127=12,$S$175,IF($D$127=14,$S$177,IF($D$127=18,$S$175,IF($D$127=20,$S$176,IF($D$127=22,"")))))))))</f>
        <v>02-045</v>
      </c>
      <c r="G193" s="242" t="str">
        <f>IF($D$127=5,$T$175,IF($D$127=6,$T$176,IF($D$127=8,$T$177,IF($D$127=10,$T$175,IF($D$127=12,$T$175,IF($D$127=14,$T$177,IF($D$127=18,$T$175,IF($D$127=20,$T$176,IF($D$127=22,"")))))))))</f>
        <v>M</v>
      </c>
      <c r="H193" s="261">
        <f>IF($D$127=5,$U$175,IF($D$127=6,$U$176,IF($D$127=8,$U$177,IF($D$127=10,$U$175*2,IF($D$127=12,$U$175,IF($D$127=14,$U$177*2,IF($D$127=18,$U$175,IF($D$127=20,$U$176,IF($D$127=22,"")))))))))</f>
        <v>36.161999999999999</v>
      </c>
      <c r="I193" s="258">
        <f>IF($D$127=5,$V$175,IF($D$127=6,$V$176,IF($D$127=8,$V$177,IF($D$127=10,$V$175,IF($D$127=12,$V$175,IF($D$127=14,$V$177,IF($D$127=18,$V$175,IF($D$127=20,$V$176,IF($D$127=22,"")))))))))</f>
        <v>100</v>
      </c>
      <c r="J193" s="260">
        <f t="shared" si="35"/>
        <v>1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s="1" customFormat="1" ht="18" customHeight="1">
      <c r="A194" s="201">
        <f t="shared" si="33"/>
        <v>22</v>
      </c>
      <c r="B194" s="241" t="str">
        <f>IF($D$127=5,$O$173,IF($D$127=6,$O$173,IF($D$127=8,$O$175,IF($D$127=10,"",IF($D$127=12,$O$174,IF($D$127=14,"",IF($D$127=18,$O$173,IF($D$127=20,$O$174,IF($D$127=22,"",)))))))))</f>
        <v>5,8,10,12,18 mmยางอัดกระจก</v>
      </c>
      <c r="C194" s="241" t="str">
        <f>IF($D$127=5,$P$173,IF($D$127=6,$P$173,IF($D$127=8,$P$175,IF($D$127=10,"",IF($D$127=12,$P$174,IF($D$127=14,"",IF($D$127=18,$P$173,IF($D$127=20,$P$174,IF($D$127=22,"",)))))))))</f>
        <v>5,8,10,12,18 mm ROLL IN WEDGE</v>
      </c>
      <c r="D194" s="241" t="str">
        <f>IF($D$127=5,$Q$173,IF($D$127=6,$Q$173,IF($D$127=8,$Q$175,IF($D$127=10,"",IF($D$127=12,$Q$174,IF($D$127=14,"",IF($D$127=18,$Q$173,IF($D$127=20,$Q$174,IF($D$127=22,"",)))))))))</f>
        <v>02-033</v>
      </c>
      <c r="E194" s="241">
        <f>IF($D$127=5,R178,IF($D$127=6,R178,IF($D$127=8,R180,IF($D$127=10,"",IF($D$127=12,R179,IF($D$127=14,"",IF($D$127=18,R178,IF($D$127=20,R179,IF($D$127=22,"",)))))))))</f>
        <v>0</v>
      </c>
      <c r="F194" s="242" t="str">
        <f>IF($D$127=5,$S$173,IF($D$127=6,$S$173,IF($D$127=8,$S$175,IF($D$127=10,"",IF($D$127=12,$S$174,IF($D$127=14,"",IF($D$127=18,$S$173,IF($D$127=20,$S$174,IF($D$127=22,"",)))))))))</f>
        <v>02-033</v>
      </c>
      <c r="G194" s="242" t="str">
        <f>IF($D$127=5,$T$173,IF($D$127=6,$T$173,IF($D$127=8,$T$175,IF($D$127=10,"",IF($D$127=12,$T$174,IF($D$127=14,"",IF($D$127=18,$T$173,IF($D$127=20,$T$174,IF($D$127=22,"",)))))))))</f>
        <v>M</v>
      </c>
      <c r="H194" s="261">
        <f>IF($D$127=5,$U$173,IF($D$127=6,$U$173,IF($D$127=8,$U$175,IF($D$127=10,"",IF($D$127=12,$U$174,IF($D$127=14,"",IF($D$127=18,$U$173,IF($D$127=20,$U$174,IF($D$127=22,"")))))))))</f>
        <v>36.161999999999999</v>
      </c>
      <c r="I194" s="258">
        <f>IF($D$127=5,$V$173,IF($D$127=6,$V$173,IF($D$127=8,$V$175,IF($D$127=10,"",IF($D$127=12,$V$174,IF($D$127=14,"",IF($D$127=18,$V$173,IF($D$127=20,$V$174,IF($D$127=22,"",)))))))))</f>
        <v>100</v>
      </c>
      <c r="J194" s="260">
        <f t="shared" si="35"/>
        <v>1</v>
      </c>
    </row>
    <row r="195" spans="1:24" s="1" customFormat="1" ht="18" customHeight="1">
      <c r="A195" s="201" t="str">
        <f t="shared" si="33"/>
        <v/>
      </c>
      <c r="B195" s="140"/>
      <c r="C195" s="140"/>
      <c r="D195" s="139"/>
      <c r="E195" s="143"/>
      <c r="F195" s="143"/>
      <c r="G195" s="143"/>
      <c r="H195" s="143"/>
      <c r="I195" s="130"/>
      <c r="J195" s="131"/>
    </row>
    <row r="196" spans="1:24" s="1" customFormat="1" ht="18" customHeight="1">
      <c r="A196" s="201" t="str">
        <f t="shared" si="33"/>
        <v/>
      </c>
      <c r="B196" s="140"/>
      <c r="C196" s="140"/>
      <c r="D196" s="139"/>
      <c r="E196" s="143"/>
      <c r="F196" s="143"/>
      <c r="G196" s="143"/>
      <c r="H196" s="143"/>
      <c r="I196" s="130"/>
      <c r="J196" s="131">
        <f t="shared" si="31"/>
        <v>0</v>
      </c>
    </row>
    <row r="197" spans="1:24" s="1" customFormat="1" ht="18" customHeight="1">
      <c r="A197" s="201" t="str">
        <f t="shared" si="33"/>
        <v/>
      </c>
      <c r="B197" s="140"/>
      <c r="C197" s="140"/>
      <c r="D197" s="139"/>
      <c r="E197" s="143"/>
      <c r="F197" s="143"/>
      <c r="G197" s="143"/>
      <c r="H197" s="143"/>
      <c r="I197" s="130"/>
      <c r="J197" s="131">
        <f t="shared" si="31"/>
        <v>0</v>
      </c>
    </row>
    <row r="198" spans="1:24" s="1" customFormat="1" ht="18" customHeight="1">
      <c r="A198" s="201" t="str">
        <f t="shared" si="33"/>
        <v/>
      </c>
      <c r="B198" s="140"/>
      <c r="C198" s="140"/>
      <c r="D198" s="139"/>
      <c r="E198" s="143"/>
      <c r="F198" s="143"/>
      <c r="G198" s="143"/>
      <c r="H198" s="143"/>
      <c r="I198" s="130"/>
      <c r="J198" s="131">
        <f t="shared" ref="J198:J205" si="36">$J$120*H198</f>
        <v>0</v>
      </c>
    </row>
    <row r="199" spans="1:24" s="1" customFormat="1" ht="18" customHeight="1">
      <c r="A199" s="201" t="str">
        <f t="shared" si="33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 t="shared" si="36"/>
        <v>0</v>
      </c>
    </row>
    <row r="200" spans="1:24" s="1" customFormat="1" ht="18" customHeight="1">
      <c r="A200" s="201" t="str">
        <f t="shared" si="33"/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ref="J200:J204" si="37">$J$120*H200</f>
        <v>0</v>
      </c>
    </row>
    <row r="201" spans="1:24" s="1" customFormat="1" ht="18" customHeight="1">
      <c r="A201" s="201" t="str">
        <f t="shared" si="33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si="37"/>
        <v>0</v>
      </c>
    </row>
    <row r="202" spans="1:24" s="1" customFormat="1" ht="18" customHeight="1">
      <c r="A202" s="201" t="str">
        <f t="shared" si="33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si="37"/>
        <v>0</v>
      </c>
    </row>
    <row r="203" spans="1:24" s="1" customFormat="1" ht="18" customHeight="1">
      <c r="A203" s="201" t="str">
        <f t="shared" si="33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si="37"/>
        <v>0</v>
      </c>
    </row>
    <row r="204" spans="1:24" s="1" customFormat="1" ht="18" customHeight="1">
      <c r="A204" s="201" t="str">
        <f t="shared" si="33"/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 t="shared" si="37"/>
        <v>0</v>
      </c>
    </row>
    <row r="205" spans="1:24" s="1" customFormat="1" ht="18" customHeight="1">
      <c r="A205" s="317" t="str">
        <f t="shared" ref="A205" si="38">IF(B205="","",+A204+1)</f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 t="shared" si="36"/>
        <v>0</v>
      </c>
    </row>
    <row r="206" spans="1:24" s="1" customFormat="1" ht="18" customHeight="1">
      <c r="A206" s="25"/>
      <c r="B206" s="161"/>
      <c r="C206" s="33"/>
      <c r="D206" s="30"/>
      <c r="E206" s="17"/>
      <c r="F206" s="30"/>
      <c r="G206" s="30"/>
      <c r="H206" s="30"/>
      <c r="I206" s="24"/>
      <c r="J206" s="24"/>
    </row>
    <row r="207" spans="1:24" ht="18" customHeight="1">
      <c r="A207" s="17"/>
      <c r="J207" s="99" t="str">
        <f>LEFT($J$111,13)&amp;"-02"</f>
        <v>FG-240-9P3L6R-02</v>
      </c>
    </row>
    <row r="208" spans="1:24" ht="12.75" customHeight="1">
      <c r="B208" s="56"/>
      <c r="C208" s="56"/>
      <c r="D208" s="30"/>
      <c r="E208" s="17"/>
      <c r="F208" s="17"/>
      <c r="G208" s="17"/>
      <c r="H208" s="17"/>
      <c r="K208" s="7"/>
      <c r="L208" s="7"/>
      <c r="M208" s="2"/>
      <c r="N208" s="2"/>
    </row>
    <row r="209" spans="1:14" ht="30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235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235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/>
      <c r="C215"/>
      <c r="D215" s="81"/>
      <c r="E215"/>
      <c r="F215"/>
      <c r="G215"/>
      <c r="H215"/>
      <c r="I215" s="160"/>
      <c r="J215" s="116"/>
    </row>
    <row r="216" spans="1:14" s="1" customFormat="1" ht="15" customHeight="1">
      <c r="A216" s="17"/>
      <c r="B216" s="93"/>
      <c r="C216" s="56"/>
      <c r="D216" s="30"/>
      <c r="E216" s="29"/>
      <c r="F216" s="160"/>
      <c r="G216" s="160"/>
      <c r="H216" s="16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s="1" customFormat="1" ht="15.6">
      <c r="A218" s="109"/>
      <c r="B218" s="33"/>
      <c r="C218" s="327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272</v>
      </c>
      <c r="D220" s="30"/>
      <c r="E220" s="29"/>
      <c r="F220" s="30"/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89"/>
      <c r="J221" s="12"/>
    </row>
    <row r="222" spans="1:14" s="1" customFormat="1" ht="15" customHeight="1">
      <c r="A222" s="109"/>
      <c r="B222" s="33"/>
      <c r="C222" s="327" t="s">
        <v>273</v>
      </c>
      <c r="D222" s="161"/>
      <c r="E222" s="109"/>
      <c r="F222" s="161"/>
      <c r="J222" s="12"/>
    </row>
    <row r="223" spans="1:14" s="1" customFormat="1" ht="15" customHeight="1">
      <c r="A223" s="109"/>
      <c r="B223" s="33"/>
      <c r="C223" s="374">
        <f>$I$133</f>
        <v>1940</v>
      </c>
      <c r="D223" s="161"/>
      <c r="E223" s="35"/>
      <c r="F223" s="161"/>
      <c r="G223" s="68"/>
      <c r="J223" s="12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326"/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326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327"/>
      <c r="D229" s="161"/>
      <c r="E229" s="109"/>
      <c r="F229" s="161"/>
      <c r="H229" s="109"/>
      <c r="I229" s="234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234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234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234"/>
      <c r="J232" s="117"/>
    </row>
    <row r="233" spans="1:10" s="1" customFormat="1" ht="15.9" customHeight="1">
      <c r="A233" s="44"/>
      <c r="B233" s="44"/>
      <c r="C233" s="89" t="s">
        <v>274</v>
      </c>
      <c r="D233" s="84"/>
      <c r="E233" s="44"/>
      <c r="F233" s="44"/>
      <c r="G233" s="109"/>
      <c r="H233" s="109"/>
      <c r="I233" s="234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1914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234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34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109"/>
      <c r="J242" s="24"/>
    </row>
    <row r="243" spans="1:10" s="1" customFormat="1" ht="15.9" customHeight="1">
      <c r="A243" s="109"/>
      <c r="B243" s="33"/>
      <c r="C243" s="89" t="s">
        <v>276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.9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" customHeight="1">
      <c r="A245" s="109"/>
      <c r="B245" s="33"/>
      <c r="C245" s="327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1940</v>
      </c>
      <c r="D246" s="161"/>
      <c r="E246" s="109"/>
      <c r="F246" s="161"/>
      <c r="G246" s="109"/>
      <c r="H246" s="109"/>
      <c r="I246" s="44"/>
      <c r="J246" s="119"/>
    </row>
    <row r="247" spans="1:10" s="1" customFormat="1" ht="15.9" customHeight="1">
      <c r="A247" s="109"/>
      <c r="B247" s="33"/>
      <c r="C247" s="363">
        <f>$J$135</f>
        <v>1</v>
      </c>
      <c r="D247" s="161"/>
      <c r="E247" s="109"/>
      <c r="F247" s="161"/>
      <c r="G247" s="109"/>
      <c r="H247" s="109"/>
      <c r="I247" s="32"/>
      <c r="J247" s="40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0"/>
      <c r="H251" s="109"/>
      <c r="I251" s="24"/>
      <c r="J251" s="24"/>
    </row>
    <row r="252" spans="1:10" s="1" customFormat="1" ht="15.9" customHeight="1">
      <c r="A252" s="109"/>
      <c r="B252" s="33"/>
      <c r="D252" s="161"/>
      <c r="E252" s="109"/>
      <c r="F252" s="109"/>
      <c r="G252" s="109"/>
      <c r="H252" s="109"/>
      <c r="I252" s="24"/>
      <c r="J252" s="24"/>
    </row>
    <row r="253" spans="1:10" s="1" customFormat="1" ht="15.9" customHeight="1">
      <c r="A253" s="44"/>
      <c r="B253" s="44"/>
      <c r="D253" s="84"/>
      <c r="E253" s="44"/>
      <c r="F253" s="44"/>
      <c r="G253" s="109"/>
      <c r="H253" s="109"/>
      <c r="I253" s="24"/>
      <c r="J253" s="24"/>
    </row>
    <row r="254" spans="1:10" s="1" customFormat="1" ht="15.9" customHeight="1">
      <c r="A254" s="40"/>
      <c r="B254" s="40"/>
      <c r="C254" s="89" t="s">
        <v>277</v>
      </c>
      <c r="D254" s="85"/>
      <c r="E254" s="40"/>
      <c r="F254" s="32"/>
      <c r="G254" s="109"/>
      <c r="I254" s="24"/>
      <c r="J254" s="24"/>
    </row>
    <row r="255" spans="1:10" s="1" customFormat="1" ht="15.9" customHeight="1">
      <c r="A255" s="27"/>
      <c r="B255" s="33"/>
      <c r="C255" s="328" t="s">
        <v>275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27" t="s">
        <v>273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74">
        <f>$I$136</f>
        <v>1940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63">
        <f>$J$136</f>
        <v>1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46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161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89" t="s">
        <v>278</v>
      </c>
      <c r="D264" s="161"/>
      <c r="E264" s="109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8" t="s">
        <v>287</v>
      </c>
      <c r="D265" s="328"/>
      <c r="E265" s="328"/>
      <c r="F265" s="109"/>
      <c r="G265" s="109"/>
      <c r="H265" s="109"/>
      <c r="I265" s="24"/>
      <c r="J265" s="24"/>
    </row>
    <row r="266" spans="1:10" s="1" customFormat="1" ht="15.9" customHeight="1">
      <c r="A266" s="27"/>
      <c r="B266" s="33"/>
      <c r="C266" s="327" t="s">
        <v>279</v>
      </c>
      <c r="D266" s="327"/>
      <c r="E266" s="327"/>
      <c r="F266" s="109"/>
      <c r="G266" s="109"/>
      <c r="H266" s="109"/>
      <c r="J266" s="12"/>
    </row>
    <row r="267" spans="1:10" s="1" customFormat="1" ht="15.9" customHeight="1">
      <c r="A267" s="27"/>
      <c r="B267" s="33"/>
      <c r="C267" s="374">
        <f>$I$137</f>
        <v>2000</v>
      </c>
      <c r="D267" s="161"/>
      <c r="E267" s="109"/>
      <c r="F267" s="109"/>
      <c r="G267" s="33"/>
      <c r="H267" s="33"/>
      <c r="J267" s="12"/>
    </row>
    <row r="268" spans="1:10" s="1" customFormat="1" ht="15.9" customHeight="1">
      <c r="A268" s="27"/>
      <c r="B268" s="33"/>
      <c r="C268" s="363">
        <f>$J$137+$J$138</f>
        <v>2</v>
      </c>
      <c r="D268" s="161"/>
      <c r="E268" s="10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D271" s="328"/>
      <c r="E271" s="328"/>
      <c r="F271" s="109"/>
      <c r="G271" s="109"/>
      <c r="H271" s="109"/>
      <c r="J271" s="12"/>
    </row>
    <row r="272" spans="1:10" s="1" customFormat="1" ht="15.9" customHeight="1">
      <c r="A272" s="27"/>
      <c r="D272" s="328"/>
      <c r="E272" s="328"/>
      <c r="F272" s="109"/>
      <c r="G272" s="109"/>
      <c r="H272" s="109"/>
      <c r="J272" s="12"/>
    </row>
    <row r="273" spans="1:10" s="1" customFormat="1" ht="15.9" customHeight="1">
      <c r="A273" s="27"/>
      <c r="B273" s="33"/>
      <c r="D273" s="328"/>
      <c r="E273" s="328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33"/>
      <c r="D274" s="161"/>
      <c r="E274" s="109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89" t="s">
        <v>280</v>
      </c>
      <c r="D275" s="162"/>
      <c r="E275" s="24"/>
      <c r="F275" s="109"/>
      <c r="G275" s="109"/>
      <c r="I275" s="24"/>
      <c r="J275" s="24"/>
    </row>
    <row r="276" spans="1:10" s="1" customFormat="1" ht="15.9" customHeight="1">
      <c r="A276" s="27"/>
      <c r="B276" s="33"/>
      <c r="C276" s="328" t="s">
        <v>649</v>
      </c>
      <c r="D276" s="328"/>
      <c r="E276" s="328"/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433" t="s">
        <v>650</v>
      </c>
      <c r="D277" s="327"/>
      <c r="E277" s="327"/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374">
        <f>$I$139</f>
        <v>1904</v>
      </c>
      <c r="F278" s="109"/>
      <c r="G278" s="109"/>
      <c r="I278" s="109"/>
      <c r="J278" s="24"/>
    </row>
    <row r="279" spans="1:10" s="1" customFormat="1" ht="15.9" customHeight="1">
      <c r="A279" s="27"/>
      <c r="B279" s="33"/>
      <c r="C279" s="363">
        <f>$J$139+$J$140</f>
        <v>2</v>
      </c>
      <c r="F279" s="109"/>
      <c r="G279" s="109"/>
      <c r="I279" s="109"/>
      <c r="J279" s="24"/>
    </row>
    <row r="280" spans="1:10" s="1" customFormat="1" ht="15.9" customHeight="1">
      <c r="A280" s="27"/>
      <c r="B280" s="33"/>
      <c r="F280" s="109"/>
      <c r="G280" s="109"/>
      <c r="H280" s="109"/>
      <c r="J280" s="12"/>
    </row>
    <row r="281" spans="1:10" s="1" customFormat="1" ht="15.9" customHeight="1">
      <c r="A281" s="27"/>
      <c r="B281" s="33"/>
      <c r="C281" s="33"/>
      <c r="D281" s="161"/>
      <c r="E281" s="109"/>
      <c r="F281" s="109"/>
      <c r="G281" s="109"/>
      <c r="H281" s="109"/>
      <c r="J281" s="12"/>
    </row>
    <row r="282" spans="1:10" s="1" customFormat="1" ht="15.9" customHeight="1">
      <c r="A282" s="27"/>
      <c r="B282" s="33"/>
      <c r="F282" s="109"/>
      <c r="G282" s="109"/>
      <c r="H282" s="109"/>
      <c r="J282" s="12"/>
    </row>
    <row r="283" spans="1:10" s="1" customFormat="1" ht="15.9" customHeight="1">
      <c r="A283" s="27"/>
      <c r="B283" s="33"/>
      <c r="F283" s="109"/>
      <c r="G283" s="109"/>
      <c r="H283" s="109"/>
      <c r="I283" s="162"/>
      <c r="J283" s="24"/>
    </row>
    <row r="284" spans="1:10" s="1" customFormat="1" ht="15.9" customHeight="1">
      <c r="A284" s="27"/>
      <c r="B284" s="33"/>
      <c r="C284" s="89" t="s">
        <v>283</v>
      </c>
      <c r="F284" s="109"/>
      <c r="G284" s="109"/>
      <c r="H284" s="109"/>
      <c r="I284" s="109"/>
      <c r="J284" s="24"/>
    </row>
    <row r="285" spans="1:10" s="1" customFormat="1" ht="15.9" customHeight="1">
      <c r="A285" s="27"/>
      <c r="B285" s="33"/>
      <c r="C285" s="94" t="s">
        <v>423</v>
      </c>
      <c r="D285" s="161"/>
      <c r="E285" s="109"/>
      <c r="F285" s="109"/>
      <c r="G285" s="109"/>
      <c r="H285" s="109"/>
      <c r="I285" s="24"/>
      <c r="J285" s="24"/>
    </row>
    <row r="286" spans="1:10" s="1" customFormat="1" ht="15.9" customHeight="1">
      <c r="A286" s="27"/>
      <c r="B286" s="33"/>
      <c r="C286" s="327" t="s">
        <v>424</v>
      </c>
      <c r="D286" s="161"/>
      <c r="E286" s="109"/>
      <c r="F286" s="109"/>
      <c r="G286" s="109"/>
      <c r="H286" s="109"/>
      <c r="I286" s="24"/>
      <c r="J286" s="24"/>
    </row>
    <row r="287" spans="1:10" s="1" customFormat="1" ht="15.9" customHeight="1">
      <c r="A287" s="27"/>
      <c r="B287" s="33"/>
      <c r="C287" s="328" t="s">
        <v>281</v>
      </c>
      <c r="D287" s="328"/>
      <c r="E287" s="328"/>
      <c r="F287" s="109"/>
      <c r="G287" s="109"/>
      <c r="I287" s="24"/>
      <c r="J287" s="24"/>
    </row>
    <row r="288" spans="1:10" s="23" customFormat="1" ht="15.9" customHeight="1">
      <c r="A288" s="27"/>
      <c r="B288" s="33"/>
      <c r="C288" s="327" t="s">
        <v>282</v>
      </c>
      <c r="D288" s="327"/>
      <c r="E288" s="327"/>
      <c r="F288" s="109"/>
      <c r="G288" s="109"/>
      <c r="H288" s="1"/>
      <c r="I288" s="109"/>
      <c r="J288" s="109"/>
    </row>
    <row r="289" spans="1:10" s="1" customFormat="1" ht="15.9" customHeight="1">
      <c r="A289" s="27"/>
      <c r="B289" s="33"/>
      <c r="C289" s="374">
        <f>$I$141</f>
        <v>101</v>
      </c>
      <c r="F289" s="109"/>
      <c r="G289" s="109"/>
      <c r="I289" s="44"/>
      <c r="J289" s="119"/>
    </row>
    <row r="290" spans="1:10" s="1" customFormat="1" ht="15.9" customHeight="1">
      <c r="A290" s="27"/>
      <c r="B290" s="33"/>
      <c r="C290" s="363">
        <f>$J$141+$J$142</f>
        <v>18</v>
      </c>
      <c r="D290" s="161"/>
      <c r="E290" s="109"/>
      <c r="F290" s="109"/>
      <c r="G290" s="109"/>
      <c r="H290" s="161"/>
      <c r="I290" s="32"/>
      <c r="J290" s="40"/>
    </row>
    <row r="291" spans="1:10" s="1" customFormat="1" ht="15.9" customHeight="1">
      <c r="A291" s="27"/>
      <c r="B291" s="33"/>
      <c r="C291" s="374">
        <f>$I$143</f>
        <v>1908</v>
      </c>
      <c r="D291" s="161"/>
      <c r="E291" s="109"/>
      <c r="F291" s="109"/>
      <c r="G291" s="109"/>
      <c r="H291" s="109"/>
      <c r="I291" s="24"/>
      <c r="J291" s="24"/>
    </row>
    <row r="292" spans="1:10" s="1" customFormat="1" ht="15.9" customHeight="1">
      <c r="A292" s="27"/>
      <c r="B292" s="33"/>
      <c r="C292" s="363">
        <f>$J$143+$J$144+$J$145+$J$146</f>
        <v>18</v>
      </c>
      <c r="D292" s="161"/>
      <c r="E292" s="109"/>
      <c r="F292" s="109"/>
      <c r="G292" s="109"/>
      <c r="H292" s="109"/>
      <c r="I292" s="24"/>
      <c r="J292" s="24"/>
    </row>
    <row r="293" spans="1:10" s="1" customFormat="1" ht="15.9" customHeight="1">
      <c r="A293" s="27"/>
      <c r="B293" s="33"/>
      <c r="D293" s="161"/>
      <c r="E293" s="109"/>
      <c r="F293" s="109"/>
      <c r="G293" s="109"/>
      <c r="H293" s="109"/>
      <c r="I293" s="24"/>
      <c r="J293" s="24"/>
    </row>
    <row r="294" spans="1:10" s="1" customFormat="1" ht="15.9" customHeight="1">
      <c r="A294" s="27"/>
      <c r="B294" s="33"/>
      <c r="C294" s="33"/>
      <c r="D294" s="161"/>
      <c r="E294" s="109"/>
      <c r="F294" s="109"/>
      <c r="G294" s="109"/>
      <c r="H294" s="109"/>
      <c r="I294" s="109"/>
      <c r="J294" s="24"/>
    </row>
    <row r="295" spans="1:10" s="1" customFormat="1" ht="15.9" customHeight="1">
      <c r="A295" s="27"/>
      <c r="B295" s="33"/>
      <c r="C295" s="23"/>
      <c r="D295" s="161"/>
      <c r="E295" s="109"/>
      <c r="F295" s="109"/>
      <c r="G295" s="109"/>
      <c r="H295" s="109"/>
      <c r="I295" s="109"/>
      <c r="J295" s="24"/>
    </row>
    <row r="296" spans="1:10" s="1" customFormat="1" ht="15.9" customHeight="1">
      <c r="A296" s="27"/>
      <c r="B296" s="33"/>
      <c r="C296" s="89" t="s">
        <v>284</v>
      </c>
      <c r="D296" s="161"/>
      <c r="E296" s="109"/>
      <c r="F296" s="109"/>
      <c r="G296" s="109"/>
      <c r="H296" s="109"/>
      <c r="I296" s="109"/>
      <c r="J296" s="24"/>
    </row>
    <row r="297" spans="1:10" s="1" customFormat="1" ht="15.9" customHeight="1">
      <c r="A297" s="27"/>
      <c r="B297" s="33"/>
      <c r="C297" s="94" t="s">
        <v>423</v>
      </c>
      <c r="D297" s="161"/>
      <c r="E297" s="109"/>
      <c r="F297" s="109"/>
      <c r="G297" s="44"/>
      <c r="H297" s="44"/>
      <c r="I297" s="109"/>
      <c r="J297" s="24"/>
    </row>
    <row r="298" spans="1:10" s="1" customFormat="1" ht="15.9" customHeight="1">
      <c r="A298" s="27"/>
      <c r="B298" s="33"/>
      <c r="C298" s="327" t="s">
        <v>424</v>
      </c>
      <c r="D298" s="328"/>
      <c r="E298" s="328"/>
      <c r="F298" s="109"/>
      <c r="G298" s="40"/>
      <c r="H298" s="32"/>
      <c r="I298" s="109"/>
      <c r="J298" s="24"/>
    </row>
    <row r="299" spans="1:10" s="1" customFormat="1" ht="15.9" customHeight="1">
      <c r="A299" s="41"/>
      <c r="B299" s="33"/>
      <c r="C299" s="328" t="s">
        <v>286</v>
      </c>
      <c r="D299" s="327"/>
      <c r="E299" s="327"/>
      <c r="F299" s="109"/>
      <c r="G299" s="109"/>
      <c r="H299" s="109"/>
      <c r="I299" s="109"/>
      <c r="J299" s="24"/>
    </row>
    <row r="300" spans="1:10" s="1" customFormat="1" ht="15.9" customHeight="1">
      <c r="A300" s="44"/>
      <c r="B300" s="44"/>
      <c r="C300" s="327" t="s">
        <v>285</v>
      </c>
      <c r="D300" s="86"/>
      <c r="E300" s="79"/>
      <c r="F300" s="44"/>
      <c r="G300" s="109"/>
      <c r="H300" s="109"/>
      <c r="I300" s="109"/>
      <c r="J300" s="24"/>
    </row>
    <row r="301" spans="1:10" s="1" customFormat="1" ht="15.9" customHeight="1">
      <c r="A301" s="40"/>
      <c r="B301" s="40"/>
      <c r="C301" s="374">
        <f>$I$147</f>
        <v>101</v>
      </c>
      <c r="D301" s="87"/>
      <c r="E301" s="80"/>
      <c r="F301" s="32"/>
      <c r="G301" s="109"/>
      <c r="H301" s="109"/>
      <c r="I301" s="109"/>
      <c r="J301" s="24"/>
    </row>
    <row r="302" spans="1:10" s="1" customFormat="1" ht="15.9" customHeight="1">
      <c r="A302" s="109"/>
      <c r="B302" s="33"/>
      <c r="C302" s="363">
        <f>$J$147</f>
        <v>18</v>
      </c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C303" s="374">
        <f>$I$148</f>
        <v>1758</v>
      </c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C304" s="363">
        <f>$J$148</f>
        <v>18</v>
      </c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C306" s="89" t="s">
        <v>288</v>
      </c>
      <c r="D306" s="161"/>
      <c r="E306" s="109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328" t="s">
        <v>281</v>
      </c>
      <c r="D307" s="328"/>
      <c r="E307" s="328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542" t="s">
        <v>282</v>
      </c>
      <c r="D308" s="542"/>
      <c r="E308" s="542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74">
        <f>$I$149</f>
        <v>1908</v>
      </c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63">
        <f>$J$149+$J$150</f>
        <v>2</v>
      </c>
      <c r="D310" s="328"/>
      <c r="E310" s="328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D311" s="15"/>
      <c r="F311" s="109"/>
      <c r="G311" s="109"/>
      <c r="H311" s="109"/>
      <c r="I311" s="109"/>
      <c r="J311" s="24"/>
    </row>
    <row r="312" spans="1:14" s="1" customFormat="1" ht="15.75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33"/>
      <c r="D314" s="162"/>
      <c r="E314" s="24"/>
      <c r="F314" s="109"/>
      <c r="G314" s="109"/>
      <c r="H314" s="109"/>
      <c r="I314" s="27"/>
      <c r="J314" s="99" t="str">
        <f>LEFT($J$111,13)&amp;"-03"</f>
        <v>FG-240-9P3L6R-03</v>
      </c>
    </row>
    <row r="315" spans="1:14" ht="12.75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30" customHeight="1">
      <c r="I316" s="95"/>
      <c r="J316" s="90" t="str">
        <f>$J$2</f>
        <v>HOMELIFE</v>
      </c>
      <c r="K316" s="11"/>
      <c r="L316" s="11"/>
      <c r="M316" s="2"/>
      <c r="N316" s="2"/>
    </row>
    <row r="317" spans="1:14" ht="24.9" customHeight="1">
      <c r="B317" s="235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235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s="1" customFormat="1" ht="15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  <c r="K320" s="4"/>
      <c r="L320" s="4"/>
      <c r="M320" s="4"/>
      <c r="N320" s="4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236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236"/>
      <c r="I331" s="161"/>
      <c r="J331" s="109"/>
    </row>
    <row r="332" spans="1:10" s="1" customFormat="1" ht="15" customHeight="1">
      <c r="A332" s="64" t="str">
        <f>A18</f>
        <v>240-9 Panel (3L6R)</v>
      </c>
      <c r="B332" s="92"/>
      <c r="C332" s="161"/>
      <c r="D332" s="161"/>
      <c r="E332" s="109"/>
      <c r="F332" s="236"/>
      <c r="G332" s="236"/>
      <c r="H332" s="236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92"/>
      <c r="C333" s="161"/>
      <c r="D333" s="161"/>
      <c r="E333" s="109"/>
      <c r="F333" s="236"/>
      <c r="G333" s="236"/>
      <c r="H333" s="236"/>
      <c r="I333" s="109"/>
      <c r="J333" s="109"/>
    </row>
    <row r="334" spans="1:10" s="1" customFormat="1" ht="15.9" customHeight="1">
      <c r="A334" s="109"/>
      <c r="B334" s="45"/>
      <c r="C334" s="42"/>
      <c r="D334" s="161"/>
      <c r="E334" s="109"/>
      <c r="F334" s="507"/>
      <c r="G334" s="507"/>
      <c r="H334" s="236"/>
      <c r="I334" s="109"/>
      <c r="J334" s="109"/>
    </row>
    <row r="335" spans="1:10" s="1" customFormat="1" ht="15.9" customHeight="1">
      <c r="A335" s="39"/>
      <c r="B335" s="109"/>
      <c r="C335" s="161"/>
      <c r="D335" s="161"/>
      <c r="E335" s="109"/>
      <c r="F335" s="37"/>
      <c r="G335" s="38"/>
      <c r="H335" s="109"/>
      <c r="I335" s="109"/>
      <c r="J335" s="109"/>
    </row>
    <row r="336" spans="1:10" s="1" customFormat="1" ht="15.9" customHeight="1">
      <c r="A336" s="44"/>
      <c r="C336" s="43"/>
      <c r="D336" s="161"/>
      <c r="E336" s="109"/>
      <c r="F336" s="109"/>
      <c r="G336" s="109"/>
      <c r="H336" s="109"/>
      <c r="I336" s="44"/>
      <c r="J336" s="119"/>
    </row>
    <row r="337" spans="1:10" s="1" customFormat="1" ht="15.9" customHeight="1">
      <c r="A337" s="40"/>
      <c r="C337" s="44"/>
      <c r="D337" s="84"/>
      <c r="E337" s="44"/>
      <c r="F337" s="44"/>
      <c r="G337" s="44"/>
      <c r="H337" s="44"/>
      <c r="I337" s="32"/>
      <c r="J337" s="40"/>
    </row>
    <row r="338" spans="1:10" s="1" customFormat="1" ht="15.9" customHeight="1">
      <c r="A338" s="109"/>
      <c r="C338" s="161"/>
      <c r="D338" s="85"/>
      <c r="E338" s="40"/>
      <c r="F338" s="32"/>
      <c r="G338" s="40"/>
      <c r="H338" s="32"/>
      <c r="I338" s="24"/>
      <c r="J338" s="24"/>
    </row>
    <row r="339" spans="1:10" s="1" customFormat="1" ht="15.9" customHeight="1">
      <c r="A339" s="109"/>
      <c r="C339" s="163"/>
      <c r="D339" s="161"/>
      <c r="E339" s="109"/>
      <c r="F339" s="161"/>
      <c r="G339" s="109"/>
      <c r="H339" s="109"/>
      <c r="I339" s="24"/>
      <c r="J339" s="24"/>
    </row>
    <row r="340" spans="1:10" s="1" customFormat="1" ht="15.9" customHeight="1">
      <c r="A340" s="109"/>
      <c r="B340" s="33"/>
      <c r="C340" s="161"/>
      <c r="D340" s="161"/>
      <c r="E340" s="109"/>
      <c r="F340" s="161"/>
      <c r="G340" s="109"/>
      <c r="H340" s="109"/>
      <c r="I340" s="162"/>
      <c r="J340" s="162"/>
    </row>
    <row r="341" spans="1:10" s="1" customFormat="1" ht="15.9" customHeight="1">
      <c r="A341" s="109"/>
      <c r="B341" s="33"/>
      <c r="C341" s="44"/>
      <c r="D341" s="161"/>
      <c r="E341" s="109"/>
      <c r="F341" s="161"/>
      <c r="G341" s="109"/>
      <c r="H341" s="162"/>
      <c r="I341" s="161"/>
      <c r="J341" s="161"/>
    </row>
    <row r="342" spans="1:10" s="1" customFormat="1" ht="15.9" customHeight="1">
      <c r="A342" s="109"/>
      <c r="B342" s="33"/>
      <c r="C342" s="42"/>
      <c r="D342" s="161"/>
      <c r="E342" s="109"/>
      <c r="F342" s="161"/>
      <c r="G342" s="109"/>
      <c r="H342" s="161"/>
      <c r="I342" s="161"/>
      <c r="J342" s="161"/>
    </row>
    <row r="343" spans="1:10" s="1" customFormat="1" ht="15.9" customHeight="1">
      <c r="A343" s="109"/>
      <c r="B343" s="33"/>
      <c r="C343" s="163"/>
      <c r="D343" s="161"/>
      <c r="E343" s="109"/>
      <c r="F343" s="161"/>
      <c r="G343" s="109"/>
      <c r="H343" s="161"/>
      <c r="I343" s="109"/>
      <c r="J343" s="24"/>
    </row>
    <row r="344" spans="1:10" s="1" customFormat="1" ht="15.9" customHeight="1">
      <c r="A344" s="109"/>
      <c r="B344" s="33"/>
      <c r="C344" s="161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44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3"/>
      <c r="D350" s="161"/>
      <c r="E350" s="109"/>
      <c r="F350" s="161"/>
      <c r="G350" s="109"/>
      <c r="H350" s="109"/>
      <c r="I350" s="109"/>
      <c r="J350" s="24"/>
    </row>
    <row r="351" spans="1:10" s="1" customFormat="1" ht="15.9" customHeight="1">
      <c r="A351" s="109"/>
      <c r="B351" s="33"/>
      <c r="C351" s="161"/>
      <c r="D351" s="161"/>
      <c r="E351" s="109"/>
      <c r="F351" s="161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1" customFormat="1" ht="15" customHeight="1">
      <c r="A353" s="109"/>
      <c r="B353" s="33"/>
      <c r="C353" s="33"/>
      <c r="D353" s="161"/>
      <c r="E353" s="109"/>
      <c r="F353" s="109"/>
      <c r="G353" s="109"/>
      <c r="H353" s="107"/>
      <c r="I353" s="24"/>
      <c r="J353" s="24"/>
    </row>
    <row r="354" spans="1:10" s="23" customFormat="1" ht="15.9" customHeight="1">
      <c r="A354" s="109"/>
      <c r="B354" s="33"/>
      <c r="C354" s="33"/>
      <c r="D354" s="161"/>
      <c r="E354" s="109"/>
      <c r="F354" s="109"/>
      <c r="G354" s="109"/>
      <c r="H354" s="109"/>
      <c r="I354" s="109"/>
      <c r="J354" s="109"/>
    </row>
    <row r="355" spans="1:10" s="1" customFormat="1" ht="15.9" customHeight="1">
      <c r="A355" s="44"/>
      <c r="B355" s="33"/>
      <c r="C355" s="33"/>
      <c r="D355" s="161"/>
      <c r="E355" s="109"/>
      <c r="F355" s="109"/>
      <c r="G355" s="109"/>
      <c r="H355" s="109"/>
      <c r="I355" s="44"/>
      <c r="J355" s="119"/>
    </row>
    <row r="356" spans="1:10" s="1" customFormat="1" ht="15.9" customHeight="1">
      <c r="A356" s="40"/>
      <c r="B356" s="44"/>
      <c r="C356" s="44"/>
      <c r="D356" s="84"/>
      <c r="E356" s="44"/>
      <c r="F356" s="44"/>
      <c r="G356" s="44"/>
      <c r="H356" s="44"/>
      <c r="I356" s="32"/>
      <c r="J356" s="40"/>
    </row>
    <row r="357" spans="1:10" s="1" customFormat="1" ht="15.9" customHeight="1">
      <c r="A357" s="27"/>
      <c r="B357" s="40"/>
      <c r="C357" s="44"/>
      <c r="D357" s="85"/>
      <c r="E357" s="40"/>
      <c r="F357" s="32"/>
      <c r="G357" s="40"/>
      <c r="H357" s="32"/>
      <c r="I357" s="24"/>
      <c r="J357" s="24"/>
    </row>
    <row r="358" spans="1:10" s="1" customFormat="1" ht="15.9" customHeight="1">
      <c r="A358" s="27"/>
      <c r="B358" s="33"/>
      <c r="C358" s="42"/>
      <c r="D358" s="161"/>
      <c r="E358" s="109"/>
      <c r="F358" s="109"/>
      <c r="G358" s="109"/>
      <c r="H358" s="42"/>
      <c r="I358" s="163"/>
      <c r="J358" s="163"/>
    </row>
    <row r="359" spans="1:10" s="1" customFormat="1" ht="15.9" customHeight="1">
      <c r="A359" s="27"/>
      <c r="B359" s="33"/>
      <c r="C359" s="163"/>
      <c r="D359" s="161"/>
      <c r="E359" s="109"/>
      <c r="F359" s="109"/>
      <c r="G359" s="109"/>
      <c r="H359" s="163"/>
      <c r="I359" s="161"/>
      <c r="J359" s="161"/>
    </row>
    <row r="360" spans="1:10" s="1" customFormat="1" ht="15.9" customHeight="1">
      <c r="A360" s="27"/>
      <c r="B360" s="33"/>
      <c r="C360" s="161"/>
      <c r="D360" s="161"/>
      <c r="E360" s="109"/>
      <c r="F360" s="109"/>
      <c r="G360" s="109"/>
      <c r="H360" s="161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46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161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D372" s="161"/>
      <c r="E372" s="109"/>
      <c r="F372" s="109"/>
      <c r="G372" s="33"/>
      <c r="H372" s="33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42"/>
      <c r="I376" s="163"/>
      <c r="J376" s="163"/>
    </row>
    <row r="377" spans="1:10" s="1" customFormat="1" ht="15.9" customHeight="1">
      <c r="A377" s="27"/>
      <c r="B377" s="33"/>
      <c r="C377" s="47"/>
      <c r="D377" s="161"/>
      <c r="E377" s="109"/>
      <c r="F377" s="109"/>
      <c r="G377" s="109"/>
      <c r="H377" s="163"/>
      <c r="I377" s="161"/>
      <c r="J377" s="161"/>
    </row>
    <row r="378" spans="1:10" s="1" customFormat="1" ht="15.9" customHeight="1">
      <c r="A378" s="27"/>
      <c r="B378" s="33"/>
      <c r="C378" s="46"/>
      <c r="D378" s="161"/>
      <c r="E378" s="109"/>
      <c r="F378" s="109"/>
      <c r="G378" s="109"/>
      <c r="H378" s="161"/>
      <c r="I378" s="24"/>
      <c r="J378" s="24"/>
    </row>
    <row r="379" spans="1:10" s="1" customFormat="1" ht="15.9" customHeight="1">
      <c r="A379" s="27"/>
      <c r="B379" s="33"/>
      <c r="C379" s="161"/>
      <c r="D379" s="161"/>
      <c r="E379" s="109"/>
      <c r="F379" s="109"/>
      <c r="G379" s="109"/>
      <c r="H379" s="42"/>
      <c r="I379" s="163"/>
      <c r="J379" s="163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3"/>
      <c r="I380" s="161"/>
      <c r="J380" s="161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1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64"/>
      <c r="J388" s="16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4"/>
      <c r="I389" s="165"/>
      <c r="J389" s="165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5"/>
      <c r="I390" s="161"/>
      <c r="J390" s="161"/>
    </row>
    <row r="391" spans="1:10" s="1" customFormat="1" ht="15.9" customHeight="1">
      <c r="A391" s="27"/>
      <c r="B391" s="33"/>
      <c r="C391" s="47"/>
      <c r="D391" s="161"/>
      <c r="E391" s="109"/>
      <c r="F391" s="109"/>
      <c r="G391" s="109"/>
      <c r="H391" s="161"/>
      <c r="I391" s="24"/>
      <c r="J391" s="24"/>
    </row>
    <row r="392" spans="1:10" s="1" customFormat="1" ht="15.9" customHeight="1">
      <c r="A392" s="27"/>
      <c r="B392" s="33"/>
      <c r="C392" s="46"/>
      <c r="D392" s="161"/>
      <c r="E392" s="109"/>
      <c r="F392" s="109"/>
      <c r="G392" s="109"/>
      <c r="H392" s="109"/>
      <c r="I392" s="109"/>
      <c r="J392" s="24"/>
    </row>
    <row r="393" spans="1:10" s="1" customFormat="1" ht="15.9" customHeight="1">
      <c r="A393" s="27"/>
      <c r="B393" s="33"/>
      <c r="C393" s="161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23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1" customFormat="1" ht="15.9" customHeight="1">
      <c r="A405" s="44"/>
      <c r="B405" s="33"/>
      <c r="C405" s="33"/>
      <c r="D405" s="161"/>
      <c r="E405" s="109"/>
      <c r="F405" s="109"/>
      <c r="G405" s="109"/>
      <c r="H405" s="109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109"/>
      <c r="B419" s="44"/>
      <c r="C419" s="44"/>
      <c r="D419" s="84"/>
      <c r="E419" s="44"/>
      <c r="F419" s="44"/>
      <c r="G419" s="44"/>
      <c r="H419" s="44"/>
      <c r="I419" s="24"/>
      <c r="J419" s="24"/>
      <c r="K419" s="71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LEFT($J$111,13)&amp;"-04"</f>
        <v>FG-240-9P3L6R-04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B423" s="33"/>
      <c r="C423" s="33"/>
      <c r="D423" s="161"/>
      <c r="E423" s="109"/>
      <c r="F423" s="109"/>
      <c r="G423" s="109"/>
      <c r="H423" s="109"/>
      <c r="I423" s="95"/>
      <c r="J423" s="90" t="str">
        <f>J2</f>
        <v>HOMELIFE</v>
      </c>
      <c r="K423" s="11"/>
      <c r="L423" s="11"/>
      <c r="M423" s="2"/>
      <c r="N423" s="2"/>
    </row>
    <row r="424" spans="1:14" ht="24.9" customHeight="1">
      <c r="B424" s="235"/>
      <c r="C424" s="5"/>
      <c r="D424" s="95"/>
      <c r="E424" s="95"/>
      <c r="F424" s="95"/>
      <c r="G424" s="95"/>
      <c r="H424" s="95"/>
      <c r="I424" s="28"/>
      <c r="J424" s="91" t="str">
        <f>J3</f>
        <v>Fabricators Guide</v>
      </c>
      <c r="K424" s="11"/>
      <c r="L424" s="11"/>
      <c r="M424" s="2"/>
      <c r="N424" s="2"/>
    </row>
    <row r="425" spans="1:14" ht="24.9" customHeight="1">
      <c r="B425" s="235"/>
      <c r="C425" s="28"/>
      <c r="D425" s="28"/>
      <c r="E425" s="28"/>
      <c r="F425" s="28"/>
      <c r="G425" s="28"/>
      <c r="H425" s="28"/>
      <c r="I425" s="28"/>
      <c r="J425" s="91" t="str">
        <f>J4</f>
        <v xml:space="preserve">240 Series Bi Fold Door </v>
      </c>
      <c r="K425" s="48"/>
      <c r="L425" s="48"/>
      <c r="M425" s="4"/>
      <c r="N425" s="4"/>
    </row>
    <row r="426" spans="1:14" s="1" customFormat="1" ht="15" customHeight="1" thickBot="1">
      <c r="A426" s="78"/>
      <c r="B426" s="8"/>
      <c r="C426" s="28"/>
      <c r="D426" s="28"/>
      <c r="E426" s="28"/>
      <c r="F426" s="28"/>
      <c r="G426" s="28"/>
      <c r="H426" s="2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  <c r="K427" s="4"/>
      <c r="L427" s="4"/>
      <c r="M427" s="4"/>
      <c r="N427" s="4"/>
    </row>
    <row r="428" spans="1:14" s="1" customFormat="1" ht="15" customHeight="1">
      <c r="A428" s="193"/>
      <c r="B428" s="194"/>
      <c r="C428" s="194"/>
      <c r="D428" s="194"/>
      <c r="E428" s="194"/>
      <c r="F428" s="194"/>
      <c r="G428" s="194"/>
      <c r="H428" s="194"/>
      <c r="I428" s="193"/>
      <c r="K428" s="56"/>
      <c r="L428" s="56"/>
      <c r="M428" s="56"/>
      <c r="N428" s="56"/>
    </row>
    <row r="429" spans="1:14" s="1" customFormat="1" ht="15" customHeight="1">
      <c r="A429" s="45"/>
      <c r="B429" s="193"/>
      <c r="C429" s="193"/>
      <c r="D429" s="193"/>
      <c r="E429" s="193"/>
      <c r="F429" s="193"/>
      <c r="G429" s="193"/>
      <c r="H429" s="193"/>
      <c r="I429" s="44"/>
      <c r="J429" s="119"/>
    </row>
    <row r="430" spans="1:14" s="1" customFormat="1" ht="15" customHeight="1">
      <c r="A430" s="109"/>
      <c r="B430" s="39"/>
      <c r="C430" s="33"/>
      <c r="D430" s="161"/>
      <c r="E430" s="35"/>
      <c r="F430" s="39"/>
      <c r="G430" s="193"/>
      <c r="H430" s="44"/>
      <c r="I430" s="44"/>
      <c r="J430" s="119"/>
    </row>
    <row r="431" spans="1:14" s="1" customFormat="1" ht="15" customHeight="1">
      <c r="A431" s="109"/>
      <c r="B431" s="33"/>
      <c r="C431" s="33"/>
      <c r="D431" s="161"/>
      <c r="E431" s="35"/>
      <c r="F431" s="161"/>
      <c r="G431" s="193"/>
      <c r="H431" s="44"/>
      <c r="I431" s="44"/>
      <c r="J431" s="119"/>
    </row>
    <row r="432" spans="1:14" s="1" customFormat="1" ht="15" customHeight="1">
      <c r="A432" s="109"/>
      <c r="B432" s="56"/>
      <c r="C432" s="56"/>
      <c r="D432" s="30"/>
      <c r="E432" s="29"/>
      <c r="F432" s="30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109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3"/>
      <c r="H434" s="44"/>
      <c r="I434" s="44"/>
      <c r="J434" s="119"/>
    </row>
    <row r="435" spans="1:10" s="1" customFormat="1" ht="15" customHeight="1">
      <c r="A435" s="109"/>
      <c r="B435" s="33"/>
      <c r="C435" s="161"/>
      <c r="D435" s="161"/>
      <c r="E435" s="35"/>
      <c r="F435" s="161"/>
      <c r="H435" s="44"/>
      <c r="I435" s="44"/>
      <c r="J435" s="119"/>
    </row>
    <row r="436" spans="1:10" s="1" customFormat="1" ht="15" customHeight="1">
      <c r="A436" s="39"/>
      <c r="B436" s="33"/>
      <c r="C436" s="42"/>
      <c r="D436" s="161"/>
      <c r="E436" s="109"/>
      <c r="F436" s="69"/>
      <c r="H436" s="44"/>
      <c r="I436" s="44"/>
      <c r="J436" s="119"/>
    </row>
    <row r="437" spans="1:10" s="1" customFormat="1" ht="15" customHeight="1">
      <c r="A437" s="92"/>
      <c r="B437" s="39"/>
      <c r="C437" s="163"/>
      <c r="D437" s="161"/>
      <c r="E437" s="109"/>
      <c r="F437" s="68"/>
      <c r="H437" s="44"/>
      <c r="I437" s="44"/>
      <c r="J437" s="119"/>
    </row>
    <row r="438" spans="1:10" s="1" customFormat="1" ht="15" customHeight="1">
      <c r="B438" s="92"/>
      <c r="C438" s="161"/>
      <c r="D438" s="161"/>
      <c r="E438" s="109"/>
      <c r="F438" s="236"/>
      <c r="H438" s="44"/>
      <c r="I438" s="44"/>
      <c r="J438" s="119"/>
    </row>
    <row r="439" spans="1:10" s="1" customFormat="1" ht="15" customHeight="1">
      <c r="A439" s="64" t="str">
        <f>A18</f>
        <v>240-9 Panel (3L6R)</v>
      </c>
      <c r="B439" s="92"/>
      <c r="C439" s="161"/>
      <c r="D439" s="161"/>
      <c r="E439" s="109"/>
      <c r="F439" s="236"/>
      <c r="H439" s="44"/>
      <c r="I439" s="44"/>
      <c r="J439" s="119"/>
    </row>
    <row r="440" spans="1:10" s="1" customFormat="1" ht="15.9" customHeight="1">
      <c r="A440" s="76" t="str">
        <f>A19</f>
        <v xml:space="preserve">Outside Bi Fold Door </v>
      </c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44"/>
      <c r="B442" s="38"/>
      <c r="C442" s="43"/>
      <c r="D442" s="161"/>
      <c r="E442" s="109"/>
      <c r="F442" s="109"/>
      <c r="H442" s="44"/>
      <c r="I442" s="44"/>
      <c r="J442" s="119"/>
    </row>
    <row r="443" spans="1:10" s="1" customFormat="1" ht="15.9" customHeight="1">
      <c r="A443" s="40"/>
      <c r="C443" s="44"/>
      <c r="D443" s="84"/>
      <c r="E443" s="44"/>
      <c r="F443" s="44"/>
      <c r="H443" s="44"/>
      <c r="I443" s="44"/>
      <c r="J443" s="119"/>
    </row>
    <row r="444" spans="1:10" s="1" customFormat="1" ht="35.1" customHeight="1">
      <c r="A444" s="109"/>
      <c r="C444" s="161"/>
      <c r="D444" s="85"/>
      <c r="E444" s="40"/>
      <c r="F444" s="32"/>
      <c r="H444" s="44"/>
      <c r="I444" s="24"/>
      <c r="J444" s="24"/>
    </row>
    <row r="445" spans="1:10" ht="15.6">
      <c r="B445" s="64"/>
      <c r="C445" s="163"/>
      <c r="D445" s="161"/>
      <c r="E445" s="109"/>
      <c r="F445" s="161"/>
      <c r="G445" s="109"/>
      <c r="H445" s="109"/>
    </row>
    <row r="450" spans="1:10" s="1" customFormat="1" ht="15.9" customHeight="1">
      <c r="A450" s="109"/>
      <c r="B450"/>
      <c r="C450"/>
      <c r="D450" s="81"/>
      <c r="E450"/>
      <c r="F450"/>
      <c r="G450"/>
      <c r="H450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44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1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163"/>
      <c r="D456" s="161"/>
      <c r="E456" s="109"/>
      <c r="F456" s="161"/>
      <c r="G456" s="109"/>
      <c r="H456" s="109"/>
      <c r="I456" s="109"/>
      <c r="J456" s="24"/>
    </row>
    <row r="457" spans="1:10" s="1" customFormat="1" ht="15.9" customHeight="1">
      <c r="A457" s="109"/>
      <c r="B457" s="33"/>
      <c r="C457" s="161"/>
      <c r="D457" s="161"/>
      <c r="E457" s="109"/>
      <c r="F457" s="161"/>
      <c r="G457" s="109"/>
      <c r="H457" s="109"/>
      <c r="I457" s="24"/>
      <c r="J457" s="24"/>
    </row>
    <row r="458" spans="1:10" s="1" customFormat="1" ht="15.9" customHeight="1">
      <c r="A458" s="109"/>
      <c r="B458" s="33"/>
      <c r="C458" s="33"/>
      <c r="D458" s="161"/>
      <c r="E458" s="109"/>
      <c r="F458" s="109"/>
      <c r="G458" s="109"/>
      <c r="H458" s="109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7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" customHeight="1">
      <c r="A476" s="109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23" customFormat="1" ht="15.9" customHeight="1">
      <c r="A477" s="109"/>
      <c r="B477" s="33"/>
      <c r="C477" s="33"/>
      <c r="D477" s="161"/>
      <c r="E477" s="109"/>
      <c r="F477" s="109"/>
      <c r="G477" s="109"/>
      <c r="H477" s="109"/>
      <c r="I477" s="109"/>
      <c r="J477" s="109"/>
    </row>
    <row r="478" spans="1:10" s="1" customFormat="1" ht="15.9" customHeight="1">
      <c r="A478" s="44"/>
      <c r="B478" s="33"/>
      <c r="C478" s="33"/>
      <c r="D478" s="161"/>
      <c r="E478" s="109"/>
      <c r="F478" s="109"/>
      <c r="G478" s="109"/>
      <c r="H478" s="109"/>
      <c r="I478" s="44"/>
      <c r="J478" s="119"/>
    </row>
    <row r="479" spans="1:10" s="1" customFormat="1" ht="15.9" customHeight="1">
      <c r="A479" s="40"/>
      <c r="B479" s="44"/>
      <c r="C479" s="44"/>
      <c r="D479" s="84"/>
      <c r="E479" s="44"/>
      <c r="F479" s="44"/>
      <c r="G479" s="44"/>
      <c r="H479" s="44"/>
      <c r="I479" s="32"/>
      <c r="J479" s="40"/>
    </row>
    <row r="480" spans="1:10" s="1" customFormat="1" ht="15.9" customHeight="1">
      <c r="A480" s="27"/>
      <c r="B480" s="40"/>
      <c r="C480" s="44"/>
      <c r="D480" s="85"/>
      <c r="E480" s="40"/>
      <c r="F480" s="32"/>
      <c r="G480" s="40"/>
      <c r="H480" s="32"/>
      <c r="I480" s="24"/>
      <c r="J480" s="24"/>
    </row>
    <row r="481" spans="1:10" s="1" customFormat="1" ht="15.9" customHeight="1">
      <c r="A481" s="27"/>
      <c r="B481" s="33"/>
      <c r="C481" s="42"/>
      <c r="D481" s="161"/>
      <c r="E481" s="109"/>
      <c r="F481" s="109"/>
      <c r="G481" s="109"/>
      <c r="H481" s="42"/>
      <c r="I481" s="67"/>
      <c r="J481" s="165"/>
    </row>
    <row r="482" spans="1:10" s="1" customFormat="1" ht="15.9" customHeight="1">
      <c r="A482" s="27"/>
      <c r="B482" s="33"/>
      <c r="C482" s="163"/>
      <c r="D482" s="161"/>
      <c r="E482" s="109"/>
      <c r="F482" s="109"/>
      <c r="G482" s="109"/>
      <c r="H482" s="67"/>
      <c r="I482" s="38"/>
      <c r="J482" s="109"/>
    </row>
    <row r="483" spans="1:10" s="1" customFormat="1" ht="15.9" customHeight="1">
      <c r="A483" s="27"/>
      <c r="B483" s="33"/>
      <c r="C483" s="161"/>
      <c r="D483" s="161"/>
      <c r="E483" s="109"/>
      <c r="F483" s="109"/>
      <c r="G483" s="109"/>
      <c r="H483" s="38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46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161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D495" s="161"/>
      <c r="E495" s="109"/>
      <c r="F495" s="109"/>
      <c r="G495" s="33"/>
      <c r="H495" s="33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42"/>
      <c r="I499" s="67"/>
      <c r="J499" s="165"/>
    </row>
    <row r="500" spans="1:10" s="1" customFormat="1" ht="15.9" customHeight="1">
      <c r="A500" s="27"/>
      <c r="B500" s="33"/>
      <c r="C500" s="47"/>
      <c r="D500" s="161"/>
      <c r="E500" s="109"/>
      <c r="F500" s="109"/>
      <c r="G500" s="109"/>
      <c r="H500" s="67"/>
      <c r="I500" s="38"/>
      <c r="J500" s="109"/>
    </row>
    <row r="501" spans="1:10" s="1" customFormat="1" ht="15.9" customHeight="1">
      <c r="A501" s="27"/>
      <c r="B501" s="33"/>
      <c r="C501" s="46"/>
      <c r="D501" s="161"/>
      <c r="E501" s="109"/>
      <c r="F501" s="109"/>
      <c r="G501" s="109"/>
      <c r="H501" s="38"/>
      <c r="I501" s="24"/>
      <c r="J501" s="24"/>
    </row>
    <row r="502" spans="1:10" s="1" customFormat="1" ht="15.9" customHeight="1">
      <c r="A502" s="27"/>
      <c r="B502" s="33"/>
      <c r="C502" s="161"/>
      <c r="D502" s="161"/>
      <c r="E502" s="109"/>
      <c r="F502" s="109"/>
      <c r="G502" s="109"/>
      <c r="H502" s="42"/>
      <c r="I502" s="67"/>
      <c r="J502" s="165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67"/>
      <c r="I503" s="38"/>
      <c r="J503" s="109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38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43"/>
      <c r="J510" s="107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43"/>
      <c r="J511" s="107"/>
    </row>
    <row r="512" spans="1:10" s="1" customFormat="1" ht="15.9" customHeight="1">
      <c r="A512" s="44"/>
      <c r="B512" s="44"/>
      <c r="C512" s="44"/>
      <c r="D512" s="84"/>
      <c r="E512" s="44"/>
      <c r="F512" s="44"/>
      <c r="G512" s="44"/>
      <c r="H512" s="44"/>
      <c r="I512" s="44"/>
      <c r="J512" s="119"/>
    </row>
    <row r="513" spans="1:22" s="1" customFormat="1" ht="15.9" customHeight="1">
      <c r="A513" s="44"/>
      <c r="B513" s="44"/>
      <c r="C513" s="44"/>
      <c r="D513" s="84"/>
      <c r="E513" s="44"/>
      <c r="F513" s="44"/>
      <c r="G513" s="44"/>
      <c r="H513" s="44"/>
      <c r="I513" s="44"/>
      <c r="J513" s="119"/>
    </row>
    <row r="514" spans="1:22" s="1" customFormat="1" ht="15.9" customHeight="1">
      <c r="A514" s="44"/>
      <c r="B514" s="44"/>
      <c r="C514" s="44"/>
      <c r="D514" s="84"/>
      <c r="E514" s="44"/>
      <c r="F514" s="44"/>
      <c r="G514" s="44"/>
      <c r="H514" s="44"/>
      <c r="I514" s="44"/>
      <c r="J514" s="119"/>
    </row>
    <row r="515" spans="1:22" s="1" customFormat="1" ht="15.9" customHeight="1">
      <c r="A515" s="44"/>
      <c r="B515" s="44"/>
      <c r="C515" s="44"/>
      <c r="D515" s="84"/>
      <c r="E515" s="44"/>
      <c r="F515" s="44"/>
      <c r="G515" s="44"/>
      <c r="H515" s="44"/>
      <c r="I515" s="44"/>
      <c r="J515" s="119"/>
    </row>
    <row r="516" spans="1:22" s="1" customFormat="1" ht="15.9" customHeight="1">
      <c r="B516" s="44"/>
      <c r="C516" s="44"/>
      <c r="D516" s="84"/>
      <c r="E516" s="44"/>
      <c r="F516" s="44"/>
      <c r="G516" s="44"/>
      <c r="H516" s="44"/>
    </row>
    <row r="517" spans="1:22" s="1" customFormat="1" ht="15.9" customHeight="1" thickBot="1"/>
    <row r="518" spans="1:22" s="1" customFormat="1" ht="24.9" customHeight="1" thickBot="1">
      <c r="A518" s="502" t="s">
        <v>401</v>
      </c>
      <c r="B518" s="503"/>
      <c r="C518" s="503"/>
      <c r="D518" s="503"/>
      <c r="E518" s="503"/>
      <c r="F518" s="503"/>
      <c r="G518" s="503"/>
      <c r="H518" s="503"/>
      <c r="I518" s="503"/>
      <c r="J518" s="504"/>
    </row>
    <row r="519" spans="1:22" s="1" customFormat="1" ht="35.1" customHeight="1" thickBot="1">
      <c r="A519" s="146" t="s">
        <v>2</v>
      </c>
      <c r="B519" s="147" t="s">
        <v>3</v>
      </c>
      <c r="C519" s="103" t="s">
        <v>3</v>
      </c>
      <c r="D519" s="104" t="s">
        <v>35</v>
      </c>
      <c r="E519" s="103" t="s">
        <v>5</v>
      </c>
      <c r="F519" s="252" t="s">
        <v>27</v>
      </c>
      <c r="G519" s="305"/>
      <c r="H519" s="104" t="s">
        <v>27</v>
      </c>
      <c r="I519" s="104" t="s">
        <v>26</v>
      </c>
      <c r="J519" s="115" t="s">
        <v>6</v>
      </c>
      <c r="N519" s="249" t="s">
        <v>3</v>
      </c>
      <c r="O519" s="249" t="s">
        <v>3</v>
      </c>
    </row>
    <row r="520" spans="1:22" s="1" customFormat="1" ht="15.9" customHeight="1">
      <c r="A520" s="150">
        <f>IF(C520="","",1)</f>
        <v>1</v>
      </c>
      <c r="B520" s="121" t="str">
        <f>IF($D$127=5,N520,IF($D$127=6,N521,IF($D$127=8,N522,IF($D$127=10,N523,IF($D$127=12,N524,IF($D$127=14,N525,IF($D$127=18,N526,IF($D$127=20,N527,IF($D$127=22,N528,)))))))))</f>
        <v>กระจก 8 mm (สูง) (กว้าง)</v>
      </c>
      <c r="C520" s="121" t="str">
        <f>IF($D$127=5,O520,IF($D$127=6,O521,IF($D$127=8,O522,IF($D$127=10,O523,IF($D$127=12,O524,IF($D$127=14,O525,IF($D$127=18,O526,IF($D$127=20,O527,IF($D$127=22,O528,)))))))))</f>
        <v>GLASS thk.8 mm (H) (W)</v>
      </c>
      <c r="D520" s="124">
        <f>$J$123-215</f>
        <v>1785</v>
      </c>
      <c r="E520" s="123" t="s">
        <v>11</v>
      </c>
      <c r="F520" s="527" t="s">
        <v>271</v>
      </c>
      <c r="G520" s="528"/>
      <c r="H520" s="123" t="s">
        <v>303</v>
      </c>
      <c r="I520" s="124">
        <f>(($J$126-185-(113.25*8))/9)-13</f>
        <v>88</v>
      </c>
      <c r="J520" s="299">
        <f>$J$120*9</f>
        <v>9</v>
      </c>
      <c r="M520" s="1">
        <f>ROW()</f>
        <v>520</v>
      </c>
      <c r="N520" s="19" t="s">
        <v>194</v>
      </c>
      <c r="O520" s="19" t="s">
        <v>195</v>
      </c>
    </row>
    <row r="521" spans="1:22" s="1" customFormat="1" ht="15.9" customHeight="1">
      <c r="A521" s="152"/>
      <c r="B521" s="127"/>
      <c r="C521" s="127"/>
      <c r="D521" s="128" t="s">
        <v>0</v>
      </c>
      <c r="E521" s="129"/>
      <c r="F521" s="155"/>
      <c r="G521" s="156"/>
      <c r="H521" s="127"/>
      <c r="I521" s="130"/>
      <c r="J521" s="153"/>
      <c r="M521" s="1">
        <f>ROW()</f>
        <v>521</v>
      </c>
      <c r="N521" s="19" t="s">
        <v>53</v>
      </c>
      <c r="O521" s="19" t="s">
        <v>54</v>
      </c>
    </row>
    <row r="522" spans="1:22" s="1" customFormat="1" ht="15.9" customHeight="1">
      <c r="A522" s="152"/>
      <c r="B522" s="127"/>
      <c r="C522" s="127"/>
      <c r="D522" s="128"/>
      <c r="E522" s="129"/>
      <c r="F522" s="155"/>
      <c r="G522" s="156"/>
      <c r="H522" s="129"/>
      <c r="I522" s="130"/>
      <c r="J522" s="153"/>
      <c r="M522" s="1">
        <f>ROW()</f>
        <v>522</v>
      </c>
      <c r="N522" s="19" t="s">
        <v>257</v>
      </c>
      <c r="O522" s="19" t="s">
        <v>258</v>
      </c>
    </row>
    <row r="523" spans="1:22" s="1" customFormat="1" ht="15.9" customHeight="1">
      <c r="A523" s="129" t="str">
        <f>IF(B523="","",+A521+1)</f>
        <v/>
      </c>
      <c r="B523" s="127"/>
      <c r="C523" s="127"/>
      <c r="D523" s="128"/>
      <c r="E523" s="129"/>
      <c r="F523" s="155"/>
      <c r="G523" s="157"/>
      <c r="H523" s="129"/>
      <c r="I523" s="144"/>
      <c r="J523" s="130"/>
      <c r="M523" s="1">
        <f>ROW()</f>
        <v>523</v>
      </c>
      <c r="N523" s="19" t="s">
        <v>259</v>
      </c>
      <c r="O523" s="19" t="s">
        <v>265</v>
      </c>
    </row>
    <row r="524" spans="1:22" s="1" customFormat="1" ht="15.9" customHeight="1">
      <c r="A524" s="135" t="str">
        <f>IF(B524="","",+A523+1)</f>
        <v/>
      </c>
      <c r="B524" s="133"/>
      <c r="C524" s="133"/>
      <c r="D524" s="134"/>
      <c r="E524" s="135"/>
      <c r="F524" s="158"/>
      <c r="G524" s="159"/>
      <c r="H524" s="135"/>
      <c r="I524" s="145"/>
      <c r="J524" s="136"/>
      <c r="M524" s="1">
        <f>ROW()</f>
        <v>524</v>
      </c>
      <c r="N524" s="19" t="s">
        <v>260</v>
      </c>
      <c r="O524" s="19" t="s">
        <v>266</v>
      </c>
    </row>
    <row r="525" spans="1:22" s="1" customFormat="1" ht="15.9" customHeight="1">
      <c r="A525" s="17"/>
      <c r="B525" s="56"/>
      <c r="C525" s="56"/>
      <c r="D525" s="30"/>
      <c r="E525" s="17"/>
      <c r="F525" s="17"/>
      <c r="G525" s="17"/>
      <c r="H525" s="109"/>
      <c r="I525" s="109"/>
      <c r="J525" s="24"/>
      <c r="M525" s="1">
        <f>ROW()</f>
        <v>525</v>
      </c>
      <c r="N525" s="19" t="s">
        <v>261</v>
      </c>
      <c r="O525" s="19" t="s">
        <v>267</v>
      </c>
    </row>
    <row r="526" spans="1:22">
      <c r="H526" s="294"/>
      <c r="I526" s="294"/>
      <c r="J526" s="99" t="str">
        <f>LEFT($J$111,13)&amp;"-05"</f>
        <v>FG-240-9P3L6R-05</v>
      </c>
      <c r="M526" s="1">
        <f>ROW()</f>
        <v>526</v>
      </c>
      <c r="N526" s="19" t="s">
        <v>262</v>
      </c>
      <c r="O526" s="19" t="s">
        <v>268</v>
      </c>
      <c r="P526" s="1"/>
      <c r="Q526" s="1"/>
      <c r="R526" s="1"/>
      <c r="S526" s="1"/>
      <c r="T526" s="1"/>
      <c r="U526" s="1"/>
      <c r="V526" s="1"/>
    </row>
    <row r="527" spans="1:22">
      <c r="M527" s="1">
        <f>ROW()</f>
        <v>527</v>
      </c>
      <c r="N527" s="19" t="s">
        <v>263</v>
      </c>
      <c r="O527" s="19" t="s">
        <v>269</v>
      </c>
      <c r="P527" s="1"/>
      <c r="Q527" s="1"/>
      <c r="R527" s="1"/>
      <c r="S527" s="1"/>
      <c r="T527" s="1"/>
      <c r="U527" s="1"/>
      <c r="V527" s="1"/>
    </row>
    <row r="528" spans="1:22">
      <c r="M528" s="1">
        <f>ROW()</f>
        <v>528</v>
      </c>
      <c r="N528" s="19" t="s">
        <v>264</v>
      </c>
      <c r="O528" s="19" t="s">
        <v>270</v>
      </c>
      <c r="P528" s="1"/>
      <c r="Q528" s="1"/>
      <c r="R528" s="1"/>
      <c r="S528" s="1"/>
      <c r="T528" s="1"/>
      <c r="U528" s="1"/>
      <c r="V528" s="1"/>
    </row>
  </sheetData>
  <sheetProtection selectLockedCells="1" selectUnlockedCells="1"/>
  <dataConsolidate function="product">
    <dataRefs count="1">
      <dataRef ref="N129:N131" sheet="240_7Panel(6L1R)" r:id="rId1"/>
    </dataRefs>
  </dataConsolidate>
  <mergeCells count="46">
    <mergeCell ref="A171:J171"/>
    <mergeCell ref="D157:D158"/>
    <mergeCell ref="H157:H158"/>
    <mergeCell ref="I157:J158"/>
    <mergeCell ref="I159:J159"/>
    <mergeCell ref="I166:J166"/>
    <mergeCell ref="I160:J163"/>
    <mergeCell ref="I164:J165"/>
    <mergeCell ref="D159:D160"/>
    <mergeCell ref="D161:D166"/>
    <mergeCell ref="D167:D168"/>
    <mergeCell ref="D169:D170"/>
    <mergeCell ref="H161:H166"/>
    <mergeCell ref="H159:H160"/>
    <mergeCell ref="H167:H168"/>
    <mergeCell ref="H169:H170"/>
    <mergeCell ref="I153:J153"/>
    <mergeCell ref="I154:J154"/>
    <mergeCell ref="D129:G129"/>
    <mergeCell ref="H126:I127"/>
    <mergeCell ref="J126:J127"/>
    <mergeCell ref="I155:J155"/>
    <mergeCell ref="I156:J156"/>
    <mergeCell ref="D123:G123"/>
    <mergeCell ref="D125:G125"/>
    <mergeCell ref="A6:J6"/>
    <mergeCell ref="H120:I121"/>
    <mergeCell ref="J120:J121"/>
    <mergeCell ref="A117:J117"/>
    <mergeCell ref="D119:G119"/>
    <mergeCell ref="D121:G121"/>
    <mergeCell ref="A125:B125"/>
    <mergeCell ref="H123:I124"/>
    <mergeCell ref="J123:J124"/>
    <mergeCell ref="D127:G127"/>
    <mergeCell ref="A131:J131"/>
    <mergeCell ref="I152:J152"/>
    <mergeCell ref="F520:G520"/>
    <mergeCell ref="A518:J518"/>
    <mergeCell ref="A427:J427"/>
    <mergeCell ref="A320:J320"/>
    <mergeCell ref="A213:J213"/>
    <mergeCell ref="F331:G331"/>
    <mergeCell ref="F334:G334"/>
    <mergeCell ref="F330:G330"/>
    <mergeCell ref="C308:E308"/>
  </mergeCells>
  <dataValidations count="4">
    <dataValidation type="list" allowBlank="1" showInputMessage="1" showErrorMessage="1" sqref="C206">
      <formula1>$O$173:$O$191</formula1>
    </dataValidation>
    <dataValidation type="list" allowBlank="1" showInputMessage="1" showErrorMessage="1" sqref="D123:G123">
      <formula1>$P$118:$P$127</formula1>
    </dataValidation>
    <dataValidation type="list" allowBlank="1" showInputMessage="1" showErrorMessage="1" sqref="D127:G127">
      <formula1>$N$119:$N$127</formula1>
    </dataValidation>
    <dataValidation type="list" allowBlank="1" showInputMessage="1" showErrorMessage="1" sqref="D129:G129">
      <formula1>$O$119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16383" man="1"/>
    <brk id="421" max="9" man="1"/>
  </rowBreaks>
  <drawing r:id="rId3"/>
  <legacyDrawing r:id="rId4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1">
    <tabColor theme="5" tint="-0.249977111117893"/>
  </sheetPr>
  <dimension ref="A1:Y529"/>
  <sheetViews>
    <sheetView showGridLines="0" view="pageBreakPreview" topLeftCell="A112" zoomScale="75" zoomScaleNormal="75" zoomScaleSheetLayoutView="75" workbookViewId="0">
      <selection activeCell="I135" sqref="I135"/>
    </sheetView>
  </sheetViews>
  <sheetFormatPr defaultRowHeight="14.4" outlineLevelRow="1" outlineLevelCol="1"/>
  <cols>
    <col min="1" max="1" width="7" customWidth="1"/>
    <col min="2" max="2" width="40.6640625" customWidth="1"/>
    <col min="3" max="3" width="57.664062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6.6640625" customWidth="1"/>
    <col min="9" max="9" width="15.109375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19.88671875" hidden="1" customWidth="1" outlineLevel="1"/>
    <col min="22" max="22" width="12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55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55"/>
      <c r="E3" s="255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203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/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>
      <c r="G55" s="10"/>
    </row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353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55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55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81" t="s">
        <v>31</v>
      </c>
      <c r="B117" s="582"/>
      <c r="C117" s="582"/>
      <c r="D117" s="582"/>
      <c r="E117" s="582"/>
      <c r="F117" s="582"/>
      <c r="G117" s="582"/>
      <c r="H117" s="582"/>
      <c r="I117" s="582"/>
      <c r="J117" s="583"/>
      <c r="K117" s="11"/>
      <c r="L117" s="4"/>
      <c r="M117" s="4"/>
      <c r="N117" s="4"/>
    </row>
    <row r="118" spans="1:16" s="1" customFormat="1" ht="18">
      <c r="A118" s="12"/>
      <c r="C118" s="8"/>
      <c r="D118" s="15"/>
      <c r="E118" s="13"/>
      <c r="J118" s="257"/>
      <c r="K118" s="11"/>
      <c r="L118" s="56"/>
      <c r="M118" s="56"/>
      <c r="N118" s="243" t="s">
        <v>191</v>
      </c>
      <c r="O118" s="12" t="s">
        <v>227</v>
      </c>
      <c r="P118" s="247" t="s">
        <v>16</v>
      </c>
    </row>
    <row r="119" spans="1:16" s="1" customFormat="1" ht="15" customHeight="1">
      <c r="A119" s="12"/>
      <c r="C119" s="110" t="s">
        <v>635</v>
      </c>
      <c r="D119" s="524"/>
      <c r="E119" s="525"/>
      <c r="F119" s="525"/>
      <c r="G119" s="526"/>
      <c r="I119" s="16"/>
      <c r="J119" s="12"/>
      <c r="N119" s="244">
        <v>5</v>
      </c>
      <c r="O119" s="12" t="s">
        <v>243</v>
      </c>
      <c r="P119" s="335" t="s">
        <v>389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5">
        <v>6</v>
      </c>
      <c r="O120" s="12" t="s">
        <v>244</v>
      </c>
      <c r="P120" s="336" t="s">
        <v>390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8</v>
      </c>
      <c r="P121" s="336" t="s">
        <v>391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10</v>
      </c>
      <c r="P122" s="336" t="s">
        <v>392</v>
      </c>
    </row>
    <row r="123" spans="1:16" s="1" customFormat="1" ht="15" customHeight="1">
      <c r="A123" s="12"/>
      <c r="C123" s="110" t="s">
        <v>629</v>
      </c>
      <c r="D123" s="524" t="s">
        <v>15</v>
      </c>
      <c r="E123" s="525"/>
      <c r="F123" s="525"/>
      <c r="G123" s="526"/>
      <c r="H123" s="519" t="s">
        <v>638</v>
      </c>
      <c r="I123" s="520"/>
      <c r="J123" s="517">
        <v>2500</v>
      </c>
      <c r="N123" s="245">
        <v>12</v>
      </c>
      <c r="P123" s="335" t="s">
        <v>393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14</v>
      </c>
      <c r="P124" s="335" t="s">
        <v>394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256"/>
      <c r="L125" s="77"/>
      <c r="N125" s="245">
        <v>18</v>
      </c>
      <c r="P125" s="335" t="s">
        <v>395</v>
      </c>
    </row>
    <row r="126" spans="1:16" s="1" customFormat="1" ht="15" customHeight="1">
      <c r="A126" s="257"/>
      <c r="B126" s="257"/>
      <c r="C126" s="423" t="s">
        <v>631</v>
      </c>
      <c r="D126" s="15"/>
      <c r="H126" s="519" t="s">
        <v>639</v>
      </c>
      <c r="I126" s="520"/>
      <c r="J126" s="517">
        <v>5000</v>
      </c>
      <c r="K126" s="256"/>
      <c r="L126" s="77"/>
      <c r="N126" s="245">
        <v>20</v>
      </c>
      <c r="P126" s="335" t="s">
        <v>396</v>
      </c>
    </row>
    <row r="127" spans="1:16" s="1" customFormat="1" ht="15" customHeight="1">
      <c r="A127" s="257"/>
      <c r="B127" s="257"/>
      <c r="C127" s="110" t="s">
        <v>633</v>
      </c>
      <c r="D127" s="534">
        <v>8</v>
      </c>
      <c r="E127" s="535"/>
      <c r="F127" s="535"/>
      <c r="G127" s="536"/>
      <c r="H127" s="520"/>
      <c r="I127" s="520"/>
      <c r="J127" s="518"/>
      <c r="N127" s="245">
        <v>22</v>
      </c>
      <c r="P127" s="335" t="s">
        <v>397</v>
      </c>
    </row>
    <row r="128" spans="1:16" s="1" customFormat="1" ht="18.75" customHeight="1">
      <c r="C128" s="423" t="s">
        <v>632</v>
      </c>
      <c r="I128" s="12"/>
      <c r="J128" s="12"/>
    </row>
    <row r="129" spans="1:23" s="1" customFormat="1" ht="15" customHeight="1">
      <c r="A129" s="88" t="str">
        <f>A18</f>
        <v>240-9 Panel (4L5R)</v>
      </c>
      <c r="C129" s="110" t="s">
        <v>242</v>
      </c>
      <c r="D129" s="537" t="s">
        <v>244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4940</v>
      </c>
      <c r="J133" s="125">
        <f t="shared" ref="J133:J151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18</v>
      </c>
      <c r="U133" s="283" t="s">
        <v>302</v>
      </c>
      <c r="V133" s="285">
        <f>($J$126-185-(113.25*8))/9</f>
        <v>434.33333333333331</v>
      </c>
      <c r="W133" s="286">
        <f>$J$120*T133</f>
        <v>18</v>
      </c>
    </row>
    <row r="134" spans="1:23" s="1" customFormat="1" ht="18" customHeight="1">
      <c r="A134" s="143">
        <f t="shared" ref="A134:A150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4914</v>
      </c>
      <c r="J134" s="131">
        <f t="shared" ref="J134:J139" si="2"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18</v>
      </c>
      <c r="U134" s="129" t="s">
        <v>302</v>
      </c>
      <c r="V134" s="144">
        <f>($J$126-185-(113.25*8))/9</f>
        <v>434.33333333333331</v>
      </c>
      <c r="W134" s="131">
        <f t="shared" ref="W134:W135" si="3">$J$120*T134</f>
        <v>18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4940</v>
      </c>
      <c r="J135" s="131">
        <f t="shared" si="2"/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18</v>
      </c>
      <c r="U135" s="135" t="s">
        <v>302</v>
      </c>
      <c r="V135" s="145">
        <f>($J$126-185-(113.25*8))/9</f>
        <v>434.33333333333331</v>
      </c>
      <c r="W135" s="293">
        <f t="shared" si="3"/>
        <v>18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4940</v>
      </c>
      <c r="J136" s="131">
        <f t="shared" si="2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18</v>
      </c>
      <c r="U136" s="283" t="s">
        <v>64</v>
      </c>
      <c r="V136" s="288">
        <f>$J$123-242</f>
        <v>2258</v>
      </c>
      <c r="W136" s="286">
        <f>$J$120*T136</f>
        <v>18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2500</v>
      </c>
      <c r="J137" s="131">
        <f t="shared" si="2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18</v>
      </c>
      <c r="U137" s="129" t="s">
        <v>64</v>
      </c>
      <c r="V137" s="130">
        <f>$J$123-242</f>
        <v>2258</v>
      </c>
      <c r="W137" s="131">
        <f t="shared" ref="W137:W138" si="4">$J$120*T137</f>
        <v>18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2500</v>
      </c>
      <c r="J138" s="131">
        <f t="shared" si="2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18</v>
      </c>
      <c r="U138" s="135" t="s">
        <v>64</v>
      </c>
      <c r="V138" s="136">
        <f>$J$123-242</f>
        <v>2258</v>
      </c>
      <c r="W138" s="293">
        <f t="shared" si="4"/>
        <v>18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2404</v>
      </c>
      <c r="J139" s="131">
        <f t="shared" si="2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2404</v>
      </c>
      <c r="J140" s="131">
        <f t="shared" ref="J140" si="5">$J$120*G140</f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9</v>
      </c>
      <c r="H141" s="268" t="s">
        <v>302</v>
      </c>
      <c r="I141" s="178">
        <f>($J$126-185-(113.25*8))/9</f>
        <v>434.33333333333331</v>
      </c>
      <c r="J141" s="131">
        <f t="shared" ref="J141:J150" si="6">$J$120*G141</f>
        <v>9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9</v>
      </c>
      <c r="H142" s="143" t="s">
        <v>302</v>
      </c>
      <c r="I142" s="178">
        <f>($J$126-185-(113.25*8))/9</f>
        <v>434.33333333333331</v>
      </c>
      <c r="J142" s="131">
        <f t="shared" si="6"/>
        <v>9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13</v>
      </c>
      <c r="H143" s="143" t="s">
        <v>63</v>
      </c>
      <c r="I143" s="130">
        <f>$J$123-92</f>
        <v>2408</v>
      </c>
      <c r="J143" s="131">
        <f t="shared" si="6"/>
        <v>13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2</v>
      </c>
      <c r="H144" s="143" t="s">
        <v>63</v>
      </c>
      <c r="I144" s="130">
        <f>$J$123-92</f>
        <v>2408</v>
      </c>
      <c r="J144" s="131">
        <f t="shared" si="6"/>
        <v>2</v>
      </c>
      <c r="N144" s="98"/>
    </row>
    <row r="145" spans="1:14" s="1" customFormat="1" ht="18" customHeight="1">
      <c r="A145" s="143">
        <f t="shared" si="1"/>
        <v>13</v>
      </c>
      <c r="B145" s="140" t="s">
        <v>8</v>
      </c>
      <c r="C145" s="140" t="s">
        <v>58</v>
      </c>
      <c r="D145" s="139" t="s">
        <v>50</v>
      </c>
      <c r="E145" s="143">
        <v>1.1060000000000001</v>
      </c>
      <c r="F145" s="139" t="s">
        <v>496</v>
      </c>
      <c r="G145" s="143">
        <v>2</v>
      </c>
      <c r="H145" s="143" t="s">
        <v>63</v>
      </c>
      <c r="I145" s="130">
        <f>$J$123-92</f>
        <v>2408</v>
      </c>
      <c r="J145" s="131">
        <f t="shared" si="6"/>
        <v>2</v>
      </c>
      <c r="N145" s="98"/>
    </row>
    <row r="146" spans="1:14" s="1" customFormat="1" ht="18" customHeight="1">
      <c r="A146" s="143">
        <f t="shared" si="1"/>
        <v>14</v>
      </c>
      <c r="B146" s="140" t="s">
        <v>116</v>
      </c>
      <c r="C146" s="140" t="s">
        <v>99</v>
      </c>
      <c r="D146" s="139" t="s">
        <v>50</v>
      </c>
      <c r="E146" s="143">
        <v>1.1060000000000001</v>
      </c>
      <c r="F146" s="139" t="s">
        <v>507</v>
      </c>
      <c r="G146" s="143">
        <v>1</v>
      </c>
      <c r="H146" s="143" t="s">
        <v>63</v>
      </c>
      <c r="I146" s="130">
        <f>$J$123-92</f>
        <v>2408</v>
      </c>
      <c r="J146" s="131">
        <f t="shared" si="6"/>
        <v>1</v>
      </c>
      <c r="N146" s="98"/>
    </row>
    <row r="147" spans="1:14" s="1" customFormat="1" ht="18" customHeight="1">
      <c r="A147" s="143">
        <f t="shared" si="1"/>
        <v>15</v>
      </c>
      <c r="B147" s="140" t="str">
        <f t="shared" ref="B147:I147" si="7">IF($D$127=5,O133,IF($D$127=6,O133,IF($D$127=8,O134,IF($D$127=10,O134,IF($D$127=12,O134,IF($D$127=14,O135,IF($D$127=18,O135,IF($D$127=20,O135,IF($D$127=22,O135,)))))))))</f>
        <v>8-12mm คิ้วตบกระจกแนวนอน</v>
      </c>
      <c r="C147" s="140" t="str">
        <f t="shared" si="7"/>
        <v>8-12mm GLAZING BEAD HORIZONTAL</v>
      </c>
      <c r="D147" s="140" t="str">
        <f t="shared" si="7"/>
        <v>B24016</v>
      </c>
      <c r="E147" s="140">
        <f t="shared" si="7"/>
        <v>0.215</v>
      </c>
      <c r="F147" s="140" t="str">
        <f t="shared" si="7"/>
        <v>B24016-001</v>
      </c>
      <c r="G147" s="143">
        <f t="shared" si="7"/>
        <v>18</v>
      </c>
      <c r="H147" s="129" t="str">
        <f t="shared" si="7"/>
        <v>(W-185-(113.25 × 8))/9</v>
      </c>
      <c r="I147" s="178">
        <f t="shared" si="7"/>
        <v>434.33333333333331</v>
      </c>
      <c r="J147" s="131">
        <f t="shared" si="6"/>
        <v>18</v>
      </c>
      <c r="N147" s="98"/>
    </row>
    <row r="148" spans="1:14" s="1" customFormat="1" ht="18" customHeight="1">
      <c r="A148" s="143">
        <f t="shared" si="1"/>
        <v>16</v>
      </c>
      <c r="B148" s="140" t="str">
        <f t="shared" ref="B148:I148" si="8">IF($D$127=5,O136,IF($D$127=6,O136,IF($D$127=8,O137,IF($D$127=10,O137,IF($D$127=12,O137,IF($D$127=14,O138,IF($D$127=18,O138,IF($D$127=20,O138,IF($D$127=22,O138,)))))))))</f>
        <v>8-12mm คิ้วตบกระจกแนวตั้ง</v>
      </c>
      <c r="C148" s="140" t="str">
        <f t="shared" si="8"/>
        <v>8-12mm GLAZING BEAD VERTICAL</v>
      </c>
      <c r="D148" s="140" t="str">
        <f t="shared" si="8"/>
        <v>B24016</v>
      </c>
      <c r="E148" s="140">
        <f t="shared" si="8"/>
        <v>0.215</v>
      </c>
      <c r="F148" s="140" t="str">
        <f t="shared" si="8"/>
        <v>B24016-002</v>
      </c>
      <c r="G148" s="143">
        <f t="shared" si="8"/>
        <v>18</v>
      </c>
      <c r="H148" s="129" t="str">
        <f t="shared" si="8"/>
        <v>H-242</v>
      </c>
      <c r="I148" s="144">
        <f t="shared" si="8"/>
        <v>2258</v>
      </c>
      <c r="J148" s="131">
        <f t="shared" si="6"/>
        <v>18</v>
      </c>
      <c r="N148" s="98"/>
    </row>
    <row r="149" spans="1:14" s="1" customFormat="1" ht="18" customHeight="1">
      <c r="A149" s="143">
        <f t="shared" si="1"/>
        <v>17</v>
      </c>
      <c r="B149" s="140" t="s">
        <v>125</v>
      </c>
      <c r="C149" s="140" t="s">
        <v>124</v>
      </c>
      <c r="D149" s="139" t="s">
        <v>123</v>
      </c>
      <c r="E149" s="143"/>
      <c r="F149" s="139" t="s">
        <v>362</v>
      </c>
      <c r="G149" s="143">
        <v>1</v>
      </c>
      <c r="H149" s="143" t="s">
        <v>63</v>
      </c>
      <c r="I149" s="130">
        <f>$J$123-92</f>
        <v>2408</v>
      </c>
      <c r="J149" s="131">
        <f t="shared" si="6"/>
        <v>1</v>
      </c>
      <c r="N149" s="98"/>
    </row>
    <row r="150" spans="1:14" s="1" customFormat="1" ht="18" customHeight="1">
      <c r="A150" s="143">
        <f t="shared" si="1"/>
        <v>18</v>
      </c>
      <c r="B150" s="140" t="s">
        <v>125</v>
      </c>
      <c r="C150" s="140" t="s">
        <v>124</v>
      </c>
      <c r="D150" s="139" t="s">
        <v>123</v>
      </c>
      <c r="E150" s="143"/>
      <c r="F150" s="139" t="s">
        <v>363</v>
      </c>
      <c r="G150" s="143">
        <v>1</v>
      </c>
      <c r="H150" s="143" t="s">
        <v>63</v>
      </c>
      <c r="I150" s="130">
        <f>$J$123-92</f>
        <v>2408</v>
      </c>
      <c r="J150" s="131">
        <f t="shared" si="6"/>
        <v>1</v>
      </c>
      <c r="N150" s="98"/>
    </row>
    <row r="151" spans="1:14" s="1" customFormat="1" ht="18" customHeight="1" thickBot="1">
      <c r="A151" s="143" t="str">
        <f>IF(B151="","",+A140+1)</f>
        <v/>
      </c>
      <c r="B151" s="167"/>
      <c r="C151" s="167"/>
      <c r="D151" s="168"/>
      <c r="E151" s="166"/>
      <c r="F151" s="168"/>
      <c r="G151" s="166"/>
      <c r="H151" s="166"/>
      <c r="I151" s="171"/>
      <c r="J151" s="172">
        <f t="shared" si="0"/>
        <v>0</v>
      </c>
    </row>
    <row r="152" spans="1:14" s="1" customFormat="1" ht="27" outlineLevel="1" thickBot="1">
      <c r="A152" s="169" t="s">
        <v>2</v>
      </c>
      <c r="B152" s="169" t="s">
        <v>29</v>
      </c>
      <c r="C152" s="169" t="s">
        <v>3</v>
      </c>
      <c r="D152" s="169" t="s">
        <v>4</v>
      </c>
      <c r="E152" s="169" t="s">
        <v>5</v>
      </c>
      <c r="F152" s="177" t="s">
        <v>85</v>
      </c>
      <c r="G152" s="169" t="s">
        <v>22</v>
      </c>
      <c r="H152" s="170" t="s">
        <v>23</v>
      </c>
      <c r="I152" s="540"/>
      <c r="J152" s="541"/>
    </row>
    <row r="153" spans="1:14" s="1" customFormat="1" ht="15" customHeight="1" outlineLevel="1">
      <c r="A153" s="21">
        <f>IF(B153="","",1)</f>
        <v>1</v>
      </c>
      <c r="B153" s="173" t="str">
        <f t="shared" ref="B153:C159" si="9">B133</f>
        <v>เฟรมบน</v>
      </c>
      <c r="C153" s="173" t="str">
        <f t="shared" si="9"/>
        <v>HEAD</v>
      </c>
      <c r="D153" s="174" t="str">
        <f>VLOOKUP(C153,$C$133:$H$151,2,0)</f>
        <v>B24001</v>
      </c>
      <c r="E153" s="175">
        <f t="shared" ref="E153:E159" si="10">VLOOKUP(C153,$C$133:$H$151,3,0)</f>
        <v>1.603</v>
      </c>
      <c r="F153" s="353">
        <f>VLOOKUP(C153,$C$133:$J$151,7,0)</f>
        <v>4940</v>
      </c>
      <c r="G153" s="175">
        <f t="shared" ref="G153:G159" si="11">VLOOKUP(C153,$C$133:$J$151,8,0)</f>
        <v>1</v>
      </c>
      <c r="H153" s="191">
        <f>ROUNDUP((F153*G153)/6400,0)</f>
        <v>1</v>
      </c>
      <c r="I153" s="501"/>
      <c r="J153" s="501"/>
    </row>
    <row r="154" spans="1:14" s="1" customFormat="1" ht="15" customHeight="1" outlineLevel="1">
      <c r="A154" s="18">
        <f t="shared" ref="A154" si="12">IF(B154="","",+A153+1)</f>
        <v>2</v>
      </c>
      <c r="B154" s="173" t="str">
        <f t="shared" si="9"/>
        <v>บังใบบน</v>
      </c>
      <c r="C154" s="173" t="str">
        <f t="shared" si="9"/>
        <v>DOOR STOP HEAD</v>
      </c>
      <c r="D154" s="174" t="str">
        <f>VLOOKUP(C154,$C$133:$H$151,2,0)</f>
        <v>B24002</v>
      </c>
      <c r="E154" s="175">
        <f t="shared" si="10"/>
        <v>0.27800000000000002</v>
      </c>
      <c r="F154" s="353">
        <f t="shared" ref="F154:F159" si="13">VLOOKUP(C154,$C$133:$I$151,7,0)</f>
        <v>4914</v>
      </c>
      <c r="G154" s="175">
        <f t="shared" si="11"/>
        <v>1</v>
      </c>
      <c r="H154" s="192">
        <f>ROUNDUP((F154*G154)/6400,0)</f>
        <v>1</v>
      </c>
      <c r="I154" s="501"/>
      <c r="J154" s="501"/>
    </row>
    <row r="155" spans="1:14" s="1" customFormat="1" ht="15" customHeight="1" outlineLevel="1">
      <c r="A155" s="18">
        <f t="shared" ref="A155:A159" si="14">IF(B155="","",+A154+1)</f>
        <v>3</v>
      </c>
      <c r="B155" s="173" t="str">
        <f t="shared" si="9"/>
        <v xml:space="preserve">เฟรมล่าง </v>
      </c>
      <c r="C155" s="173" t="str">
        <f t="shared" si="9"/>
        <v>SILL</v>
      </c>
      <c r="D155" s="174" t="str">
        <f>VLOOKUP(C155,$C$133:$H$151,2,0)</f>
        <v>B24003</v>
      </c>
      <c r="E155" s="175">
        <f t="shared" si="10"/>
        <v>1.603</v>
      </c>
      <c r="F155" s="353">
        <f t="shared" si="13"/>
        <v>4940</v>
      </c>
      <c r="G155" s="175">
        <f t="shared" si="11"/>
        <v>1</v>
      </c>
      <c r="H155" s="192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si="14"/>
        <v>4</v>
      </c>
      <c r="B156" s="173" t="str">
        <f t="shared" si="9"/>
        <v>ตัวตับธรณี</v>
      </c>
      <c r="C156" s="173" t="str">
        <f t="shared" si="9"/>
        <v>DOOR STOP SILL</v>
      </c>
      <c r="D156" s="174" t="str">
        <f>VLOOKUP(C156,$C$133:$H$151,2,0)</f>
        <v>B24004</v>
      </c>
      <c r="E156" s="175">
        <f t="shared" si="10"/>
        <v>0.51600000000000001</v>
      </c>
      <c r="F156" s="353">
        <f t="shared" si="13"/>
        <v>4940</v>
      </c>
      <c r="G156" s="175">
        <f t="shared" si="11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si="14"/>
        <v>5</v>
      </c>
      <c r="B157" s="173" t="str">
        <f t="shared" si="9"/>
        <v>เฟรมข้าง (ซ้าย)</v>
      </c>
      <c r="C157" s="173" t="str">
        <f t="shared" si="9"/>
        <v>JAMB (L)</v>
      </c>
      <c r="D157" s="508" t="str">
        <f>VLOOKUP(C157,$C$133:$H$151,2,0)</f>
        <v>B24005</v>
      </c>
      <c r="E157" s="175">
        <f t="shared" si="10"/>
        <v>0.89300000000000002</v>
      </c>
      <c r="F157" s="353">
        <f t="shared" si="13"/>
        <v>2500</v>
      </c>
      <c r="G157" s="175">
        <f t="shared" si="11"/>
        <v>1</v>
      </c>
      <c r="H157" s="516">
        <f>ROUNDUP(((F157*G157)+(F158*G158))/6400,0)</f>
        <v>1</v>
      </c>
      <c r="I157" s="506"/>
      <c r="J157" s="506"/>
    </row>
    <row r="158" spans="1:14" s="1" customFormat="1" ht="15" customHeight="1" outlineLevel="1">
      <c r="A158" s="18">
        <f t="shared" si="14"/>
        <v>6</v>
      </c>
      <c r="B158" s="173" t="str">
        <f t="shared" si="9"/>
        <v>เฟรมข้าง (ขวา)</v>
      </c>
      <c r="C158" s="173" t="str">
        <f t="shared" si="9"/>
        <v>JAMB (R)</v>
      </c>
      <c r="D158" s="509"/>
      <c r="E158" s="175">
        <f t="shared" si="10"/>
        <v>0.89300000000000002</v>
      </c>
      <c r="F158" s="353">
        <f t="shared" si="13"/>
        <v>2500</v>
      </c>
      <c r="G158" s="175">
        <f t="shared" si="11"/>
        <v>1</v>
      </c>
      <c r="H158" s="516"/>
      <c r="I158" s="506"/>
      <c r="J158" s="506"/>
    </row>
    <row r="159" spans="1:14" s="1" customFormat="1" ht="15" customHeight="1" outlineLevel="1">
      <c r="A159" s="18">
        <f t="shared" si="14"/>
        <v>7</v>
      </c>
      <c r="B159" s="173" t="str">
        <f t="shared" si="9"/>
        <v>บังใบข้าง (ซ้าย)</v>
      </c>
      <c r="C159" s="173" t="str">
        <f t="shared" si="9"/>
        <v>DOOR STOP JAMB (L)</v>
      </c>
      <c r="D159" s="508" t="str">
        <f>VLOOKUP(C159,$C$133:$H$151,2,0)</f>
        <v>B24006</v>
      </c>
      <c r="E159" s="175">
        <f t="shared" si="10"/>
        <v>0.23499999999999999</v>
      </c>
      <c r="F159" s="353">
        <f t="shared" si="13"/>
        <v>2404</v>
      </c>
      <c r="G159" s="175">
        <f t="shared" si="11"/>
        <v>1</v>
      </c>
      <c r="H159" s="516">
        <f>ROUNDUP(((F159*G159)+(F160*G160))/6400,0)</f>
        <v>1</v>
      </c>
      <c r="I159" s="501"/>
      <c r="J159" s="501"/>
    </row>
    <row r="160" spans="1:14" s="1" customFormat="1" ht="15" customHeight="1" outlineLevel="1">
      <c r="A160" s="18">
        <f t="shared" ref="A160:A170" si="15">IF(B160="","",+A159+1)</f>
        <v>8</v>
      </c>
      <c r="B160" s="173" t="str">
        <f t="shared" ref="B160:C160" si="16">B140</f>
        <v>บังใบข้าง (ขวา)</v>
      </c>
      <c r="C160" s="173" t="str">
        <f t="shared" si="16"/>
        <v>DOOR STOP JAMB (R)</v>
      </c>
      <c r="D160" s="509"/>
      <c r="E160" s="175">
        <f t="shared" ref="E160:E170" si="17">VLOOKUP(C160,$C$133:$H$151,3,0)</f>
        <v>0.23499999999999999</v>
      </c>
      <c r="F160" s="353">
        <f t="shared" ref="F160:F170" si="18">VLOOKUP(C160,$C$133:$I$151,7,0)</f>
        <v>2404</v>
      </c>
      <c r="G160" s="175">
        <f t="shared" ref="G160:G170" si="19">VLOOKUP(C160,$C$133:$J$151,8,0)</f>
        <v>1</v>
      </c>
      <c r="H160" s="516"/>
      <c r="I160" s="506"/>
      <c r="J160" s="506"/>
    </row>
    <row r="161" spans="1:23" s="1" customFormat="1" ht="13.8" outlineLevel="1">
      <c r="A161" s="18">
        <f t="shared" si="15"/>
        <v>9</v>
      </c>
      <c r="B161" s="173" t="str">
        <f t="shared" ref="B161:C161" si="20">B141</f>
        <v>ขวางบน</v>
      </c>
      <c r="C161" s="173" t="str">
        <f t="shared" si="20"/>
        <v>SASH (Hor) (T)</v>
      </c>
      <c r="D161" s="508" t="str">
        <f t="shared" ref="D161:D169" si="21">VLOOKUP(C161,$C$133:$H$151,2,0)</f>
        <v>B24007</v>
      </c>
      <c r="E161" s="175">
        <f t="shared" si="17"/>
        <v>1.1060000000000001</v>
      </c>
      <c r="F161" s="353">
        <f t="shared" si="18"/>
        <v>434.33333333333331</v>
      </c>
      <c r="G161" s="175">
        <f t="shared" si="19"/>
        <v>9</v>
      </c>
      <c r="H161" s="512">
        <f>ROUNDUP(((F161*G161)+(F162*G162)+(F163*G163)+(F164*G164)+(F165*G165)+(F166*G166))/6400,0)</f>
        <v>8</v>
      </c>
      <c r="I161" s="506"/>
      <c r="J161" s="506"/>
    </row>
    <row r="162" spans="1:23" s="1" customFormat="1" ht="13.8" outlineLevel="1">
      <c r="A162" s="18">
        <f t="shared" si="15"/>
        <v>10</v>
      </c>
      <c r="B162" s="173" t="str">
        <f t="shared" ref="B162:C162" si="22">B142</f>
        <v>ขวางล่าง</v>
      </c>
      <c r="C162" s="173" t="str">
        <f t="shared" si="22"/>
        <v>SASH (Hor) (B)</v>
      </c>
      <c r="D162" s="510"/>
      <c r="E162" s="175">
        <f t="shared" si="17"/>
        <v>1.1060000000000001</v>
      </c>
      <c r="F162" s="353">
        <f t="shared" si="18"/>
        <v>434.33333333333331</v>
      </c>
      <c r="G162" s="175">
        <f t="shared" si="19"/>
        <v>9</v>
      </c>
      <c r="H162" s="514"/>
      <c r="I162" s="506"/>
      <c r="J162" s="506"/>
    </row>
    <row r="163" spans="1:23" s="1" customFormat="1" ht="13.8" outlineLevel="1">
      <c r="A163" s="18">
        <f t="shared" si="15"/>
        <v>11</v>
      </c>
      <c r="B163" s="173" t="str">
        <f t="shared" ref="B163:C163" si="23">B143</f>
        <v>เสา</v>
      </c>
      <c r="C163" s="173" t="str">
        <f t="shared" si="23"/>
        <v xml:space="preserve">SASH (Ver) </v>
      </c>
      <c r="D163" s="510"/>
      <c r="E163" s="175">
        <f t="shared" si="17"/>
        <v>1.1060000000000001</v>
      </c>
      <c r="F163" s="353">
        <f t="shared" si="18"/>
        <v>2408</v>
      </c>
      <c r="G163" s="175">
        <f t="shared" si="19"/>
        <v>13</v>
      </c>
      <c r="H163" s="514"/>
      <c r="I163" s="506"/>
      <c r="J163" s="506"/>
    </row>
    <row r="164" spans="1:23" s="1" customFormat="1" ht="13.8" outlineLevel="1">
      <c r="A164" s="18">
        <f t="shared" si="15"/>
        <v>12</v>
      </c>
      <c r="B164" s="173" t="str">
        <f t="shared" ref="B164:C164" si="24">B144</f>
        <v>เสากุญแจ</v>
      </c>
      <c r="C164" s="173" t="str">
        <f t="shared" si="24"/>
        <v xml:space="preserve">SASH (Ver) LOCK </v>
      </c>
      <c r="D164" s="510"/>
      <c r="E164" s="175">
        <f t="shared" si="17"/>
        <v>1.1060000000000001</v>
      </c>
      <c r="F164" s="353">
        <f t="shared" si="18"/>
        <v>2408</v>
      </c>
      <c r="G164" s="175">
        <f t="shared" si="19"/>
        <v>2</v>
      </c>
      <c r="H164" s="514"/>
      <c r="I164" s="506"/>
      <c r="J164" s="506"/>
    </row>
    <row r="165" spans="1:23" s="1" customFormat="1" ht="13.8" outlineLevel="1">
      <c r="A165" s="18">
        <f t="shared" si="15"/>
        <v>13</v>
      </c>
      <c r="B165" s="173" t="str">
        <f t="shared" ref="B165:C165" si="25">B145</f>
        <v>เสากุญแจ</v>
      </c>
      <c r="C165" s="173" t="str">
        <f t="shared" si="25"/>
        <v xml:space="preserve">SASH (Ver) LOCK </v>
      </c>
      <c r="D165" s="510"/>
      <c r="E165" s="175">
        <f t="shared" si="17"/>
        <v>1.1060000000000001</v>
      </c>
      <c r="F165" s="353">
        <f t="shared" si="18"/>
        <v>2408</v>
      </c>
      <c r="G165" s="175">
        <f t="shared" si="19"/>
        <v>2</v>
      </c>
      <c r="H165" s="514"/>
      <c r="I165" s="506"/>
      <c r="J165" s="506"/>
    </row>
    <row r="166" spans="1:23" s="1" customFormat="1" ht="15" customHeight="1" outlineLevel="1">
      <c r="A166" s="18">
        <f t="shared" si="15"/>
        <v>14</v>
      </c>
      <c r="B166" s="173" t="str">
        <f t="shared" ref="B166:C166" si="26">B146</f>
        <v>เสากุญแจมือจับ</v>
      </c>
      <c r="C166" s="173" t="str">
        <f t="shared" si="26"/>
        <v>SASH (Ver) LOCK HANDLE</v>
      </c>
      <c r="D166" s="509"/>
      <c r="E166" s="175">
        <f t="shared" si="17"/>
        <v>1.1060000000000001</v>
      </c>
      <c r="F166" s="353">
        <f t="shared" si="18"/>
        <v>2408</v>
      </c>
      <c r="G166" s="175">
        <f t="shared" si="19"/>
        <v>1</v>
      </c>
      <c r="H166" s="515"/>
      <c r="I166" s="501"/>
      <c r="J166" s="501"/>
    </row>
    <row r="167" spans="1:23" s="1" customFormat="1" ht="15" customHeight="1" outlineLevel="1">
      <c r="A167" s="18">
        <f t="shared" si="15"/>
        <v>15</v>
      </c>
      <c r="B167" s="173" t="str">
        <f t="shared" ref="B167:C167" si="27">B147</f>
        <v>8-12mm คิ้วตบกระจกแนวนอน</v>
      </c>
      <c r="C167" s="173" t="str">
        <f t="shared" si="27"/>
        <v>8-12mm GLAZING BEAD HORIZONTAL</v>
      </c>
      <c r="D167" s="508" t="str">
        <f t="shared" si="21"/>
        <v>B24016</v>
      </c>
      <c r="E167" s="175">
        <f t="shared" si="17"/>
        <v>0.215</v>
      </c>
      <c r="F167" s="353">
        <f t="shared" si="18"/>
        <v>434.33333333333331</v>
      </c>
      <c r="G167" s="175">
        <f t="shared" si="19"/>
        <v>18</v>
      </c>
      <c r="H167" s="516">
        <f>ROUNDUP(((F167*G167)+(F168*G168))/6400,0)</f>
        <v>8</v>
      </c>
      <c r="I167" s="253"/>
      <c r="J167" s="253"/>
    </row>
    <row r="168" spans="1:23" s="1" customFormat="1" ht="15" customHeight="1" outlineLevel="1">
      <c r="A168" s="18">
        <f t="shared" si="15"/>
        <v>16</v>
      </c>
      <c r="B168" s="173" t="str">
        <f t="shared" ref="B168:C168" si="28">B148</f>
        <v>8-12mm คิ้วตบกระจกแนวตั้ง</v>
      </c>
      <c r="C168" s="173" t="str">
        <f t="shared" si="28"/>
        <v>8-12mm GLAZING BEAD VERTICAL</v>
      </c>
      <c r="D168" s="509"/>
      <c r="E168" s="175">
        <f t="shared" si="17"/>
        <v>0.215</v>
      </c>
      <c r="F168" s="353">
        <f t="shared" si="18"/>
        <v>2258</v>
      </c>
      <c r="G168" s="175">
        <f t="shared" si="19"/>
        <v>18</v>
      </c>
      <c r="H168" s="516"/>
      <c r="I168" s="253"/>
      <c r="J168" s="253"/>
    </row>
    <row r="169" spans="1:23" s="1" customFormat="1" ht="13.8" outlineLevel="1">
      <c r="A169" s="18">
        <f t="shared" si="15"/>
        <v>17</v>
      </c>
      <c r="B169" s="173" t="str">
        <f t="shared" ref="B169:C169" si="29">B149</f>
        <v>บังใบ</v>
      </c>
      <c r="C169" s="173" t="str">
        <f t="shared" si="29"/>
        <v>SASH STOP</v>
      </c>
      <c r="D169" s="508" t="str">
        <f t="shared" si="21"/>
        <v>B24009</v>
      </c>
      <c r="E169" s="175">
        <f t="shared" si="17"/>
        <v>0</v>
      </c>
      <c r="F169" s="353">
        <f t="shared" si="18"/>
        <v>2408</v>
      </c>
      <c r="G169" s="175">
        <f t="shared" si="19"/>
        <v>1</v>
      </c>
      <c r="H169" s="516">
        <f>ROUNDUP(((F169*G169)+(F170*G170))/6400,0)</f>
        <v>1</v>
      </c>
      <c r="I169" s="253"/>
      <c r="J169" s="253"/>
    </row>
    <row r="170" spans="1:23" s="1" customFormat="1" outlineLevel="1" thickBot="1">
      <c r="A170" s="18">
        <f t="shared" si="15"/>
        <v>18</v>
      </c>
      <c r="B170" s="173" t="str">
        <f t="shared" ref="B170:C170" si="30">B150</f>
        <v>บังใบ</v>
      </c>
      <c r="C170" s="173" t="str">
        <f t="shared" si="30"/>
        <v>SASH STOP</v>
      </c>
      <c r="D170" s="511"/>
      <c r="E170" s="175">
        <f t="shared" si="17"/>
        <v>0</v>
      </c>
      <c r="F170" s="353">
        <f t="shared" si="18"/>
        <v>2408</v>
      </c>
      <c r="G170" s="175">
        <f t="shared" si="19"/>
        <v>1</v>
      </c>
      <c r="H170" s="516"/>
      <c r="I170" s="253"/>
      <c r="J170" s="253"/>
    </row>
    <row r="171" spans="1:23" s="1" customFormat="1" ht="24.9" customHeight="1" thickBot="1">
      <c r="A171" s="529" t="s">
        <v>9</v>
      </c>
      <c r="B171" s="530"/>
      <c r="C171" s="530"/>
      <c r="D171" s="530"/>
      <c r="E171" s="530"/>
      <c r="F171" s="530"/>
      <c r="G171" s="530"/>
      <c r="H171" s="530"/>
      <c r="I171" s="530"/>
      <c r="J171" s="531"/>
    </row>
    <row r="172" spans="1:23" s="1" customFormat="1" ht="35.1" customHeight="1" thickBot="1">
      <c r="A172" s="102" t="s">
        <v>2</v>
      </c>
      <c r="B172" s="103" t="s">
        <v>29</v>
      </c>
      <c r="C172" s="103" t="s">
        <v>3</v>
      </c>
      <c r="D172" s="103" t="s">
        <v>199</v>
      </c>
      <c r="E172" s="103" t="s">
        <v>5</v>
      </c>
      <c r="F172" s="104" t="s">
        <v>28</v>
      </c>
      <c r="G172" s="103" t="s">
        <v>19</v>
      </c>
      <c r="H172" s="104" t="s">
        <v>200</v>
      </c>
      <c r="I172" s="104" t="s">
        <v>20</v>
      </c>
      <c r="J172" s="115" t="s">
        <v>201</v>
      </c>
      <c r="N172" s="101" t="s">
        <v>191</v>
      </c>
      <c r="O172" s="246" t="s">
        <v>29</v>
      </c>
      <c r="P172" s="246" t="s">
        <v>3</v>
      </c>
      <c r="Q172" s="246" t="s">
        <v>199</v>
      </c>
      <c r="R172" s="246" t="s">
        <v>5</v>
      </c>
      <c r="S172" s="246" t="s">
        <v>28</v>
      </c>
      <c r="T172" s="246" t="s">
        <v>19</v>
      </c>
      <c r="U172" s="246" t="s">
        <v>200</v>
      </c>
      <c r="V172" s="246" t="s">
        <v>20</v>
      </c>
      <c r="W172" s="246" t="s">
        <v>201</v>
      </c>
    </row>
    <row r="173" spans="1:23" s="1" customFormat="1" ht="18" customHeight="1">
      <c r="A173" s="200">
        <f>IF(B173="","",1)</f>
        <v>1</v>
      </c>
      <c r="B173" s="140" t="s">
        <v>111</v>
      </c>
      <c r="C173" s="140" t="s">
        <v>67</v>
      </c>
      <c r="D173" s="139" t="s">
        <v>74</v>
      </c>
      <c r="E173" s="143"/>
      <c r="F173" s="143" t="s">
        <v>74</v>
      </c>
      <c r="G173" s="143" t="s">
        <v>202</v>
      </c>
      <c r="H173" s="143">
        <v>18</v>
      </c>
      <c r="I173" s="130"/>
      <c r="J173" s="131">
        <f t="shared" ref="J173:J189" si="31">$J$120*H173</f>
        <v>18</v>
      </c>
      <c r="N173" s="101" t="s">
        <v>226</v>
      </c>
      <c r="O173" s="280" t="s">
        <v>252</v>
      </c>
      <c r="P173" s="290" t="s">
        <v>248</v>
      </c>
      <c r="Q173" s="280" t="s">
        <v>69</v>
      </c>
      <c r="R173" s="213"/>
      <c r="S173" s="213" t="s">
        <v>69</v>
      </c>
      <c r="T173" s="213" t="s">
        <v>198</v>
      </c>
      <c r="U173" s="291">
        <f>((($I$141*$G$141)+($I$142*$G$142)+($I$143*$G$143)+($I$144*$G$144)+($I$145*$G$145)+($I$146*$G$146))/1000)*$J$120</f>
        <v>51.161999999999999</v>
      </c>
      <c r="V173" s="291">
        <v>100</v>
      </c>
      <c r="W173" s="292">
        <f>ROUNDUP((U173)/100,0)</f>
        <v>1</v>
      </c>
    </row>
    <row r="174" spans="1:23" s="1" customFormat="1" ht="18" customHeight="1">
      <c r="A174" s="201">
        <f>IF(B174="","",+A173+1)</f>
        <v>2</v>
      </c>
      <c r="B174" s="140" t="s">
        <v>106</v>
      </c>
      <c r="C174" s="140" t="s">
        <v>503</v>
      </c>
      <c r="D174" s="139" t="s">
        <v>75</v>
      </c>
      <c r="E174" s="143"/>
      <c r="F174" s="143" t="s">
        <v>75</v>
      </c>
      <c r="G174" s="143" t="s">
        <v>202</v>
      </c>
      <c r="H174" s="143">
        <v>2</v>
      </c>
      <c r="I174" s="130"/>
      <c r="J174" s="131">
        <f t="shared" si="31"/>
        <v>2</v>
      </c>
      <c r="N174" s="101" t="s">
        <v>230</v>
      </c>
      <c r="O174" s="280" t="s">
        <v>253</v>
      </c>
      <c r="P174" s="290" t="s">
        <v>249</v>
      </c>
      <c r="Q174" s="280" t="s">
        <v>188</v>
      </c>
      <c r="R174" s="213"/>
      <c r="S174" s="213" t="s">
        <v>188</v>
      </c>
      <c r="T174" s="213" t="s">
        <v>198</v>
      </c>
      <c r="U174" s="291">
        <f>((($I$141*$G$141)+($I$142*$G$142)+($I$143*$G$143)+($I$144*$G$144)+($I$145*$G$145)+($I$146*$G$146))/1000)*$J$120</f>
        <v>51.161999999999999</v>
      </c>
      <c r="V174" s="291">
        <v>100</v>
      </c>
      <c r="W174" s="292">
        <f t="shared" ref="W174:W176" si="32">ROUNDUP((U174)/100,0)</f>
        <v>1</v>
      </c>
    </row>
    <row r="175" spans="1:23" s="1" customFormat="1" ht="18" customHeight="1">
      <c r="A175" s="201">
        <f t="shared" ref="A175:A204" si="33">IF(B175="","",+A174+1)</f>
        <v>3</v>
      </c>
      <c r="B175" s="140" t="s">
        <v>107</v>
      </c>
      <c r="C175" s="140" t="s">
        <v>504</v>
      </c>
      <c r="D175" s="139" t="s">
        <v>76</v>
      </c>
      <c r="E175" s="143"/>
      <c r="F175" s="143" t="s">
        <v>76</v>
      </c>
      <c r="G175" s="143" t="s">
        <v>202</v>
      </c>
      <c r="H175" s="143">
        <v>2</v>
      </c>
      <c r="I175" s="130"/>
      <c r="J175" s="131">
        <f t="shared" si="31"/>
        <v>2</v>
      </c>
      <c r="N175" s="101" t="s">
        <v>229</v>
      </c>
      <c r="O175" s="290" t="s">
        <v>254</v>
      </c>
      <c r="P175" s="290" t="s">
        <v>250</v>
      </c>
      <c r="Q175" s="280" t="s">
        <v>70</v>
      </c>
      <c r="R175" s="213"/>
      <c r="S175" s="213" t="s">
        <v>70</v>
      </c>
      <c r="T175" s="213" t="s">
        <v>198</v>
      </c>
      <c r="U175" s="291">
        <f>((($I$141*$G$141)+($I$142*$G$142)+($I$143*$G$143)+($I$144*$G$144)+($I$145*$G$145)+($I$146*$G$146))/1000)*$J$120</f>
        <v>51.161999999999999</v>
      </c>
      <c r="V175" s="291">
        <v>100</v>
      </c>
      <c r="W175" s="292">
        <f t="shared" si="32"/>
        <v>1</v>
      </c>
    </row>
    <row r="176" spans="1:23" s="1" customFormat="1" ht="18" customHeight="1">
      <c r="A176" s="201">
        <f t="shared" si="33"/>
        <v>4</v>
      </c>
      <c r="B176" s="140" t="s">
        <v>108</v>
      </c>
      <c r="C176" s="140" t="s">
        <v>10</v>
      </c>
      <c r="D176" s="139">
        <v>9</v>
      </c>
      <c r="E176" s="143"/>
      <c r="F176" s="143">
        <v>9</v>
      </c>
      <c r="G176" s="143" t="s">
        <v>202</v>
      </c>
      <c r="H176" s="143">
        <v>8</v>
      </c>
      <c r="I176" s="130"/>
      <c r="J176" s="131">
        <f t="shared" si="31"/>
        <v>8</v>
      </c>
      <c r="N176" s="101" t="s">
        <v>231</v>
      </c>
      <c r="O176" s="290" t="s">
        <v>255</v>
      </c>
      <c r="P176" s="290" t="s">
        <v>251</v>
      </c>
      <c r="Q176" s="280" t="s">
        <v>189</v>
      </c>
      <c r="R176" s="213"/>
      <c r="S176" s="213" t="s">
        <v>189</v>
      </c>
      <c r="T176" s="213" t="s">
        <v>198</v>
      </c>
      <c r="U176" s="291">
        <f>((($I$141*$G$141)+($I$142*$G$142)+($I$143*$G$143)+($I$144*$G$144)+($I$145*$G$145)+($I$146*$G$146))/1000)*$J$120</f>
        <v>51.161999999999999</v>
      </c>
      <c r="V176" s="291">
        <v>100</v>
      </c>
      <c r="W176" s="292">
        <f t="shared" si="32"/>
        <v>1</v>
      </c>
    </row>
    <row r="177" spans="1:23" s="1" customFormat="1" ht="18" customHeight="1">
      <c r="A177" s="201">
        <f t="shared" si="33"/>
        <v>5</v>
      </c>
      <c r="B177" s="140" t="s">
        <v>109</v>
      </c>
      <c r="C177" s="140" t="s">
        <v>68</v>
      </c>
      <c r="D177" s="139">
        <v>9</v>
      </c>
      <c r="E177" s="143"/>
      <c r="F177" s="143">
        <v>9</v>
      </c>
      <c r="G177" s="143" t="s">
        <v>202</v>
      </c>
      <c r="H177" s="143">
        <v>110</v>
      </c>
      <c r="I177" s="130"/>
      <c r="J177" s="131">
        <f t="shared" si="31"/>
        <v>110</v>
      </c>
      <c r="N177" s="101" t="s">
        <v>232</v>
      </c>
      <c r="O177" s="290" t="s">
        <v>256</v>
      </c>
      <c r="P177" s="290" t="s">
        <v>247</v>
      </c>
      <c r="Q177" s="280" t="s">
        <v>233</v>
      </c>
      <c r="R177" s="213"/>
      <c r="S177" s="213" t="s">
        <v>233</v>
      </c>
      <c r="T177" s="213" t="s">
        <v>198</v>
      </c>
      <c r="U177" s="291">
        <f>((($I$141*$G$141)+($I$142*$G$142)+($I$143*$G$143)+($I$144*$G$144)+($I$145*$G$145)+($I$146*$G$146))/1000)*$J$120</f>
        <v>51.161999999999999</v>
      </c>
      <c r="V177" s="291">
        <v>100</v>
      </c>
      <c r="W177" s="292">
        <f>ROUNDUP((U177)/100,0)</f>
        <v>1</v>
      </c>
    </row>
    <row r="178" spans="1:23" s="1" customFormat="1" ht="18" customHeight="1">
      <c r="A178" s="201">
        <f t="shared" si="33"/>
        <v>6</v>
      </c>
      <c r="B178" s="140" t="s">
        <v>132</v>
      </c>
      <c r="C178" s="140" t="s">
        <v>79</v>
      </c>
      <c r="D178" s="139" t="s">
        <v>82</v>
      </c>
      <c r="E178" s="143"/>
      <c r="F178" s="143" t="s">
        <v>82</v>
      </c>
      <c r="G178" s="143" t="s">
        <v>185</v>
      </c>
      <c r="H178" s="143">
        <v>1</v>
      </c>
      <c r="I178" s="130"/>
      <c r="J178" s="131">
        <f>$J$120*H178</f>
        <v>1</v>
      </c>
    </row>
    <row r="179" spans="1:23" s="1" customFormat="1" ht="18" customHeight="1">
      <c r="A179" s="201">
        <f t="shared" si="33"/>
        <v>7</v>
      </c>
      <c r="B179" s="140" t="s">
        <v>143</v>
      </c>
      <c r="C179" s="140" t="s">
        <v>121</v>
      </c>
      <c r="D179" s="139" t="s">
        <v>103</v>
      </c>
      <c r="E179" s="143"/>
      <c r="F179" s="143" t="s">
        <v>103</v>
      </c>
      <c r="G179" s="143" t="s">
        <v>185</v>
      </c>
      <c r="H179" s="143">
        <v>3</v>
      </c>
      <c r="I179" s="130"/>
      <c r="J179" s="131">
        <f>$J$120*H179</f>
        <v>3</v>
      </c>
    </row>
    <row r="180" spans="1:23" s="1" customFormat="1" ht="18" customHeight="1">
      <c r="A180" s="201">
        <f t="shared" si="33"/>
        <v>8</v>
      </c>
      <c r="B180" s="140" t="s">
        <v>118</v>
      </c>
      <c r="C180" s="140" t="s">
        <v>77</v>
      </c>
      <c r="D180" s="139" t="s">
        <v>80</v>
      </c>
      <c r="E180" s="143"/>
      <c r="F180" s="143" t="s">
        <v>80</v>
      </c>
      <c r="G180" s="143" t="s">
        <v>185</v>
      </c>
      <c r="H180" s="143">
        <v>1</v>
      </c>
      <c r="I180" s="130"/>
      <c r="J180" s="131">
        <f t="shared" si="31"/>
        <v>1</v>
      </c>
    </row>
    <row r="181" spans="1:23" s="1" customFormat="1" ht="18" customHeight="1">
      <c r="A181" s="201">
        <f t="shared" si="33"/>
        <v>9</v>
      </c>
      <c r="B181" s="140" t="s">
        <v>120</v>
      </c>
      <c r="C181" s="140" t="s">
        <v>94</v>
      </c>
      <c r="D181" s="139" t="s">
        <v>96</v>
      </c>
      <c r="E181" s="143"/>
      <c r="F181" s="143" t="s">
        <v>96</v>
      </c>
      <c r="G181" s="143" t="s">
        <v>185</v>
      </c>
      <c r="H181" s="143">
        <v>1</v>
      </c>
      <c r="I181" s="130"/>
      <c r="J181" s="131">
        <f t="shared" si="31"/>
        <v>1</v>
      </c>
    </row>
    <row r="182" spans="1:23" s="1" customFormat="1" ht="18" customHeight="1">
      <c r="A182" s="201">
        <f t="shared" si="33"/>
        <v>10</v>
      </c>
      <c r="B182" s="140" t="s">
        <v>119</v>
      </c>
      <c r="C182" s="140" t="s">
        <v>78</v>
      </c>
      <c r="D182" s="139" t="s">
        <v>81</v>
      </c>
      <c r="E182" s="143"/>
      <c r="F182" s="143" t="s">
        <v>81</v>
      </c>
      <c r="G182" s="143" t="s">
        <v>185</v>
      </c>
      <c r="H182" s="143">
        <v>1</v>
      </c>
      <c r="I182" s="130"/>
      <c r="J182" s="131">
        <f t="shared" si="31"/>
        <v>1</v>
      </c>
      <c r="N182" s="56"/>
      <c r="O182" s="56"/>
      <c r="P182" s="56"/>
      <c r="Q182" s="289"/>
      <c r="R182" s="289"/>
      <c r="S182" s="289"/>
      <c r="T182" s="17"/>
      <c r="U182" s="17"/>
      <c r="V182" s="17"/>
      <c r="W182" s="56"/>
    </row>
    <row r="183" spans="1:23" s="1" customFormat="1" ht="18" customHeight="1">
      <c r="A183" s="201">
        <f t="shared" si="33"/>
        <v>11</v>
      </c>
      <c r="B183" s="140" t="s">
        <v>131</v>
      </c>
      <c r="C183" s="140" t="s">
        <v>100</v>
      </c>
      <c r="D183" s="139" t="s">
        <v>102</v>
      </c>
      <c r="E183" s="143"/>
      <c r="F183" s="143" t="s">
        <v>102</v>
      </c>
      <c r="G183" s="143" t="s">
        <v>185</v>
      </c>
      <c r="H183" s="143">
        <v>3</v>
      </c>
      <c r="I183" s="144"/>
      <c r="J183" s="131">
        <f t="shared" si="31"/>
        <v>3</v>
      </c>
      <c r="N183" s="101" t="s">
        <v>227</v>
      </c>
      <c r="O183" s="246" t="s">
        <v>29</v>
      </c>
      <c r="P183" s="246" t="s">
        <v>3</v>
      </c>
      <c r="Q183" s="246" t="s">
        <v>199</v>
      </c>
      <c r="R183" s="246" t="s">
        <v>5</v>
      </c>
      <c r="S183" s="246" t="s">
        <v>28</v>
      </c>
      <c r="T183" s="246" t="s">
        <v>19</v>
      </c>
      <c r="U183" s="246" t="s">
        <v>200</v>
      </c>
      <c r="V183" s="246" t="s">
        <v>20</v>
      </c>
      <c r="W183" s="246" t="s">
        <v>201</v>
      </c>
    </row>
    <row r="184" spans="1:23" s="1" customFormat="1" ht="18" customHeight="1">
      <c r="A184" s="201">
        <f t="shared" si="33"/>
        <v>12</v>
      </c>
      <c r="B184" s="140" t="s">
        <v>168</v>
      </c>
      <c r="C184" s="140" t="s">
        <v>167</v>
      </c>
      <c r="D184" s="139" t="s">
        <v>165</v>
      </c>
      <c r="E184" s="143"/>
      <c r="F184" s="143" t="s">
        <v>165</v>
      </c>
      <c r="G184" s="143" t="s">
        <v>185</v>
      </c>
      <c r="H184" s="143">
        <v>1</v>
      </c>
      <c r="I184" s="144"/>
      <c r="J184" s="131">
        <f t="shared" si="31"/>
        <v>1</v>
      </c>
      <c r="N184" s="101" t="s">
        <v>240</v>
      </c>
      <c r="O184" s="290" t="s">
        <v>234</v>
      </c>
      <c r="P184" s="290" t="s">
        <v>236</v>
      </c>
      <c r="Q184" s="280" t="s">
        <v>190</v>
      </c>
      <c r="R184" s="213"/>
      <c r="S184" s="213" t="s">
        <v>190</v>
      </c>
      <c r="T184" s="213" t="s">
        <v>198</v>
      </c>
      <c r="U184" s="291">
        <f>((($I$134*$G$134)+($I$136*$G$136)+($I$139*$G$139))/1000)*$J$120</f>
        <v>12.257999999999999</v>
      </c>
      <c r="V184" s="291">
        <v>300</v>
      </c>
      <c r="W184" s="292">
        <f>ROUNDUP((U184)/V184,0)</f>
        <v>1</v>
      </c>
    </row>
    <row r="185" spans="1:23" s="1" customFormat="1" ht="18" customHeight="1">
      <c r="A185" s="201">
        <f t="shared" si="33"/>
        <v>13</v>
      </c>
      <c r="B185" s="140" t="s">
        <v>169</v>
      </c>
      <c r="C185" s="140" t="s">
        <v>166</v>
      </c>
      <c r="D185" s="139" t="s">
        <v>156</v>
      </c>
      <c r="E185" s="143"/>
      <c r="F185" s="143" t="s">
        <v>156</v>
      </c>
      <c r="G185" s="143" t="s">
        <v>185</v>
      </c>
      <c r="H185" s="143">
        <v>3</v>
      </c>
      <c r="I185" s="144"/>
      <c r="J185" s="131">
        <f t="shared" si="31"/>
        <v>3</v>
      </c>
      <c r="N185" s="101" t="s">
        <v>241</v>
      </c>
      <c r="O185" s="290" t="s">
        <v>235</v>
      </c>
      <c r="P185" s="290" t="s">
        <v>238</v>
      </c>
      <c r="Q185" s="280" t="s">
        <v>71</v>
      </c>
      <c r="R185" s="213"/>
      <c r="S185" s="213" t="s">
        <v>71</v>
      </c>
      <c r="T185" s="213" t="s">
        <v>198</v>
      </c>
      <c r="U185" s="291">
        <f>((($I$134*$G$134)+($I$136*$G$136)+($I$139*$G$139))/1000)*$J$120</f>
        <v>12.257999999999999</v>
      </c>
      <c r="V185" s="291">
        <v>100</v>
      </c>
      <c r="W185" s="292">
        <f t="shared" ref="W185:W187" si="34">ROUNDUP((U185)/V185,0)</f>
        <v>1</v>
      </c>
    </row>
    <row r="186" spans="1:23" s="1" customFormat="1" ht="18" customHeight="1">
      <c r="A186" s="201">
        <f t="shared" si="33"/>
        <v>14</v>
      </c>
      <c r="B186" s="140" t="s">
        <v>113</v>
      </c>
      <c r="C186" s="140" t="s">
        <v>502</v>
      </c>
      <c r="D186" s="139" t="s">
        <v>83</v>
      </c>
      <c r="E186" s="143"/>
      <c r="F186" s="143" t="s">
        <v>83</v>
      </c>
      <c r="G186" s="143" t="s">
        <v>185</v>
      </c>
      <c r="H186" s="143">
        <v>4</v>
      </c>
      <c r="I186" s="144"/>
      <c r="J186" s="131">
        <f t="shared" si="31"/>
        <v>4</v>
      </c>
      <c r="N186" s="101" t="s">
        <v>240</v>
      </c>
      <c r="O186" s="290" t="s">
        <v>245</v>
      </c>
      <c r="P186" s="290" t="s">
        <v>237</v>
      </c>
      <c r="Q186" s="280" t="s">
        <v>72</v>
      </c>
      <c r="R186" s="213"/>
      <c r="S186" s="213" t="s">
        <v>72</v>
      </c>
      <c r="T186" s="213" t="s">
        <v>198</v>
      </c>
      <c r="U186" s="291">
        <f>((($I$141*$G$141*2)+($I$143*$G$143*2)+($I$144*$G$144*2)+($I$145*$G$145))/1000)*$J$120</f>
        <v>84.873999999999995</v>
      </c>
      <c r="V186" s="291">
        <v>350</v>
      </c>
      <c r="W186" s="292">
        <f t="shared" si="34"/>
        <v>1</v>
      </c>
    </row>
    <row r="187" spans="1:23" s="1" customFormat="1" ht="18" customHeight="1">
      <c r="A187" s="201">
        <f t="shared" si="33"/>
        <v>15</v>
      </c>
      <c r="B187" s="140" t="s">
        <v>122</v>
      </c>
      <c r="C187" s="140" t="s">
        <v>101</v>
      </c>
      <c r="D187" s="139" t="s">
        <v>104</v>
      </c>
      <c r="E187" s="143"/>
      <c r="F187" s="143" t="s">
        <v>104</v>
      </c>
      <c r="G187" s="143" t="s">
        <v>185</v>
      </c>
      <c r="H187" s="143">
        <v>1</v>
      </c>
      <c r="I187" s="130"/>
      <c r="J187" s="131">
        <f t="shared" si="31"/>
        <v>1</v>
      </c>
      <c r="N187" s="101" t="s">
        <v>241</v>
      </c>
      <c r="O187" s="290" t="s">
        <v>246</v>
      </c>
      <c r="P187" s="290" t="s">
        <v>239</v>
      </c>
      <c r="Q187" s="280" t="s">
        <v>193</v>
      </c>
      <c r="R187" s="213"/>
      <c r="S187" s="213" t="s">
        <v>193</v>
      </c>
      <c r="T187" s="213" t="s">
        <v>198</v>
      </c>
      <c r="U187" s="291">
        <f>((($I$141*$G$141*2)+($I$143*$G$143*2)+($I$144*$G$144*2)+($I$145*$G$145))/1000)*$J$120</f>
        <v>84.873999999999995</v>
      </c>
      <c r="V187" s="291">
        <v>100</v>
      </c>
      <c r="W187" s="292">
        <f t="shared" si="34"/>
        <v>1</v>
      </c>
    </row>
    <row r="188" spans="1:23" s="1" customFormat="1" ht="18" customHeight="1">
      <c r="A188" s="201">
        <f t="shared" si="33"/>
        <v>16</v>
      </c>
      <c r="B188" s="140" t="s">
        <v>112</v>
      </c>
      <c r="C188" s="140" t="s">
        <v>114</v>
      </c>
      <c r="D188" s="128" t="s">
        <v>520</v>
      </c>
      <c r="E188" s="129"/>
      <c r="F188" s="129" t="s">
        <v>520</v>
      </c>
      <c r="G188" s="143" t="s">
        <v>202</v>
      </c>
      <c r="H188" s="143">
        <v>8</v>
      </c>
      <c r="I188" s="130"/>
      <c r="J188" s="131">
        <f t="shared" si="31"/>
        <v>8</v>
      </c>
    </row>
    <row r="189" spans="1:23" s="1" customFormat="1" ht="18" customHeight="1">
      <c r="A189" s="201">
        <f t="shared" si="33"/>
        <v>17</v>
      </c>
      <c r="B189" s="140" t="s">
        <v>115</v>
      </c>
      <c r="C189" s="140" t="s">
        <v>45</v>
      </c>
      <c r="D189" s="139" t="s">
        <v>84</v>
      </c>
      <c r="E189" s="143"/>
      <c r="F189" s="143" t="s">
        <v>84</v>
      </c>
      <c r="G189" s="143" t="s">
        <v>202</v>
      </c>
      <c r="H189" s="143">
        <v>1</v>
      </c>
      <c r="I189" s="130"/>
      <c r="J189" s="131">
        <f t="shared" si="31"/>
        <v>1</v>
      </c>
    </row>
    <row r="190" spans="1:23" s="1" customFormat="1" ht="18" customHeight="1">
      <c r="A190" s="201">
        <f t="shared" si="33"/>
        <v>18</v>
      </c>
      <c r="B190" s="140" t="s">
        <v>110</v>
      </c>
      <c r="C190" s="140" t="s">
        <v>66</v>
      </c>
      <c r="D190" s="139" t="s">
        <v>73</v>
      </c>
      <c r="E190" s="143"/>
      <c r="F190" s="143" t="s">
        <v>73</v>
      </c>
      <c r="G190" s="143" t="s">
        <v>202</v>
      </c>
      <c r="H190" s="143">
        <v>4</v>
      </c>
      <c r="I190" s="130"/>
      <c r="J190" s="131">
        <f>$J$120*H190</f>
        <v>4</v>
      </c>
    </row>
    <row r="191" spans="1:23" s="1" customFormat="1" ht="18" customHeight="1">
      <c r="A191" s="201">
        <f t="shared" si="33"/>
        <v>19</v>
      </c>
      <c r="B191" s="140" t="s">
        <v>512</v>
      </c>
      <c r="C191" s="140" t="s">
        <v>135</v>
      </c>
      <c r="D191" s="139" t="s">
        <v>137</v>
      </c>
      <c r="E191" s="143"/>
      <c r="F191" s="143" t="s">
        <v>137</v>
      </c>
      <c r="G191" s="143" t="s">
        <v>198</v>
      </c>
      <c r="H191" s="261">
        <f>((($I$149*$G$149)+($I$150*$G$150))/1000)*$J$120</f>
        <v>4.8159999999999998</v>
      </c>
      <c r="I191" s="258">
        <v>100</v>
      </c>
      <c r="J191" s="260">
        <f t="shared" ref="J191:J196" si="35">ROUNDUP((H191)/100,0)</f>
        <v>1</v>
      </c>
    </row>
    <row r="192" spans="1:23" s="1" customFormat="1" ht="18" customHeight="1">
      <c r="A192" s="201">
        <f t="shared" si="33"/>
        <v>20</v>
      </c>
      <c r="B192" s="140" t="s">
        <v>513</v>
      </c>
      <c r="C192" s="140" t="s">
        <v>136</v>
      </c>
      <c r="D192" s="139" t="s">
        <v>138</v>
      </c>
      <c r="E192" s="143"/>
      <c r="F192" s="143" t="s">
        <v>138</v>
      </c>
      <c r="G192" s="143" t="s">
        <v>198</v>
      </c>
      <c r="H192" s="261">
        <f>((($I$146*$G$146*2))/1000)*$J$120</f>
        <v>4.8159999999999998</v>
      </c>
      <c r="I192" s="258">
        <v>100</v>
      </c>
      <c r="J192" s="260">
        <f t="shared" si="35"/>
        <v>1</v>
      </c>
    </row>
    <row r="193" spans="1:25" ht="18" customHeight="1">
      <c r="A193" s="201">
        <f t="shared" si="33"/>
        <v>21</v>
      </c>
      <c r="B193" s="139" t="str">
        <f>IF($D$129="Standard",$O$184,IF($D$129="Soumdproof",$O$185,))</f>
        <v>ยางเฟรมกันน้ำ (กันเสียง)</v>
      </c>
      <c r="C193" s="139" t="str">
        <f>IF($D$129="Standard",$P$184,IF($D$129="Soumdproof",$P$185,))</f>
        <v>FRAME SEAL (Soumdproof)</v>
      </c>
      <c r="D193" s="139" t="str">
        <f>IF($D$129="Standard",$Q$184,IF($D$129="Soumdproof",$Q$185,))</f>
        <v>02-025</v>
      </c>
      <c r="E193" s="143">
        <f>IF($D$129="Standard",R189,IF($D$129="Soumdproof",R190,))</f>
        <v>0</v>
      </c>
      <c r="F193" s="143" t="str">
        <f>IF($D$129="Standard",$S$184,IF($D$129="Soumdproof",$S$185,))</f>
        <v>02-025</v>
      </c>
      <c r="G193" s="143" t="str">
        <f>IF($D$129="Standard",$T$184,IF($D$129="Soumdproof",$T$185,))</f>
        <v>M</v>
      </c>
      <c r="H193" s="261">
        <f>IF($D$129="Standard",$U$184,IF($D$129="Soumdproof",$U$185,))</f>
        <v>12.257999999999999</v>
      </c>
      <c r="I193" s="258">
        <f>IF($D$129="Standard",$V$184,IF($D$129="Soumdproof",$V$185,))</f>
        <v>100</v>
      </c>
      <c r="J193" s="267">
        <f t="shared" si="35"/>
        <v>1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s="1" customFormat="1" ht="18" customHeight="1">
      <c r="A194" s="201">
        <f t="shared" si="33"/>
        <v>22</v>
      </c>
      <c r="B194" s="139" t="str">
        <f>IF($D$129="Standard",$O$186,IF($D$129="Soumdproof",$O$187,))</f>
        <v>ยางแซชกันน้ำ (กันเสียง)</v>
      </c>
      <c r="C194" s="139" t="str">
        <f>IF($D$129="Standard",$P$186,IF($D$129="Soumdproof",$P$187,))</f>
        <v>SASH SEAL FOAM (Soumdproof)</v>
      </c>
      <c r="D194" s="139" t="str">
        <f>IF($D$129="Standard",$Q$186,IF($D$129="Soumdproof",$Q$187,))</f>
        <v>02-035</v>
      </c>
      <c r="E194" s="143">
        <f>IF($D$129="Standard",R191,IF($D$129="Soumdproof",R192,))</f>
        <v>0</v>
      </c>
      <c r="F194" s="143" t="str">
        <f>IF($D$129="Standard",$S$186,IF($D$129="Soumdproof",$S$187,))</f>
        <v>02-035</v>
      </c>
      <c r="G194" s="143" t="str">
        <f>IF($D$129="Standard",$T$186,IF($D$129="Soumdproof",$T$187,))</f>
        <v>M</v>
      </c>
      <c r="H194" s="261">
        <f>IF($D$129="Standard",$U$186,IF($D$129="Soumdproof",$U$187,))</f>
        <v>84.873999999999995</v>
      </c>
      <c r="I194" s="258">
        <f>IF($D$129="Standard",$V$186,IF($D$129="Soumdproof",$V$187,))</f>
        <v>100</v>
      </c>
      <c r="J194" s="260">
        <f t="shared" si="35"/>
        <v>1</v>
      </c>
    </row>
    <row r="195" spans="1:25" s="1" customFormat="1" ht="18" customHeight="1">
      <c r="A195" s="201">
        <f t="shared" si="33"/>
        <v>23</v>
      </c>
      <c r="B195" s="241" t="str">
        <f>IF($D$127=5,$O$175,IF($D$127=6,$O$176,IF($D$127=8,$O$177,IF($D$127=10,$O$175,IF($D$127=12,$O$175,IF($D$127=14,$O$177,IF($D$127=18,$O$175,IF($D$127=20,$O$176,IF($D$127=22,"")))))))))</f>
        <v>8,14 mm ยางอัดกระจก</v>
      </c>
      <c r="C195" s="241" t="str">
        <f>IF($D$127=5,$P$175,IF($D$127=6,$P$176,IF($D$127=8,$P$177,IF($D$127=10,$P$175,IF($D$127=12,$P$175,IF($D$127=14,$P$177,IF($D$127=18,$P$175,IF($D$127=20,$P$176,IF($D$127=22,"")))))))))</f>
        <v>8,14 mm ROLL IN WEDGE</v>
      </c>
      <c r="D195" s="241" t="str">
        <f>IF($D$127=5,$Q$175,IF($D$127=6,$Q$176,IF($D$127=8,$Q$177,IF($D$127=10,$Q$175,IF($D$127=12,$Q$175,IF($D$127=14,$Q$177,IF($D$127=18,$Q$175,IF($D$127=20,$Q$176,IF($D$127=22,"")))))))))</f>
        <v>02-045</v>
      </c>
      <c r="E195" s="241">
        <f>IF($D$127=5,R180,IF($D$127=6,R181,IF($D$127=8,R182,IF($D$127=10,R180,IF($D$127=12,R180,IF($D$127=14,R182,IF($D$127=18,R180,IF($D$127=20,R181,IF($D$127=22,"",)))))))))</f>
        <v>0</v>
      </c>
      <c r="F195" s="242" t="str">
        <f>IF($D$127=5,$S$175,IF($D$127=6,$S$176,IF($D$127=8,$S$177,IF($D$127=10,$S$175,IF($D$127=12,$S$175,IF($D$127=14,$S$177,IF($D$127=18,$S$175,IF($D$127=20,$S$176,IF($D$127=22,"")))))))))</f>
        <v>02-045</v>
      </c>
      <c r="G195" s="242" t="str">
        <f>IF($D$127=5,$T$175,IF($D$127=6,$T$176,IF($D$127=8,$T$177,IF($D$127=10,$T$175,IF($D$127=12,$T$175,IF($D$127=14,$T$177,IF($D$127=18,$T$175,IF($D$127=20,$T$176,IF($D$127=22,"")))))))))</f>
        <v>M</v>
      </c>
      <c r="H195" s="261">
        <f>IF($D$127=5,$U$175,IF($D$127=6,$U$176,IF($D$127=8,$U$177,IF($D$127=10,$U$175*2,IF($D$127=12,$U$175,IF($D$127=14,$U$177*2,IF($D$127=18,$U$175,IF($D$127=20,$U$176,IF($D$127=22,"")))))))))</f>
        <v>51.161999999999999</v>
      </c>
      <c r="I195" s="258">
        <f>IF($D$127=5,$V$175,IF($D$127=6,$V$176,IF($D$127=8,$V$177,IF($D$127=10,$V$175,IF($D$127=12,$V$175,IF($D$127=14,$V$177,IF($D$127=18,$V$175,IF($D$127=20,$V$176,IF($D$127=22,"")))))))))</f>
        <v>100</v>
      </c>
      <c r="J195" s="260">
        <f t="shared" si="35"/>
        <v>1</v>
      </c>
    </row>
    <row r="196" spans="1:25" s="1" customFormat="1" ht="18" customHeight="1">
      <c r="A196" s="201">
        <f t="shared" si="33"/>
        <v>24</v>
      </c>
      <c r="B196" s="241" t="str">
        <f>IF($D$127=5,$O$173,IF($D$127=6,$O$173,IF($D$127=8,$O$175,IF($D$127=10,"",IF($D$127=12,$O$174,IF($D$127=14,"",IF($D$127=18,$O$173,IF($D$127=20,$O$174,IF($D$127=22,"",)))))))))</f>
        <v>5,8,10,12,18 mmยางอัดกระจก</v>
      </c>
      <c r="C196" s="241" t="str">
        <f>IF($D$127=5,$P$173,IF($D$127=6,$P$173,IF($D$127=8,$P$175,IF($D$127=10,"",IF($D$127=12,$P$174,IF($D$127=14,"",IF($D$127=18,$P$173,IF($D$127=20,$P$174,IF($D$127=22,"",)))))))))</f>
        <v>5,8,10,12,18 mm ROLL IN WEDGE</v>
      </c>
      <c r="D196" s="241" t="str">
        <f>IF($D$127=5,$Q$173,IF($D$127=6,$Q$173,IF($D$127=8,$Q$175,IF($D$127=10,"",IF($D$127=12,$Q$174,IF($D$127=14,"",IF($D$127=18,$Q$173,IF($D$127=20,$Q$174,IF($D$127=22,"",)))))))))</f>
        <v>02-033</v>
      </c>
      <c r="E196" s="241">
        <f>IF($D$127=5,R178,IF($D$127=6,R178,IF($D$127=8,R180,IF($D$127=10,"",IF($D$127=12,R179,IF($D$127=14,"",IF($D$127=18,R178,IF($D$127=20,R179,IF($D$127=22,"",)))))))))</f>
        <v>0</v>
      </c>
      <c r="F196" s="242" t="str">
        <f>IF($D$127=5,$S$173,IF($D$127=6,$S$173,IF($D$127=8,$S$175,IF($D$127=10,"",IF($D$127=12,$S$174,IF($D$127=14,"",IF($D$127=18,$S$173,IF($D$127=20,$S$174,IF($D$127=22,"",)))))))))</f>
        <v>02-033</v>
      </c>
      <c r="G196" s="242" t="str">
        <f>IF($D$127=5,$T$173,IF($D$127=6,$T$173,IF($D$127=8,$T$175,IF($D$127=10,"",IF($D$127=12,$T$174,IF($D$127=14,"",IF($D$127=18,$T$173,IF($D$127=20,$T$174,IF($D$127=22,"",)))))))))</f>
        <v>M</v>
      </c>
      <c r="H196" s="261">
        <f>IF($D$127=5,$U$173,IF($D$127=6,$U$173,IF($D$127=8,$U$175,IF($D$127=10,"",IF($D$127=12,$U$174,IF($D$127=14,"",IF($D$127=18,$U$173,IF($D$127=20,$U$174,IF($D$127=22,"")))))))))</f>
        <v>51.161999999999999</v>
      </c>
      <c r="I196" s="258">
        <f>IF($D$127=5,$V$173,IF($D$127=6,$V$173,IF($D$127=8,$V$175,IF($D$127=10,"",IF($D$127=12,$V$174,IF($D$127=14,"",IF($D$127=18,$V$173,IF($D$127=20,$V$174,IF($D$127=22,"",)))))))))</f>
        <v>100</v>
      </c>
      <c r="J196" s="260">
        <f t="shared" si="35"/>
        <v>1</v>
      </c>
    </row>
    <row r="197" spans="1:25" s="1" customFormat="1" ht="18" customHeight="1">
      <c r="A197" s="201" t="str">
        <f t="shared" si="33"/>
        <v/>
      </c>
      <c r="B197" s="140"/>
      <c r="C197" s="140"/>
      <c r="D197" s="139"/>
      <c r="E197" s="143"/>
      <c r="F197" s="143"/>
      <c r="G197" s="143"/>
      <c r="H197" s="143"/>
      <c r="I197" s="130"/>
      <c r="J197" s="131"/>
    </row>
    <row r="198" spans="1:25" s="1" customFormat="1" ht="18" customHeight="1">
      <c r="A198" s="201" t="str">
        <f t="shared" si="33"/>
        <v/>
      </c>
      <c r="B198" s="140"/>
      <c r="C198" s="140"/>
      <c r="D198" s="139"/>
      <c r="E198" s="143"/>
      <c r="F198" s="143"/>
      <c r="G198" s="143"/>
      <c r="H198" s="143"/>
      <c r="I198" s="130"/>
      <c r="J198" s="131">
        <f t="shared" ref="J198:J204" si="36">$J$120*H198</f>
        <v>0</v>
      </c>
    </row>
    <row r="199" spans="1:25" s="1" customFormat="1" ht="18" customHeight="1">
      <c r="A199" s="201" t="str">
        <f t="shared" si="33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 t="shared" si="36"/>
        <v>0</v>
      </c>
    </row>
    <row r="200" spans="1:25" s="1" customFormat="1" ht="18" customHeight="1">
      <c r="A200" s="201" t="str">
        <f t="shared" si="33"/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si="36"/>
        <v>0</v>
      </c>
    </row>
    <row r="201" spans="1:25" s="1" customFormat="1" ht="18" customHeight="1">
      <c r="A201" s="201" t="str">
        <f t="shared" si="33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si="36"/>
        <v>0</v>
      </c>
    </row>
    <row r="202" spans="1:25" s="1" customFormat="1" ht="18" customHeight="1">
      <c r="A202" s="201" t="str">
        <f t="shared" si="33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si="36"/>
        <v>0</v>
      </c>
    </row>
    <row r="203" spans="1:25" s="1" customFormat="1" ht="18" customHeight="1">
      <c r="A203" s="201" t="str">
        <f>IF(B203="","",+A202+1)</f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si="36"/>
        <v>0</v>
      </c>
    </row>
    <row r="204" spans="1:25" s="1" customFormat="1" ht="18" customHeight="1">
      <c r="A204" s="201" t="str">
        <f t="shared" si="33"/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 t="shared" si="36"/>
        <v>0</v>
      </c>
    </row>
    <row r="205" spans="1:25" s="1" customFormat="1" ht="18" customHeight="1">
      <c r="A205" s="317" t="str">
        <f t="shared" ref="A205" si="37">IF(B205="","",+A204+1)</f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 t="shared" ref="J205" si="38">$J$120*H205</f>
        <v>0</v>
      </c>
    </row>
    <row r="206" spans="1:25" s="1" customFormat="1" ht="18" customHeight="1">
      <c r="A206" s="27"/>
      <c r="B206" s="33"/>
      <c r="C206" s="33"/>
      <c r="D206" s="161"/>
      <c r="E206" s="109"/>
      <c r="F206" s="109"/>
      <c r="G206" s="109"/>
      <c r="H206" s="109"/>
      <c r="I206" s="24"/>
      <c r="J206" s="318"/>
    </row>
    <row r="207" spans="1:25" ht="18" customHeight="1">
      <c r="A207" s="17"/>
      <c r="I207" s="294"/>
      <c r="J207" s="99" t="str">
        <f>LEFT($J$111,13)&amp;"-02"</f>
        <v>FG-240-9P4L5R-02</v>
      </c>
    </row>
    <row r="208" spans="1:25" ht="12.75" customHeight="1">
      <c r="B208" s="56"/>
      <c r="C208" s="56"/>
      <c r="D208" s="30"/>
      <c r="E208" s="17"/>
      <c r="F208" s="17"/>
      <c r="G208" s="17"/>
      <c r="H208" s="17"/>
      <c r="K208" s="7"/>
      <c r="L208" s="7"/>
      <c r="M208" s="2"/>
      <c r="N208" s="2"/>
    </row>
    <row r="209" spans="1:14" ht="30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255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255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/>
      <c r="C215"/>
      <c r="D215" s="81"/>
      <c r="E215"/>
      <c r="F215"/>
      <c r="G215"/>
      <c r="H215"/>
      <c r="I215" s="160"/>
      <c r="J215" s="116"/>
    </row>
    <row r="216" spans="1:14" s="1" customFormat="1" ht="15" customHeight="1">
      <c r="A216" s="17"/>
      <c r="B216" s="93"/>
      <c r="C216" s="56"/>
      <c r="D216" s="30"/>
      <c r="E216" s="29"/>
      <c r="F216" s="160"/>
      <c r="G216" s="160"/>
      <c r="H216" s="16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s="1" customFormat="1" ht="15.6">
      <c r="A218" s="109"/>
      <c r="B218" s="33"/>
      <c r="C218" s="327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272</v>
      </c>
      <c r="D220" s="30"/>
      <c r="E220" s="29"/>
      <c r="F220" s="30"/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89"/>
      <c r="J221" s="12"/>
    </row>
    <row r="222" spans="1:14" s="1" customFormat="1" ht="15" customHeight="1">
      <c r="A222" s="109"/>
      <c r="B222" s="33"/>
      <c r="C222" s="327" t="s">
        <v>273</v>
      </c>
      <c r="D222" s="161"/>
      <c r="E222" s="109"/>
      <c r="F222" s="161"/>
      <c r="J222" s="12"/>
    </row>
    <row r="223" spans="1:14" s="1" customFormat="1" ht="15" customHeight="1">
      <c r="A223" s="109"/>
      <c r="B223" s="33"/>
      <c r="C223" s="374">
        <f>$I$133</f>
        <v>4940</v>
      </c>
      <c r="D223" s="161"/>
      <c r="E223" s="35"/>
      <c r="F223" s="161"/>
      <c r="G223" s="68"/>
      <c r="J223" s="12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326"/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326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327"/>
      <c r="D229" s="161"/>
      <c r="E229" s="109"/>
      <c r="F229" s="161"/>
      <c r="H229" s="109"/>
      <c r="I229" s="254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254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254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254"/>
      <c r="J232" s="117"/>
    </row>
    <row r="233" spans="1:10" s="1" customFormat="1" ht="15.9" customHeight="1">
      <c r="A233" s="44"/>
      <c r="B233" s="44"/>
      <c r="C233" s="89" t="s">
        <v>274</v>
      </c>
      <c r="D233" s="84"/>
      <c r="E233" s="44"/>
      <c r="F233" s="44"/>
      <c r="G233" s="109"/>
      <c r="H233" s="109"/>
      <c r="I233" s="254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4914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254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54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109"/>
      <c r="J242" s="24"/>
    </row>
    <row r="243" spans="1:10" s="1" customFormat="1" ht="15.9" customHeight="1">
      <c r="A243" s="109"/>
      <c r="B243" s="33"/>
      <c r="C243" s="89" t="s">
        <v>276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.9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" customHeight="1">
      <c r="A245" s="109"/>
      <c r="B245" s="33"/>
      <c r="C245" s="327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4940</v>
      </c>
      <c r="D246" s="161"/>
      <c r="E246" s="109"/>
      <c r="F246" s="161"/>
      <c r="G246" s="109"/>
      <c r="H246" s="109"/>
      <c r="I246" s="44"/>
      <c r="J246" s="119"/>
    </row>
    <row r="247" spans="1:10" s="1" customFormat="1" ht="15.9" customHeight="1">
      <c r="A247" s="109"/>
      <c r="B247" s="33"/>
      <c r="C247" s="363">
        <f>$J$135</f>
        <v>1</v>
      </c>
      <c r="D247" s="161"/>
      <c r="E247" s="109"/>
      <c r="F247" s="161"/>
      <c r="G247" s="109"/>
      <c r="H247" s="109"/>
      <c r="I247" s="32"/>
      <c r="J247" s="40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4"/>
      <c r="H251" s="109"/>
      <c r="J251" s="12"/>
    </row>
    <row r="252" spans="1:10" s="1" customFormat="1" ht="15.9" customHeight="1">
      <c r="A252" s="109"/>
      <c r="B252" s="33"/>
      <c r="C252" s="33"/>
      <c r="D252" s="161"/>
      <c r="E252" s="109"/>
      <c r="F252" s="109"/>
      <c r="G252" s="40"/>
      <c r="H252" s="109"/>
      <c r="I252" s="24"/>
      <c r="J252" s="24"/>
    </row>
    <row r="253" spans="1:10" s="1" customFormat="1" ht="15.9" customHeight="1">
      <c r="A253" s="109"/>
      <c r="B253" s="33"/>
      <c r="D253" s="161"/>
      <c r="E253" s="109"/>
      <c r="F253" s="109"/>
      <c r="G253" s="109"/>
      <c r="H253" s="109"/>
      <c r="I253" s="24"/>
      <c r="J253" s="24"/>
    </row>
    <row r="254" spans="1:10" s="1" customFormat="1" ht="15.9" customHeight="1">
      <c r="A254" s="44"/>
      <c r="B254" s="44"/>
      <c r="D254" s="84"/>
      <c r="E254" s="44"/>
      <c r="F254" s="44"/>
      <c r="G254" s="109"/>
      <c r="H254" s="109"/>
      <c r="I254" s="24"/>
      <c r="J254" s="24"/>
    </row>
    <row r="255" spans="1:10" s="1" customFormat="1" ht="15.9" customHeight="1">
      <c r="A255" s="40"/>
      <c r="B255" s="40"/>
      <c r="C255" s="89" t="s">
        <v>277</v>
      </c>
      <c r="D255" s="85"/>
      <c r="E255" s="40"/>
      <c r="F255" s="32"/>
      <c r="G255" s="109"/>
      <c r="I255" s="24"/>
      <c r="J255" s="24"/>
    </row>
    <row r="256" spans="1:10" s="1" customFormat="1" ht="15.9" customHeight="1">
      <c r="A256" s="27"/>
      <c r="B256" s="33"/>
      <c r="C256" s="328" t="s">
        <v>275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27" t="s">
        <v>273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74">
        <f>$I$136</f>
        <v>4940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63">
        <f>$J$136</f>
        <v>1</v>
      </c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33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33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46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161"/>
      <c r="D264" s="161"/>
      <c r="E264" s="109"/>
      <c r="F264" s="109"/>
      <c r="G264" s="109"/>
      <c r="I264" s="24"/>
      <c r="J264" s="24"/>
    </row>
    <row r="265" spans="1:10" s="1" customFormat="1" ht="15.9" customHeight="1">
      <c r="A265" s="27"/>
      <c r="B265" s="33"/>
      <c r="C265" s="33"/>
      <c r="D265" s="161"/>
      <c r="E265" s="109"/>
      <c r="F265" s="109"/>
      <c r="G265" s="109"/>
      <c r="I265" s="24"/>
      <c r="J265" s="24"/>
    </row>
    <row r="266" spans="1:10" s="1" customFormat="1" ht="15.9" customHeight="1">
      <c r="A266" s="27"/>
      <c r="B266" s="33"/>
      <c r="C266" s="89" t="s">
        <v>278</v>
      </c>
      <c r="D266" s="161"/>
      <c r="E266" s="109"/>
      <c r="F266" s="109"/>
      <c r="G266" s="109"/>
      <c r="H266" s="109"/>
      <c r="I266" s="24"/>
      <c r="J266" s="24"/>
    </row>
    <row r="267" spans="1:10" s="1" customFormat="1" ht="15.9" customHeight="1">
      <c r="A267" s="27"/>
      <c r="B267" s="33"/>
      <c r="C267" s="328" t="s">
        <v>287</v>
      </c>
      <c r="D267" s="328"/>
      <c r="E267" s="328"/>
      <c r="F267" s="109"/>
      <c r="G267" s="109"/>
      <c r="H267" s="109"/>
      <c r="I267" s="24"/>
      <c r="J267" s="24"/>
    </row>
    <row r="268" spans="1:10" s="1" customFormat="1" ht="15.9" customHeight="1">
      <c r="A268" s="27"/>
      <c r="B268" s="33"/>
      <c r="C268" s="327" t="s">
        <v>279</v>
      </c>
      <c r="D268" s="327"/>
      <c r="E268" s="327"/>
      <c r="F268" s="109"/>
      <c r="G268" s="109"/>
      <c r="H268" s="109"/>
      <c r="J268" s="12"/>
    </row>
    <row r="269" spans="1:10" s="1" customFormat="1" ht="15.9" customHeight="1">
      <c r="A269" s="27"/>
      <c r="B269" s="33"/>
      <c r="C269" s="374">
        <f>$I$137</f>
        <v>2500</v>
      </c>
      <c r="D269" s="161"/>
      <c r="E269" s="109"/>
      <c r="F269" s="109"/>
      <c r="G269" s="33"/>
      <c r="H269" s="33"/>
      <c r="J269" s="12"/>
    </row>
    <row r="270" spans="1:10" s="1" customFormat="1" ht="15.9" customHeight="1">
      <c r="A270" s="27"/>
      <c r="B270" s="33"/>
      <c r="C270" s="363">
        <f>$J$137+$J$138</f>
        <v>2</v>
      </c>
      <c r="D270" s="161"/>
      <c r="E270" s="109"/>
      <c r="F270" s="109"/>
      <c r="G270" s="109"/>
      <c r="H270" s="109"/>
      <c r="J270" s="12"/>
    </row>
    <row r="271" spans="1:10" s="1" customFormat="1" ht="15.9" customHeight="1">
      <c r="A271" s="27"/>
      <c r="B271" s="33"/>
      <c r="D271" s="89"/>
      <c r="E271" s="89"/>
      <c r="F271" s="109"/>
      <c r="G271" s="109"/>
      <c r="H271" s="109"/>
      <c r="J271" s="12"/>
    </row>
    <row r="272" spans="1:10" s="1" customFormat="1" ht="15.9" customHeight="1">
      <c r="A272" s="27"/>
      <c r="B272" s="33"/>
      <c r="D272" s="89"/>
      <c r="E272" s="89"/>
      <c r="F272" s="109"/>
      <c r="G272" s="109"/>
      <c r="H272" s="109"/>
      <c r="J272" s="12"/>
    </row>
    <row r="273" spans="1:10" s="1" customFormat="1" ht="15.9" customHeight="1">
      <c r="A273" s="27"/>
      <c r="D273" s="328"/>
      <c r="E273" s="328"/>
      <c r="F273" s="109"/>
      <c r="G273" s="109"/>
      <c r="H273" s="109"/>
      <c r="J273" s="12"/>
    </row>
    <row r="274" spans="1:10" s="1" customFormat="1" ht="15.9" customHeight="1">
      <c r="A274" s="27"/>
      <c r="D274" s="328"/>
      <c r="E274" s="328"/>
      <c r="F274" s="109"/>
      <c r="G274" s="109"/>
      <c r="H274" s="109"/>
      <c r="J274" s="12"/>
    </row>
    <row r="275" spans="1:10" s="1" customFormat="1" ht="15.9" customHeight="1">
      <c r="A275" s="27"/>
      <c r="B275" s="33"/>
      <c r="D275" s="328"/>
      <c r="E275" s="328"/>
      <c r="F275" s="109"/>
      <c r="G275" s="109"/>
      <c r="I275" s="24"/>
      <c r="J275" s="24"/>
    </row>
    <row r="276" spans="1:10" s="1" customFormat="1" ht="15.9" customHeight="1">
      <c r="A276" s="27"/>
      <c r="B276" s="33"/>
      <c r="C276" s="33"/>
      <c r="D276" s="161"/>
      <c r="E276" s="109"/>
      <c r="F276" s="109"/>
      <c r="G276" s="109"/>
      <c r="I276" s="24"/>
      <c r="J276" s="24"/>
    </row>
    <row r="277" spans="1:10" s="1" customFormat="1" ht="15.9" customHeight="1">
      <c r="A277" s="27"/>
      <c r="B277" s="33"/>
      <c r="C277" s="89" t="s">
        <v>280</v>
      </c>
      <c r="D277" s="162"/>
      <c r="E277" s="24"/>
      <c r="F277" s="109"/>
      <c r="G277" s="109"/>
      <c r="I277" s="24"/>
      <c r="J277" s="24"/>
    </row>
    <row r="278" spans="1:10" s="1" customFormat="1" ht="15.9" customHeight="1">
      <c r="A278" s="27"/>
      <c r="B278" s="33"/>
      <c r="C278" s="328" t="s">
        <v>649</v>
      </c>
      <c r="D278" s="328"/>
      <c r="E278" s="328"/>
      <c r="F278" s="109"/>
      <c r="G278" s="109"/>
      <c r="I278" s="109"/>
      <c r="J278" s="24"/>
    </row>
    <row r="279" spans="1:10" s="1" customFormat="1" ht="15.9" customHeight="1">
      <c r="A279" s="27"/>
      <c r="B279" s="33"/>
      <c r="C279" s="433" t="s">
        <v>650</v>
      </c>
      <c r="D279" s="327"/>
      <c r="E279" s="327"/>
      <c r="F279" s="109"/>
      <c r="G279" s="109"/>
      <c r="I279" s="109"/>
      <c r="J279" s="24"/>
    </row>
    <row r="280" spans="1:10" s="1" customFormat="1" ht="15.9" customHeight="1">
      <c r="A280" s="27"/>
      <c r="B280" s="33"/>
      <c r="C280" s="374">
        <f>$I$139</f>
        <v>2404</v>
      </c>
      <c r="F280" s="109"/>
      <c r="G280" s="109"/>
      <c r="I280" s="109"/>
      <c r="J280" s="24"/>
    </row>
    <row r="281" spans="1:10" s="1" customFormat="1" ht="15.9" customHeight="1">
      <c r="A281" s="27"/>
      <c r="B281" s="33"/>
      <c r="C281" s="363">
        <f>$J$139+$J$140</f>
        <v>2</v>
      </c>
      <c r="F281" s="109"/>
      <c r="G281" s="109"/>
      <c r="I281" s="109"/>
      <c r="J281" s="24"/>
    </row>
    <row r="282" spans="1:10" s="1" customFormat="1" ht="15.9" customHeight="1">
      <c r="A282" s="27"/>
      <c r="B282" s="33"/>
      <c r="F282" s="109"/>
      <c r="G282" s="109"/>
      <c r="H282" s="109"/>
      <c r="J282" s="12"/>
    </row>
    <row r="283" spans="1:10" s="1" customFormat="1" ht="15.9" customHeight="1">
      <c r="A283" s="27"/>
      <c r="B283" s="33"/>
      <c r="F283" s="109"/>
      <c r="G283" s="109"/>
      <c r="H283" s="109"/>
      <c r="J283" s="12"/>
    </row>
    <row r="284" spans="1:10" s="1" customFormat="1" ht="15.9" customHeight="1">
      <c r="A284" s="27"/>
      <c r="B284" s="33"/>
      <c r="F284" s="109"/>
      <c r="G284" s="109"/>
      <c r="H284" s="109"/>
      <c r="I284" s="162"/>
      <c r="J284" s="24"/>
    </row>
    <row r="285" spans="1:10" s="1" customFormat="1" ht="15.9" customHeight="1">
      <c r="A285" s="27"/>
      <c r="B285" s="33"/>
      <c r="C285" s="89" t="s">
        <v>283</v>
      </c>
      <c r="F285" s="109"/>
      <c r="G285" s="109"/>
      <c r="H285" s="109"/>
      <c r="I285" s="109"/>
      <c r="J285" s="24"/>
    </row>
    <row r="286" spans="1:10" s="1" customFormat="1" ht="15.9" customHeight="1">
      <c r="A286" s="27"/>
      <c r="B286" s="33"/>
      <c r="C286" s="94" t="s">
        <v>423</v>
      </c>
      <c r="D286" s="161"/>
      <c r="E286" s="109"/>
      <c r="F286" s="109"/>
      <c r="G286" s="109"/>
      <c r="H286" s="109"/>
      <c r="I286" s="24"/>
      <c r="J286" s="24"/>
    </row>
    <row r="287" spans="1:10" s="1" customFormat="1" ht="15.9" customHeight="1">
      <c r="A287" s="27"/>
      <c r="B287" s="33"/>
      <c r="C287" s="327" t="s">
        <v>424</v>
      </c>
      <c r="D287" s="161"/>
      <c r="E287" s="109"/>
      <c r="F287" s="109"/>
      <c r="G287" s="109"/>
      <c r="H287" s="109"/>
      <c r="I287" s="24"/>
      <c r="J287" s="24"/>
    </row>
    <row r="288" spans="1:10" s="1" customFormat="1" ht="15.9" customHeight="1">
      <c r="A288" s="27"/>
      <c r="B288" s="33"/>
      <c r="C288" s="328" t="s">
        <v>281</v>
      </c>
      <c r="D288" s="328"/>
      <c r="E288" s="328"/>
      <c r="F288" s="109"/>
      <c r="G288" s="109"/>
      <c r="I288" s="24"/>
      <c r="J288" s="24"/>
    </row>
    <row r="289" spans="1:10" s="23" customFormat="1" ht="15.9" customHeight="1">
      <c r="A289" s="27"/>
      <c r="B289" s="33"/>
      <c r="C289" s="327" t="s">
        <v>282</v>
      </c>
      <c r="D289" s="327"/>
      <c r="E289" s="327"/>
      <c r="F289" s="109"/>
      <c r="G289" s="109"/>
      <c r="H289" s="1"/>
      <c r="I289" s="109"/>
      <c r="J289" s="109"/>
    </row>
    <row r="290" spans="1:10" s="1" customFormat="1" ht="15.9" customHeight="1">
      <c r="A290" s="27"/>
      <c r="B290" s="33"/>
      <c r="C290" s="374">
        <f>$I$141</f>
        <v>434.33333333333331</v>
      </c>
      <c r="F290" s="109"/>
      <c r="G290" s="109"/>
      <c r="I290" s="44"/>
      <c r="J290" s="119"/>
    </row>
    <row r="291" spans="1:10" s="1" customFormat="1" ht="15.9" customHeight="1">
      <c r="A291" s="27"/>
      <c r="B291" s="33"/>
      <c r="C291" s="363">
        <f>$J$141+$J$142</f>
        <v>18</v>
      </c>
      <c r="D291" s="161"/>
      <c r="E291" s="109"/>
      <c r="F291" s="109"/>
      <c r="G291" s="109"/>
      <c r="H291" s="161"/>
      <c r="I291" s="32"/>
      <c r="J291" s="40"/>
    </row>
    <row r="292" spans="1:10" s="1" customFormat="1" ht="15.9" customHeight="1">
      <c r="A292" s="27"/>
      <c r="B292" s="33"/>
      <c r="C292" s="374">
        <f>$I$143</f>
        <v>2408</v>
      </c>
      <c r="D292" s="161"/>
      <c r="E292" s="109"/>
      <c r="F292" s="109"/>
      <c r="G292" s="109"/>
      <c r="H292" s="109"/>
      <c r="I292" s="24"/>
      <c r="J292" s="24"/>
    </row>
    <row r="293" spans="1:10" s="1" customFormat="1" ht="15.9" customHeight="1">
      <c r="A293" s="27"/>
      <c r="B293" s="33"/>
      <c r="C293" s="363">
        <f>$J$143+$J$144+$J$145+$J$146</f>
        <v>18</v>
      </c>
      <c r="D293" s="161"/>
      <c r="E293" s="109"/>
      <c r="F293" s="109"/>
      <c r="G293" s="109"/>
      <c r="H293" s="109"/>
      <c r="I293" s="24"/>
      <c r="J293" s="24"/>
    </row>
    <row r="294" spans="1:10" s="1" customFormat="1" ht="15.9" customHeight="1">
      <c r="A294" s="27"/>
      <c r="B294" s="33"/>
      <c r="D294" s="161"/>
      <c r="E294" s="109"/>
      <c r="F294" s="109"/>
      <c r="G294" s="109"/>
      <c r="H294" s="109"/>
      <c r="I294" s="24"/>
      <c r="J294" s="24"/>
    </row>
    <row r="295" spans="1:10" s="1" customFormat="1" ht="15.9" customHeight="1">
      <c r="A295" s="27"/>
      <c r="B295" s="33"/>
      <c r="C295" s="33"/>
      <c r="D295" s="161"/>
      <c r="E295" s="109"/>
      <c r="F295" s="109"/>
      <c r="G295" s="109"/>
      <c r="H295" s="109"/>
      <c r="I295" s="109"/>
      <c r="J295" s="24"/>
    </row>
    <row r="296" spans="1:10" s="1" customFormat="1" ht="15.9" customHeight="1">
      <c r="A296" s="27"/>
      <c r="B296" s="33"/>
      <c r="C296" s="23"/>
      <c r="D296" s="161"/>
      <c r="E296" s="109"/>
      <c r="F296" s="109"/>
      <c r="G296" s="109"/>
      <c r="H296" s="109"/>
      <c r="I296" s="109"/>
      <c r="J296" s="24"/>
    </row>
    <row r="297" spans="1:10" s="1" customFormat="1" ht="15.9" customHeight="1">
      <c r="A297" s="27"/>
      <c r="B297" s="33"/>
      <c r="C297" s="89" t="s">
        <v>284</v>
      </c>
      <c r="D297" s="161"/>
      <c r="E297" s="109"/>
      <c r="F297" s="109"/>
      <c r="G297" s="109"/>
      <c r="H297" s="109"/>
      <c r="I297" s="109"/>
      <c r="J297" s="24"/>
    </row>
    <row r="298" spans="1:10" s="1" customFormat="1" ht="15.9" customHeight="1">
      <c r="A298" s="27"/>
      <c r="B298" s="33"/>
      <c r="C298" s="94" t="s">
        <v>423</v>
      </c>
      <c r="D298" s="161"/>
      <c r="E298" s="109"/>
      <c r="F298" s="109"/>
      <c r="G298" s="44"/>
      <c r="H298" s="44"/>
      <c r="I298" s="109"/>
      <c r="J298" s="24"/>
    </row>
    <row r="299" spans="1:10" s="1" customFormat="1" ht="15.9" customHeight="1">
      <c r="A299" s="27"/>
      <c r="B299" s="33"/>
      <c r="C299" s="327" t="s">
        <v>424</v>
      </c>
      <c r="D299" s="328"/>
      <c r="E299" s="328"/>
      <c r="F299" s="109"/>
      <c r="G299" s="40"/>
      <c r="H299" s="32"/>
      <c r="I299" s="109"/>
      <c r="J299" s="24"/>
    </row>
    <row r="300" spans="1:10" s="1" customFormat="1" ht="15.9" customHeight="1">
      <c r="A300" s="41"/>
      <c r="B300" s="33"/>
      <c r="C300" s="328" t="s">
        <v>286</v>
      </c>
      <c r="D300" s="327"/>
      <c r="E300" s="327"/>
      <c r="F300" s="109"/>
      <c r="G300" s="109"/>
      <c r="H300" s="109"/>
      <c r="I300" s="109"/>
      <c r="J300" s="24"/>
    </row>
    <row r="301" spans="1:10" s="1" customFormat="1" ht="15.9" customHeight="1">
      <c r="A301" s="44"/>
      <c r="B301" s="44"/>
      <c r="C301" s="327" t="s">
        <v>285</v>
      </c>
      <c r="D301" s="86"/>
      <c r="E301" s="79"/>
      <c r="F301" s="44"/>
      <c r="G301" s="109"/>
      <c r="H301" s="109"/>
      <c r="I301" s="109"/>
      <c r="J301" s="24"/>
    </row>
    <row r="302" spans="1:10" s="1" customFormat="1" ht="15.9" customHeight="1">
      <c r="A302" s="40"/>
      <c r="B302" s="40"/>
      <c r="C302" s="374">
        <f>$I$147</f>
        <v>434.33333333333331</v>
      </c>
      <c r="D302" s="87"/>
      <c r="E302" s="80"/>
      <c r="F302" s="32"/>
      <c r="G302" s="109"/>
      <c r="H302" s="109"/>
      <c r="I302" s="109"/>
      <c r="J302" s="24"/>
    </row>
    <row r="303" spans="1:10" s="1" customFormat="1" ht="15.9" customHeight="1">
      <c r="A303" s="109"/>
      <c r="B303" s="33"/>
      <c r="C303" s="363">
        <f>$J$147</f>
        <v>18</v>
      </c>
      <c r="D303" s="15"/>
      <c r="F303" s="109"/>
      <c r="G303" s="109"/>
      <c r="H303" s="109"/>
      <c r="I303" s="109"/>
      <c r="J303" s="24"/>
    </row>
    <row r="304" spans="1:10" s="1" customFormat="1" ht="15.75" customHeight="1">
      <c r="A304" s="109"/>
      <c r="B304" s="33"/>
      <c r="C304" s="374">
        <f>$I$148</f>
        <v>2258</v>
      </c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C305" s="363">
        <f>$J$148</f>
        <v>18</v>
      </c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D306" s="15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89" t="s">
        <v>288</v>
      </c>
      <c r="D307" s="161"/>
      <c r="E307" s="109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328" t="s">
        <v>281</v>
      </c>
      <c r="D308" s="328"/>
      <c r="E308" s="328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542" t="s">
        <v>282</v>
      </c>
      <c r="D309" s="542"/>
      <c r="E309" s="542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74">
        <f>$I$149</f>
        <v>2408</v>
      </c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C311" s="363">
        <f>$J$149+$J$150</f>
        <v>2</v>
      </c>
      <c r="D311" s="328"/>
      <c r="E311" s="328"/>
      <c r="F311" s="109"/>
      <c r="G311" s="109"/>
      <c r="H311" s="109"/>
      <c r="I311" s="109"/>
      <c r="J311" s="24"/>
    </row>
    <row r="312" spans="1:14" s="1" customFormat="1" ht="15.75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33"/>
      <c r="D314" s="162"/>
      <c r="E314" s="24"/>
      <c r="F314" s="109"/>
      <c r="G314" s="109"/>
      <c r="H314" s="109"/>
      <c r="I314" s="27"/>
      <c r="J314" s="99" t="str">
        <f>LEFT($J$111,13)&amp;"-03"</f>
        <v>FG-240-9P4L5R-03</v>
      </c>
    </row>
    <row r="315" spans="1:14" ht="12.75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30" customHeight="1">
      <c r="I316" s="95"/>
      <c r="J316" s="90" t="str">
        <f>$J$2</f>
        <v>HOMELIFE</v>
      </c>
      <c r="K316" s="11"/>
      <c r="L316" s="11"/>
      <c r="M316" s="2"/>
      <c r="N316" s="2"/>
    </row>
    <row r="317" spans="1:14" ht="24.9" customHeight="1">
      <c r="B317" s="255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255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s="1" customFormat="1" ht="15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  <c r="K320" s="4"/>
      <c r="L320" s="4"/>
      <c r="M320" s="4"/>
      <c r="N320" s="4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256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256"/>
      <c r="I331" s="161"/>
      <c r="J331" s="109"/>
    </row>
    <row r="332" spans="1:10" s="1" customFormat="1" ht="15" customHeight="1">
      <c r="A332" s="64" t="str">
        <f>A18</f>
        <v>240-9 Panel (4L5R)</v>
      </c>
      <c r="B332" s="92"/>
      <c r="C332" s="161"/>
      <c r="D332" s="161"/>
      <c r="E332" s="109"/>
      <c r="F332" s="256"/>
      <c r="G332" s="256"/>
      <c r="H332" s="256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92"/>
      <c r="C333" s="161"/>
      <c r="D333" s="161"/>
      <c r="E333" s="109"/>
      <c r="F333" s="256"/>
      <c r="G333" s="256"/>
      <c r="H333" s="256"/>
      <c r="I333" s="109"/>
      <c r="J333" s="109"/>
    </row>
    <row r="334" spans="1:10" s="1" customFormat="1" ht="15.9" customHeight="1">
      <c r="A334" s="109"/>
      <c r="B334" s="45"/>
      <c r="C334" s="42"/>
      <c r="D334" s="161"/>
      <c r="E334" s="109"/>
      <c r="F334" s="507"/>
      <c r="G334" s="507"/>
      <c r="H334" s="256"/>
      <c r="I334" s="109"/>
      <c r="J334" s="109"/>
    </row>
    <row r="335" spans="1:10" s="1" customFormat="1" ht="15.9" customHeight="1">
      <c r="A335" s="39"/>
      <c r="B335" s="109"/>
      <c r="C335" s="161"/>
      <c r="D335" s="161"/>
      <c r="E335" s="109"/>
      <c r="F335" s="37"/>
      <c r="G335" s="38"/>
      <c r="H335" s="109"/>
      <c r="I335" s="109"/>
      <c r="J335" s="109"/>
    </row>
    <row r="336" spans="1:10" s="1" customFormat="1" ht="15.9" customHeight="1">
      <c r="A336" s="44"/>
      <c r="C336" s="43"/>
      <c r="D336" s="161"/>
      <c r="E336" s="109"/>
      <c r="F336" s="109"/>
      <c r="G336" s="109"/>
      <c r="H336" s="109"/>
      <c r="I336" s="44"/>
      <c r="J336" s="119"/>
    </row>
    <row r="337" spans="1:10" s="1" customFormat="1" ht="15.9" customHeight="1">
      <c r="A337" s="40"/>
      <c r="C337" s="44"/>
      <c r="D337" s="84"/>
      <c r="E337" s="44"/>
      <c r="F337" s="44"/>
      <c r="G337" s="44"/>
      <c r="H337" s="44"/>
      <c r="I337" s="32"/>
      <c r="J337" s="40"/>
    </row>
    <row r="338" spans="1:10" s="1" customFormat="1" ht="15.9" customHeight="1">
      <c r="A338" s="109"/>
      <c r="C338" s="161"/>
      <c r="D338" s="85"/>
      <c r="E338" s="40"/>
      <c r="F338" s="32"/>
      <c r="G338" s="40"/>
      <c r="H338" s="32"/>
      <c r="I338" s="24"/>
      <c r="J338" s="24"/>
    </row>
    <row r="339" spans="1:10" s="1" customFormat="1" ht="15.9" customHeight="1">
      <c r="A339" s="109"/>
      <c r="C339" s="163"/>
      <c r="D339" s="161"/>
      <c r="E339" s="109"/>
      <c r="F339" s="161"/>
      <c r="G339" s="109"/>
      <c r="H339" s="109"/>
      <c r="I339" s="24"/>
      <c r="J339" s="24"/>
    </row>
    <row r="340" spans="1:10" s="1" customFormat="1" ht="15.9" customHeight="1">
      <c r="A340" s="109"/>
      <c r="B340" s="33"/>
      <c r="C340" s="161"/>
      <c r="D340" s="161"/>
      <c r="E340" s="109"/>
      <c r="F340" s="161"/>
      <c r="G340" s="109"/>
      <c r="H340" s="109"/>
      <c r="I340" s="162"/>
      <c r="J340" s="162"/>
    </row>
    <row r="341" spans="1:10" s="1" customFormat="1" ht="15.9" customHeight="1">
      <c r="A341" s="109"/>
      <c r="B341" s="33"/>
      <c r="C341" s="44"/>
      <c r="D341" s="161"/>
      <c r="E341" s="109"/>
      <c r="F341" s="161"/>
      <c r="G341" s="109"/>
      <c r="H341" s="162"/>
      <c r="I341" s="161"/>
      <c r="J341" s="161"/>
    </row>
    <row r="342" spans="1:10" s="1" customFormat="1" ht="15.9" customHeight="1">
      <c r="A342" s="109"/>
      <c r="B342" s="33"/>
      <c r="C342" s="42"/>
      <c r="D342" s="161"/>
      <c r="E342" s="109"/>
      <c r="F342" s="161"/>
      <c r="G342" s="109"/>
      <c r="H342" s="161"/>
      <c r="I342" s="161"/>
      <c r="J342" s="161"/>
    </row>
    <row r="343" spans="1:10" s="1" customFormat="1" ht="15.9" customHeight="1">
      <c r="A343" s="109"/>
      <c r="B343" s="33"/>
      <c r="C343" s="163"/>
      <c r="D343" s="161"/>
      <c r="E343" s="109"/>
      <c r="F343" s="161"/>
      <c r="G343" s="109"/>
      <c r="H343" s="161"/>
      <c r="I343" s="109"/>
      <c r="J343" s="24"/>
    </row>
    <row r="344" spans="1:10" s="1" customFormat="1" ht="15.9" customHeight="1">
      <c r="A344" s="109"/>
      <c r="B344" s="33"/>
      <c r="C344" s="161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44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3"/>
      <c r="D350" s="161"/>
      <c r="E350" s="109"/>
      <c r="F350" s="161"/>
      <c r="G350" s="109"/>
      <c r="H350" s="109"/>
      <c r="I350" s="109"/>
      <c r="J350" s="24"/>
    </row>
    <row r="351" spans="1:10" s="1" customFormat="1" ht="15.9" customHeight="1">
      <c r="A351" s="109"/>
      <c r="B351" s="33"/>
      <c r="C351" s="161"/>
      <c r="D351" s="161"/>
      <c r="E351" s="109"/>
      <c r="F351" s="161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1" customFormat="1" ht="15" customHeight="1">
      <c r="A353" s="109"/>
      <c r="B353" s="33"/>
      <c r="C353" s="33"/>
      <c r="D353" s="161"/>
      <c r="E353" s="109"/>
      <c r="F353" s="109"/>
      <c r="G353" s="109"/>
      <c r="H353" s="107"/>
      <c r="I353" s="24"/>
      <c r="J353" s="24"/>
    </row>
    <row r="354" spans="1:10" s="23" customFormat="1" ht="15.9" customHeight="1">
      <c r="A354" s="109"/>
      <c r="B354" s="33"/>
      <c r="C354" s="33"/>
      <c r="D354" s="161"/>
      <c r="E354" s="109"/>
      <c r="F354" s="109"/>
      <c r="G354" s="109"/>
      <c r="H354" s="109"/>
      <c r="I354" s="109"/>
      <c r="J354" s="109"/>
    </row>
    <row r="355" spans="1:10" s="1" customFormat="1" ht="15.9" customHeight="1">
      <c r="A355" s="44"/>
      <c r="B355" s="33"/>
      <c r="C355" s="33"/>
      <c r="D355" s="161"/>
      <c r="E355" s="109"/>
      <c r="F355" s="109"/>
      <c r="G355" s="109"/>
      <c r="H355" s="109"/>
      <c r="I355" s="44"/>
      <c r="J355" s="119"/>
    </row>
    <row r="356" spans="1:10" s="1" customFormat="1" ht="15.9" customHeight="1">
      <c r="A356" s="40"/>
      <c r="B356" s="44"/>
      <c r="C356" s="44"/>
      <c r="D356" s="84"/>
      <c r="E356" s="44"/>
      <c r="F356" s="44"/>
      <c r="G356" s="44"/>
      <c r="H356" s="44"/>
      <c r="I356" s="32"/>
      <c r="J356" s="40"/>
    </row>
    <row r="357" spans="1:10" s="1" customFormat="1" ht="15.9" customHeight="1">
      <c r="A357" s="27"/>
      <c r="B357" s="40"/>
      <c r="C357" s="44"/>
      <c r="D357" s="85"/>
      <c r="E357" s="40"/>
      <c r="F357" s="32"/>
      <c r="G357" s="40"/>
      <c r="H357" s="32"/>
      <c r="I357" s="24"/>
      <c r="J357" s="24"/>
    </row>
    <row r="358" spans="1:10" s="1" customFormat="1" ht="15.9" customHeight="1">
      <c r="A358" s="27"/>
      <c r="B358" s="33"/>
      <c r="C358" s="42"/>
      <c r="D358" s="161"/>
      <c r="E358" s="109"/>
      <c r="F358" s="109"/>
      <c r="G358" s="109"/>
      <c r="H358" s="42"/>
      <c r="I358" s="163"/>
      <c r="J358" s="163"/>
    </row>
    <row r="359" spans="1:10" s="1" customFormat="1" ht="15.9" customHeight="1">
      <c r="A359" s="27"/>
      <c r="B359" s="33"/>
      <c r="C359" s="163"/>
      <c r="D359" s="161"/>
      <c r="E359" s="109"/>
      <c r="F359" s="109"/>
      <c r="G359" s="109"/>
      <c r="H359" s="163"/>
      <c r="I359" s="161"/>
      <c r="J359" s="161"/>
    </row>
    <row r="360" spans="1:10" s="1" customFormat="1" ht="15.9" customHeight="1">
      <c r="A360" s="27"/>
      <c r="B360" s="33"/>
      <c r="C360" s="161"/>
      <c r="D360" s="161"/>
      <c r="E360" s="109"/>
      <c r="F360" s="109"/>
      <c r="G360" s="109"/>
      <c r="H360" s="161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46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161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D372" s="161"/>
      <c r="E372" s="109"/>
      <c r="F372" s="109"/>
      <c r="G372" s="33"/>
      <c r="H372" s="33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42"/>
      <c r="I376" s="163"/>
      <c r="J376" s="163"/>
    </row>
    <row r="377" spans="1:10" s="1" customFormat="1" ht="15.9" customHeight="1">
      <c r="A377" s="27"/>
      <c r="B377" s="33"/>
      <c r="C377" s="47"/>
      <c r="D377" s="161"/>
      <c r="E377" s="109"/>
      <c r="F377" s="109"/>
      <c r="G377" s="109"/>
      <c r="H377" s="163"/>
      <c r="I377" s="161"/>
      <c r="J377" s="161"/>
    </row>
    <row r="378" spans="1:10" s="1" customFormat="1" ht="15.9" customHeight="1">
      <c r="A378" s="27"/>
      <c r="B378" s="33"/>
      <c r="C378" s="46"/>
      <c r="D378" s="161"/>
      <c r="E378" s="109"/>
      <c r="F378" s="109"/>
      <c r="G378" s="109"/>
      <c r="H378" s="161"/>
      <c r="I378" s="24"/>
      <c r="J378" s="24"/>
    </row>
    <row r="379" spans="1:10" s="1" customFormat="1" ht="15.9" customHeight="1">
      <c r="A379" s="27"/>
      <c r="B379" s="33"/>
      <c r="C379" s="161"/>
      <c r="D379" s="161"/>
      <c r="E379" s="109"/>
      <c r="F379" s="109"/>
      <c r="G379" s="109"/>
      <c r="H379" s="42"/>
      <c r="I379" s="163"/>
      <c r="J379" s="163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3"/>
      <c r="I380" s="161"/>
      <c r="J380" s="161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1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64"/>
      <c r="J388" s="16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4"/>
      <c r="I389" s="165"/>
      <c r="J389" s="165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5"/>
      <c r="I390" s="161"/>
      <c r="J390" s="161"/>
    </row>
    <row r="391" spans="1:10" s="1" customFormat="1" ht="15.9" customHeight="1">
      <c r="A391" s="27"/>
      <c r="B391" s="33"/>
      <c r="C391" s="47"/>
      <c r="D391" s="161"/>
      <c r="E391" s="109"/>
      <c r="F391" s="109"/>
      <c r="G391" s="109"/>
      <c r="H391" s="161"/>
      <c r="I391" s="24"/>
      <c r="J391" s="24"/>
    </row>
    <row r="392" spans="1:10" s="1" customFormat="1" ht="15.9" customHeight="1">
      <c r="A392" s="27"/>
      <c r="B392" s="33"/>
      <c r="C392" s="46"/>
      <c r="D392" s="161"/>
      <c r="E392" s="109"/>
      <c r="F392" s="109"/>
      <c r="G392" s="109"/>
      <c r="H392" s="109"/>
      <c r="I392" s="109"/>
      <c r="J392" s="24"/>
    </row>
    <row r="393" spans="1:10" s="1" customFormat="1" ht="15.9" customHeight="1">
      <c r="A393" s="27"/>
      <c r="B393" s="33"/>
      <c r="C393" s="161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23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1" customFormat="1" ht="15.9" customHeight="1">
      <c r="A405" s="44"/>
      <c r="B405" s="33"/>
      <c r="C405" s="33"/>
      <c r="D405" s="161"/>
      <c r="E405" s="109"/>
      <c r="F405" s="109"/>
      <c r="G405" s="109"/>
      <c r="H405" s="109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75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109"/>
      <c r="B419" s="44"/>
      <c r="C419" s="44"/>
      <c r="D419" s="84"/>
      <c r="E419" s="44"/>
      <c r="F419" s="44"/>
      <c r="G419" s="44"/>
      <c r="H419" s="44"/>
      <c r="I419" s="24"/>
      <c r="J419" s="24"/>
      <c r="K419" s="71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LEFT($J$111,13)&amp;"-04"</f>
        <v>FG-240-9P4L5R-04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B423" s="33"/>
      <c r="C423" s="33"/>
      <c r="D423" s="161"/>
      <c r="E423" s="109"/>
      <c r="F423" s="109"/>
      <c r="G423" s="109"/>
      <c r="H423" s="109"/>
      <c r="I423" s="95"/>
      <c r="J423" s="90" t="str">
        <f>J2</f>
        <v>HOMELIFE</v>
      </c>
      <c r="K423" s="11"/>
      <c r="L423" s="11"/>
      <c r="M423" s="2"/>
      <c r="N423" s="2"/>
    </row>
    <row r="424" spans="1:14" ht="24.9" customHeight="1">
      <c r="B424" s="255"/>
      <c r="C424" s="5"/>
      <c r="D424" s="95"/>
      <c r="E424" s="95"/>
      <c r="F424" s="95"/>
      <c r="G424" s="95"/>
      <c r="H424" s="95"/>
      <c r="I424" s="28"/>
      <c r="J424" s="91" t="str">
        <f>J3</f>
        <v>Fabricators Guide</v>
      </c>
      <c r="K424" s="11"/>
      <c r="L424" s="11"/>
      <c r="M424" s="2"/>
      <c r="N424" s="2"/>
    </row>
    <row r="425" spans="1:14" ht="24.9" customHeight="1">
      <c r="B425" s="255"/>
      <c r="C425" s="28"/>
      <c r="D425" s="28"/>
      <c r="E425" s="28"/>
      <c r="F425" s="28"/>
      <c r="G425" s="28"/>
      <c r="H425" s="28"/>
      <c r="I425" s="28"/>
      <c r="J425" s="91" t="str">
        <f>J4</f>
        <v xml:space="preserve">240 Series Bi Fold Door </v>
      </c>
      <c r="K425" s="48"/>
      <c r="L425" s="48"/>
      <c r="M425" s="4"/>
      <c r="N425" s="4"/>
    </row>
    <row r="426" spans="1:14" s="1" customFormat="1" ht="15" customHeight="1" thickBot="1">
      <c r="A426" s="78"/>
      <c r="B426" s="8"/>
      <c r="C426" s="28"/>
      <c r="D426" s="28"/>
      <c r="E426" s="28"/>
      <c r="F426" s="28"/>
      <c r="G426" s="28"/>
      <c r="H426" s="2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  <c r="K427" s="4"/>
      <c r="L427" s="4"/>
      <c r="M427" s="4"/>
      <c r="N427" s="4"/>
    </row>
    <row r="428" spans="1:14" s="1" customFormat="1" ht="15" customHeight="1">
      <c r="A428" s="193"/>
      <c r="B428" s="194"/>
      <c r="C428" s="194"/>
      <c r="D428" s="194"/>
      <c r="E428" s="194"/>
      <c r="F428" s="194"/>
      <c r="G428" s="194"/>
      <c r="H428" s="194"/>
      <c r="I428" s="193"/>
      <c r="K428" s="56"/>
      <c r="L428" s="56"/>
      <c r="M428" s="56"/>
      <c r="N428" s="56"/>
    </row>
    <row r="429" spans="1:14" s="1" customFormat="1" ht="15" customHeight="1">
      <c r="A429" s="45"/>
      <c r="B429" s="193"/>
      <c r="C429" s="193"/>
      <c r="D429" s="193"/>
      <c r="E429" s="193"/>
      <c r="F429" s="193"/>
      <c r="G429" s="193"/>
      <c r="H429" s="193"/>
      <c r="I429" s="44"/>
      <c r="J429" s="119"/>
    </row>
    <row r="430" spans="1:14" s="1" customFormat="1" ht="15" customHeight="1">
      <c r="A430" s="109"/>
      <c r="B430" s="39"/>
      <c r="C430" s="33"/>
      <c r="D430" s="161"/>
      <c r="E430" s="35"/>
      <c r="F430" s="39"/>
      <c r="G430" s="193"/>
      <c r="H430" s="44"/>
      <c r="I430" s="44"/>
      <c r="J430" s="119"/>
    </row>
    <row r="431" spans="1:14" s="1" customFormat="1" ht="15" customHeight="1">
      <c r="A431" s="109"/>
      <c r="B431" s="33"/>
      <c r="C431" s="33"/>
      <c r="D431" s="161"/>
      <c r="E431" s="35"/>
      <c r="F431" s="161"/>
      <c r="G431" s="193"/>
      <c r="H431" s="44"/>
      <c r="I431" s="44"/>
      <c r="J431" s="119"/>
    </row>
    <row r="432" spans="1:14" s="1" customFormat="1" ht="15" customHeight="1">
      <c r="A432" s="109"/>
      <c r="B432" s="56"/>
      <c r="C432" s="56"/>
      <c r="D432" s="30"/>
      <c r="E432" s="29"/>
      <c r="F432" s="30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109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3"/>
      <c r="H434" s="44"/>
      <c r="I434" s="44"/>
      <c r="J434" s="119"/>
    </row>
    <row r="435" spans="1:10" s="1" customFormat="1" ht="15" customHeight="1">
      <c r="A435" s="109"/>
      <c r="B435" s="33"/>
      <c r="C435" s="161"/>
      <c r="D435" s="161"/>
      <c r="E435" s="35"/>
      <c r="F435" s="161"/>
      <c r="H435" s="44"/>
      <c r="I435" s="44"/>
      <c r="J435" s="119"/>
    </row>
    <row r="436" spans="1:10" s="1" customFormat="1" ht="15" customHeight="1">
      <c r="A436" s="39"/>
      <c r="B436" s="33"/>
      <c r="C436" s="42"/>
      <c r="D436" s="161"/>
      <c r="E436" s="109"/>
      <c r="F436" s="69"/>
      <c r="H436" s="44"/>
      <c r="I436" s="44"/>
      <c r="J436" s="119"/>
    </row>
    <row r="437" spans="1:10" s="1" customFormat="1" ht="15" customHeight="1">
      <c r="A437" s="92"/>
      <c r="B437" s="39"/>
      <c r="C437" s="163"/>
      <c r="D437" s="161"/>
      <c r="E437" s="109"/>
      <c r="F437" s="68"/>
      <c r="H437" s="44"/>
      <c r="I437" s="44"/>
      <c r="J437" s="119"/>
    </row>
    <row r="438" spans="1:10" s="1" customFormat="1" ht="15" customHeight="1">
      <c r="B438" s="92"/>
      <c r="C438" s="161"/>
      <c r="D438" s="161"/>
      <c r="E438" s="109"/>
      <c r="F438" s="256"/>
      <c r="H438" s="44"/>
      <c r="I438" s="44"/>
      <c r="J438" s="119"/>
    </row>
    <row r="439" spans="1:10" s="1" customFormat="1" ht="15" customHeight="1">
      <c r="A439" s="64" t="str">
        <f>A18</f>
        <v>240-9 Panel (4L5R)</v>
      </c>
      <c r="B439" s="92"/>
      <c r="C439" s="161"/>
      <c r="D439" s="161"/>
      <c r="E439" s="109"/>
      <c r="F439" s="256"/>
      <c r="H439" s="44"/>
      <c r="I439" s="44"/>
      <c r="J439" s="119"/>
    </row>
    <row r="440" spans="1:10" s="1" customFormat="1" ht="15.9" customHeight="1">
      <c r="A440" s="76" t="str">
        <f>A19</f>
        <v xml:space="preserve">Outside Bi Fold Door </v>
      </c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44"/>
      <c r="B442" s="38"/>
      <c r="C442" s="43"/>
      <c r="D442" s="161"/>
      <c r="E442" s="109"/>
      <c r="F442" s="109"/>
      <c r="H442" s="44"/>
      <c r="I442" s="44"/>
      <c r="J442" s="119"/>
    </row>
    <row r="443" spans="1:10" s="1" customFormat="1" ht="15.9" customHeight="1">
      <c r="A443" s="40"/>
      <c r="C443" s="44"/>
      <c r="D443" s="84"/>
      <c r="E443" s="44"/>
      <c r="F443" s="44"/>
      <c r="H443" s="44"/>
      <c r="I443" s="44"/>
      <c r="J443" s="119"/>
    </row>
    <row r="444" spans="1:10" s="1" customFormat="1" ht="15.9" customHeight="1">
      <c r="A444" s="109"/>
      <c r="C444" s="161"/>
      <c r="D444" s="85"/>
      <c r="E444" s="40"/>
      <c r="F444" s="32"/>
      <c r="H444" s="44"/>
      <c r="I444" s="24"/>
      <c r="J444" s="24"/>
    </row>
    <row r="445" spans="1:10" ht="15.6">
      <c r="B445" s="64"/>
      <c r="C445" s="163"/>
      <c r="D445" s="161"/>
      <c r="E445" s="109"/>
      <c r="F445" s="161"/>
      <c r="G445" s="109"/>
      <c r="H445" s="109"/>
    </row>
    <row r="450" spans="1:10" s="1" customFormat="1" ht="15.9" customHeight="1">
      <c r="A450" s="109"/>
      <c r="B450"/>
      <c r="C450"/>
      <c r="D450" s="81"/>
      <c r="E450"/>
      <c r="F450"/>
      <c r="G450"/>
      <c r="H450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44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1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163"/>
      <c r="D456" s="161"/>
      <c r="E456" s="109"/>
      <c r="F456" s="161"/>
      <c r="G456" s="109"/>
      <c r="H456" s="109"/>
      <c r="I456" s="109"/>
      <c r="J456" s="24"/>
    </row>
    <row r="457" spans="1:10" s="1" customFormat="1" ht="15.9" customHeight="1">
      <c r="A457" s="109"/>
      <c r="B457" s="33"/>
      <c r="C457" s="161"/>
      <c r="D457" s="161"/>
      <c r="E457" s="109"/>
      <c r="F457" s="161"/>
      <c r="G457" s="109"/>
      <c r="H457" s="109"/>
      <c r="I457" s="24"/>
      <c r="J457" s="24"/>
    </row>
    <row r="458" spans="1:10" s="1" customFormat="1" ht="15.9" customHeight="1">
      <c r="A458" s="109"/>
      <c r="B458" s="33"/>
      <c r="C458" s="33"/>
      <c r="D458" s="161"/>
      <c r="E458" s="109"/>
      <c r="F458" s="109"/>
      <c r="G458" s="109"/>
      <c r="H458" s="109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7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" customHeight="1">
      <c r="A476" s="109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23" customFormat="1" ht="15.9" customHeight="1">
      <c r="A477" s="109"/>
      <c r="B477" s="33"/>
      <c r="C477" s="33"/>
      <c r="D477" s="161"/>
      <c r="E477" s="109"/>
      <c r="F477" s="109"/>
      <c r="G477" s="109"/>
      <c r="H477" s="109"/>
      <c r="I477" s="109"/>
      <c r="J477" s="109"/>
    </row>
    <row r="478" spans="1:10" s="1" customFormat="1" ht="15.9" customHeight="1">
      <c r="A478" s="44"/>
      <c r="B478" s="33"/>
      <c r="C478" s="33"/>
      <c r="D478" s="161"/>
      <c r="E478" s="109"/>
      <c r="F478" s="109"/>
      <c r="G478" s="109"/>
      <c r="H478" s="109"/>
      <c r="I478" s="44"/>
      <c r="J478" s="119"/>
    </row>
    <row r="479" spans="1:10" s="1" customFormat="1" ht="15.9" customHeight="1">
      <c r="A479" s="40"/>
      <c r="B479" s="44"/>
      <c r="C479" s="44"/>
      <c r="D479" s="84"/>
      <c r="E479" s="44"/>
      <c r="F479" s="44"/>
      <c r="G479" s="44"/>
      <c r="H479" s="44"/>
      <c r="I479" s="32"/>
      <c r="J479" s="40"/>
    </row>
    <row r="480" spans="1:10" s="1" customFormat="1" ht="15.9" customHeight="1">
      <c r="A480" s="27"/>
      <c r="B480" s="40"/>
      <c r="C480" s="44"/>
      <c r="D480" s="85"/>
      <c r="E480" s="40"/>
      <c r="F480" s="32"/>
      <c r="G480" s="40"/>
      <c r="H480" s="32"/>
      <c r="I480" s="24"/>
      <c r="J480" s="24"/>
    </row>
    <row r="481" spans="1:10" s="1" customFormat="1" ht="15.9" customHeight="1">
      <c r="A481" s="27"/>
      <c r="B481" s="33"/>
      <c r="C481" s="42"/>
      <c r="D481" s="161"/>
      <c r="E481" s="109"/>
      <c r="F481" s="109"/>
      <c r="G481" s="109"/>
      <c r="H481" s="42"/>
      <c r="I481" s="67"/>
      <c r="J481" s="165"/>
    </row>
    <row r="482" spans="1:10" s="1" customFormat="1" ht="15.9" customHeight="1">
      <c r="A482" s="27"/>
      <c r="B482" s="33"/>
      <c r="C482" s="163"/>
      <c r="D482" s="161"/>
      <c r="E482" s="109"/>
      <c r="F482" s="109"/>
      <c r="G482" s="109"/>
      <c r="H482" s="67"/>
      <c r="I482" s="38"/>
      <c r="J482" s="109"/>
    </row>
    <row r="483" spans="1:10" s="1" customFormat="1" ht="15.9" customHeight="1">
      <c r="A483" s="27"/>
      <c r="B483" s="33"/>
      <c r="C483" s="161"/>
      <c r="D483" s="161"/>
      <c r="E483" s="109"/>
      <c r="F483" s="109"/>
      <c r="G483" s="109"/>
      <c r="H483" s="38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46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161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D495" s="161"/>
      <c r="E495" s="109"/>
      <c r="F495" s="109"/>
      <c r="G495" s="33"/>
      <c r="H495" s="33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42"/>
      <c r="I499" s="67"/>
      <c r="J499" s="165"/>
    </row>
    <row r="500" spans="1:10" s="1" customFormat="1" ht="15.9" customHeight="1">
      <c r="A500" s="27"/>
      <c r="B500" s="33"/>
      <c r="C500" s="47"/>
      <c r="D500" s="161"/>
      <c r="E500" s="109"/>
      <c r="F500" s="109"/>
      <c r="G500" s="109"/>
      <c r="H500" s="67"/>
      <c r="I500" s="38"/>
      <c r="J500" s="109"/>
    </row>
    <row r="501" spans="1:10" s="1" customFormat="1" ht="15.9" customHeight="1">
      <c r="A501" s="27"/>
      <c r="B501" s="33"/>
      <c r="C501" s="46"/>
      <c r="D501" s="161"/>
      <c r="E501" s="109"/>
      <c r="F501" s="109"/>
      <c r="G501" s="109"/>
      <c r="H501" s="38"/>
      <c r="I501" s="24"/>
      <c r="J501" s="24"/>
    </row>
    <row r="502" spans="1:10" s="1" customFormat="1" ht="15.9" customHeight="1">
      <c r="A502" s="27"/>
      <c r="B502" s="33"/>
      <c r="C502" s="161"/>
      <c r="D502" s="161"/>
      <c r="E502" s="109"/>
      <c r="F502" s="109"/>
      <c r="G502" s="109"/>
      <c r="H502" s="42"/>
      <c r="I502" s="67"/>
      <c r="J502" s="165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67"/>
      <c r="I503" s="38"/>
      <c r="J503" s="109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38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38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38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38"/>
      <c r="I507" s="24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24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24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109"/>
      <c r="J512" s="24"/>
    </row>
    <row r="513" spans="1:22" s="1" customFormat="1" ht="15.9" customHeight="1">
      <c r="A513" s="27"/>
      <c r="B513" s="33"/>
      <c r="C513" s="33"/>
      <c r="D513" s="161"/>
      <c r="E513" s="109"/>
      <c r="F513" s="109"/>
      <c r="G513" s="109"/>
      <c r="H513" s="109"/>
      <c r="I513" s="109"/>
      <c r="J513" s="24"/>
    </row>
    <row r="514" spans="1:22" s="1" customFormat="1" ht="15.9" customHeight="1">
      <c r="A514" s="27"/>
      <c r="B514" s="33"/>
      <c r="C514" s="33"/>
      <c r="D514" s="161"/>
      <c r="E514" s="109"/>
      <c r="F514" s="109"/>
      <c r="G514" s="109"/>
      <c r="H514" s="109"/>
      <c r="I514" s="109"/>
      <c r="J514" s="24"/>
    </row>
    <row r="515" spans="1:22" s="1" customFormat="1" ht="15.9" customHeight="1">
      <c r="A515" s="44"/>
      <c r="B515" s="44"/>
      <c r="C515" s="44"/>
      <c r="D515" s="84"/>
      <c r="E515" s="44"/>
      <c r="F515" s="44"/>
      <c r="G515" s="44"/>
      <c r="H515" s="44"/>
      <c r="I515" s="44"/>
      <c r="J515" s="119"/>
    </row>
    <row r="516" spans="1:22" s="1" customFormat="1" ht="15.9" customHeight="1">
      <c r="A516" s="44"/>
      <c r="B516" s="44"/>
      <c r="C516" s="44"/>
      <c r="D516" s="84"/>
      <c r="E516" s="44"/>
      <c r="F516" s="44"/>
      <c r="G516" s="44"/>
      <c r="H516" s="44"/>
      <c r="I516" s="44"/>
      <c r="J516" s="119"/>
    </row>
    <row r="517" spans="1:22" s="1" customFormat="1" ht="15.9" customHeight="1">
      <c r="B517" s="44"/>
      <c r="C517" s="44"/>
      <c r="D517" s="84"/>
      <c r="E517" s="44"/>
      <c r="F517" s="44"/>
      <c r="G517" s="44"/>
      <c r="H517" s="44"/>
    </row>
    <row r="518" spans="1:22" s="1" customFormat="1" ht="15.9" customHeight="1" thickBot="1"/>
    <row r="519" spans="1:22" s="1" customFormat="1" ht="24.9" customHeight="1" thickBot="1">
      <c r="A519" s="502" t="s">
        <v>401</v>
      </c>
      <c r="B519" s="503"/>
      <c r="C519" s="503"/>
      <c r="D519" s="503"/>
      <c r="E519" s="503"/>
      <c r="F519" s="503"/>
      <c r="G519" s="503"/>
      <c r="H519" s="503"/>
      <c r="I519" s="503"/>
      <c r="J519" s="504"/>
    </row>
    <row r="520" spans="1:22" s="1" customFormat="1" ht="35.1" customHeight="1" thickBot="1">
      <c r="A520" s="146" t="s">
        <v>2</v>
      </c>
      <c r="B520" s="147" t="s">
        <v>3</v>
      </c>
      <c r="C520" s="103" t="s">
        <v>3</v>
      </c>
      <c r="D520" s="104" t="s">
        <v>35</v>
      </c>
      <c r="E520" s="103" t="s">
        <v>5</v>
      </c>
      <c r="F520" s="252" t="s">
        <v>27</v>
      </c>
      <c r="G520" s="305"/>
      <c r="H520" s="104" t="s">
        <v>27</v>
      </c>
      <c r="I520" s="104" t="s">
        <v>26</v>
      </c>
      <c r="J520" s="115" t="s">
        <v>6</v>
      </c>
      <c r="N520" s="249" t="s">
        <v>3</v>
      </c>
      <c r="O520" s="249" t="s">
        <v>3</v>
      </c>
    </row>
    <row r="521" spans="1:22" s="1" customFormat="1" ht="15.9" customHeight="1">
      <c r="A521" s="150">
        <f>IF(C521="","",1)</f>
        <v>1</v>
      </c>
      <c r="B521" s="121" t="str">
        <f>IF($D$127=5,N521,IF($D$127=6,N522,IF($D$127=8,N523,IF($D$127=10,N524,IF($D$127=12,N525,IF($D$127=14,N526,IF($D$127=18,N527,IF($D$127=20,N528,IF($D$127=22,N529,)))))))))</f>
        <v>กระจก 8 mm (สูง) (กว้าง)</v>
      </c>
      <c r="C521" s="121" t="str">
        <f>IF($D$127=5,O521,IF($D$127=6,O522,IF($D$127=8,O523,IF($D$127=10,O524,IF($D$127=12,O525,IF($D$127=14,O526,IF($D$127=18,O527,IF($D$127=20,O528,IF($D$127=22,O529,)))))))))</f>
        <v>GLASS thk.8 mm (H) (W)</v>
      </c>
      <c r="D521" s="124">
        <f>$J$123-215</f>
        <v>2285</v>
      </c>
      <c r="E521" s="123" t="s">
        <v>11</v>
      </c>
      <c r="F521" s="527" t="s">
        <v>271</v>
      </c>
      <c r="G521" s="528"/>
      <c r="H521" s="123" t="s">
        <v>303</v>
      </c>
      <c r="I521" s="124">
        <f>(($J$126-185-(113.25*8))/9)-13</f>
        <v>421.33333333333331</v>
      </c>
      <c r="J521" s="299">
        <f>$J$120*9</f>
        <v>9</v>
      </c>
      <c r="N521" s="19" t="s">
        <v>194</v>
      </c>
      <c r="O521" s="19" t="s">
        <v>195</v>
      </c>
    </row>
    <row r="522" spans="1:22" s="1" customFormat="1" ht="15.9" customHeight="1">
      <c r="A522" s="152"/>
      <c r="B522" s="127"/>
      <c r="C522" s="127"/>
      <c r="D522" s="128" t="s">
        <v>0</v>
      </c>
      <c r="E522" s="129"/>
      <c r="F522" s="155"/>
      <c r="G522" s="156"/>
      <c r="H522" s="127"/>
      <c r="I522" s="130"/>
      <c r="J522" s="153"/>
      <c r="N522" s="19" t="s">
        <v>53</v>
      </c>
      <c r="O522" s="19" t="s">
        <v>54</v>
      </c>
    </row>
    <row r="523" spans="1:22" s="1" customFormat="1" ht="15.9" customHeight="1">
      <c r="A523" s="152"/>
      <c r="B523" s="127"/>
      <c r="C523" s="127"/>
      <c r="D523" s="128"/>
      <c r="E523" s="129"/>
      <c r="F523" s="155"/>
      <c r="G523" s="156"/>
      <c r="H523" s="129"/>
      <c r="I523" s="130"/>
      <c r="J523" s="153"/>
      <c r="N523" s="19" t="s">
        <v>257</v>
      </c>
      <c r="O523" s="19" t="s">
        <v>258</v>
      </c>
    </row>
    <row r="524" spans="1:22" s="1" customFormat="1" ht="15.9" customHeight="1">
      <c r="A524" s="129" t="str">
        <f>IF(B524="","",+A522+1)</f>
        <v/>
      </c>
      <c r="B524" s="127"/>
      <c r="C524" s="127"/>
      <c r="D524" s="128"/>
      <c r="E524" s="129"/>
      <c r="F524" s="155"/>
      <c r="G524" s="157"/>
      <c r="H524" s="129"/>
      <c r="I524" s="144"/>
      <c r="J524" s="130"/>
      <c r="N524" s="19" t="s">
        <v>259</v>
      </c>
      <c r="O524" s="19" t="s">
        <v>265</v>
      </c>
    </row>
    <row r="525" spans="1:22" s="1" customFormat="1" ht="15.9" customHeight="1">
      <c r="A525" s="135" t="str">
        <f>IF(B525="","",+A524+1)</f>
        <v/>
      </c>
      <c r="B525" s="133"/>
      <c r="C525" s="133"/>
      <c r="D525" s="134"/>
      <c r="E525" s="135"/>
      <c r="F525" s="158"/>
      <c r="G525" s="159"/>
      <c r="H525" s="135"/>
      <c r="I525" s="145"/>
      <c r="J525" s="136"/>
      <c r="N525" s="19" t="s">
        <v>260</v>
      </c>
      <c r="O525" s="19" t="s">
        <v>266</v>
      </c>
    </row>
    <row r="526" spans="1:22" s="1" customFormat="1" ht="15.9" customHeight="1">
      <c r="A526" s="17"/>
      <c r="B526" s="56"/>
      <c r="C526" s="56"/>
      <c r="D526" s="30"/>
      <c r="E526" s="17"/>
      <c r="F526" s="17"/>
      <c r="G526" s="17"/>
      <c r="H526" s="109"/>
      <c r="I526" s="109"/>
      <c r="J526" s="24"/>
      <c r="N526" s="19" t="s">
        <v>261</v>
      </c>
      <c r="O526" s="19" t="s">
        <v>267</v>
      </c>
    </row>
    <row r="527" spans="1:22">
      <c r="H527" s="294"/>
      <c r="I527" s="294"/>
      <c r="J527" s="99" t="str">
        <f>LEFT($J$111,13)&amp;"-05"</f>
        <v>FG-240-9P4L5R-05</v>
      </c>
      <c r="N527" s="19" t="s">
        <v>262</v>
      </c>
      <c r="O527" s="19" t="s">
        <v>268</v>
      </c>
      <c r="P527" s="1"/>
      <c r="Q527" s="1"/>
      <c r="R527" s="1"/>
      <c r="S527" s="1"/>
      <c r="T527" s="1"/>
      <c r="U527" s="1"/>
      <c r="V527" s="1"/>
    </row>
    <row r="528" spans="1:22">
      <c r="N528" s="19" t="s">
        <v>263</v>
      </c>
      <c r="O528" s="19" t="s">
        <v>269</v>
      </c>
    </row>
    <row r="529" spans="14:15">
      <c r="N529" s="19" t="s">
        <v>264</v>
      </c>
      <c r="O529" s="19" t="s">
        <v>270</v>
      </c>
    </row>
  </sheetData>
  <sheetProtection selectLockedCells="1" selectUnlockedCells="1"/>
  <dataConsolidate function="product">
    <dataRefs count="1">
      <dataRef ref="N129:N131" sheet="240_7Panel(6L1R)" r:id="rId1"/>
    </dataRefs>
  </dataConsolidate>
  <mergeCells count="46">
    <mergeCell ref="I153:J153"/>
    <mergeCell ref="I154:J154"/>
    <mergeCell ref="D129:G129"/>
    <mergeCell ref="D159:D160"/>
    <mergeCell ref="D161:D166"/>
    <mergeCell ref="D123:G123"/>
    <mergeCell ref="D125:G125"/>
    <mergeCell ref="D127:G127"/>
    <mergeCell ref="A131:J131"/>
    <mergeCell ref="I152:J152"/>
    <mergeCell ref="A171:J171"/>
    <mergeCell ref="I156:J156"/>
    <mergeCell ref="D157:D158"/>
    <mergeCell ref="H157:H158"/>
    <mergeCell ref="I157:J158"/>
    <mergeCell ref="I159:J159"/>
    <mergeCell ref="I160:J163"/>
    <mergeCell ref="I164:J165"/>
    <mergeCell ref="I166:J166"/>
    <mergeCell ref="D167:D168"/>
    <mergeCell ref="D169:D170"/>
    <mergeCell ref="H161:H166"/>
    <mergeCell ref="H159:H160"/>
    <mergeCell ref="H167:H168"/>
    <mergeCell ref="H169:H170"/>
    <mergeCell ref="A213:J213"/>
    <mergeCell ref="F334:G334"/>
    <mergeCell ref="F330:G330"/>
    <mergeCell ref="F331:G331"/>
    <mergeCell ref="A6:J6"/>
    <mergeCell ref="H120:I121"/>
    <mergeCell ref="J120:J121"/>
    <mergeCell ref="A117:J117"/>
    <mergeCell ref="D119:G119"/>
    <mergeCell ref="D121:G121"/>
    <mergeCell ref="I155:J155"/>
    <mergeCell ref="H123:I124"/>
    <mergeCell ref="J123:J124"/>
    <mergeCell ref="A125:B125"/>
    <mergeCell ref="H126:I127"/>
    <mergeCell ref="J126:J127"/>
    <mergeCell ref="C309:E309"/>
    <mergeCell ref="F521:G521"/>
    <mergeCell ref="A519:J519"/>
    <mergeCell ref="A427:J427"/>
    <mergeCell ref="A320:J320"/>
  </mergeCells>
  <dataValidations count="3">
    <dataValidation type="list" allowBlank="1" showInputMessage="1" showErrorMessage="1" sqref="D123:G123">
      <formula1>$P$118:$P$127</formula1>
    </dataValidation>
    <dataValidation type="list" allowBlank="1" showInputMessage="1" showErrorMessage="1" sqref="D127:G127">
      <formula1>$N$119:$N$127</formula1>
    </dataValidation>
    <dataValidation type="list" allowBlank="1" showInputMessage="1" showErrorMessage="1" sqref="D129:G129">
      <formula1>$O$119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16383" man="1"/>
    <brk id="421" max="9" man="1"/>
  </rowBreaks>
  <drawing r:id="rId3"/>
  <legacyDrawing r:id="rId4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2">
    <tabColor theme="5" tint="-0.249977111117893"/>
  </sheetPr>
  <dimension ref="A1:Y527"/>
  <sheetViews>
    <sheetView showGridLines="0" view="pageBreakPreview" topLeftCell="A130" zoomScale="75" zoomScaleNormal="75" zoomScaleSheetLayoutView="75" workbookViewId="0">
      <selection activeCell="I135" sqref="I135"/>
    </sheetView>
  </sheetViews>
  <sheetFormatPr defaultRowHeight="14.4" outlineLevelRow="1" outlineLevelCol="1"/>
  <cols>
    <col min="1" max="1" width="7" customWidth="1"/>
    <col min="2" max="2" width="40.6640625" customWidth="1"/>
    <col min="3" max="3" width="58.6640625" customWidth="1"/>
    <col min="4" max="4" width="13.44140625" style="81" customWidth="1"/>
    <col min="5" max="5" width="7.44140625" hidden="1" customWidth="1" outlineLevel="1"/>
    <col min="6" max="6" width="19.6640625" customWidth="1" collapsed="1"/>
    <col min="7" max="7" width="7.5546875" customWidth="1"/>
    <col min="8" max="8" width="26.6640625" bestFit="1" customWidth="1"/>
    <col min="9" max="9" width="15.109375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19.88671875" hidden="1" customWidth="1" outlineLevel="1"/>
    <col min="22" max="22" width="12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55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55"/>
      <c r="E3" s="255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204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/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>
      <c r="G55" s="10"/>
    </row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354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55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55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8">
      <c r="A118" s="12"/>
      <c r="C118" s="8"/>
      <c r="D118" s="15"/>
      <c r="E118" s="13"/>
      <c r="J118" s="257"/>
      <c r="K118" s="11"/>
      <c r="L118" s="56"/>
      <c r="M118" s="56"/>
      <c r="N118" s="243" t="s">
        <v>191</v>
      </c>
      <c r="O118" s="12" t="s">
        <v>227</v>
      </c>
      <c r="P118" s="247" t="s">
        <v>16</v>
      </c>
    </row>
    <row r="119" spans="1:16" s="1" customFormat="1" ht="15" customHeight="1">
      <c r="A119" s="12"/>
      <c r="C119" s="110" t="s">
        <v>635</v>
      </c>
      <c r="D119" s="524"/>
      <c r="E119" s="525"/>
      <c r="F119" s="525"/>
      <c r="G119" s="526"/>
      <c r="I119" s="16"/>
      <c r="J119" s="12"/>
      <c r="N119" s="244">
        <v>5</v>
      </c>
      <c r="O119" s="12" t="s">
        <v>243</v>
      </c>
      <c r="P119" s="335" t="s">
        <v>389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5">
        <v>6</v>
      </c>
      <c r="O120" s="12" t="s">
        <v>244</v>
      </c>
      <c r="P120" s="336" t="s">
        <v>390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8</v>
      </c>
      <c r="P121" s="336" t="s">
        <v>391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10</v>
      </c>
      <c r="P122" s="336" t="s">
        <v>392</v>
      </c>
    </row>
    <row r="123" spans="1:16" s="1" customFormat="1" ht="15" customHeight="1">
      <c r="A123" s="12"/>
      <c r="C123" s="110" t="s">
        <v>629</v>
      </c>
      <c r="D123" s="524" t="s">
        <v>15</v>
      </c>
      <c r="E123" s="525"/>
      <c r="F123" s="525"/>
      <c r="G123" s="526"/>
      <c r="H123" s="519" t="s">
        <v>638</v>
      </c>
      <c r="I123" s="520"/>
      <c r="J123" s="517">
        <v>2500</v>
      </c>
      <c r="N123" s="245">
        <v>12</v>
      </c>
      <c r="P123" s="335" t="s">
        <v>393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14</v>
      </c>
      <c r="P124" s="335" t="s">
        <v>394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256"/>
      <c r="L125" s="77"/>
      <c r="N125" s="245">
        <v>18</v>
      </c>
      <c r="P125" s="335" t="s">
        <v>395</v>
      </c>
    </row>
    <row r="126" spans="1:16" s="1" customFormat="1" ht="15" customHeight="1">
      <c r="A126" s="257"/>
      <c r="B126" s="257"/>
      <c r="C126" s="423" t="s">
        <v>631</v>
      </c>
      <c r="D126" s="15"/>
      <c r="H126" s="519" t="s">
        <v>639</v>
      </c>
      <c r="I126" s="520"/>
      <c r="J126" s="517">
        <v>5000</v>
      </c>
      <c r="K126" s="256"/>
      <c r="L126" s="77"/>
      <c r="N126" s="245">
        <v>20</v>
      </c>
      <c r="P126" s="335" t="s">
        <v>396</v>
      </c>
    </row>
    <row r="127" spans="1:16" s="1" customFormat="1" ht="15" customHeight="1">
      <c r="A127" s="257"/>
      <c r="B127" s="257"/>
      <c r="C127" s="110" t="s">
        <v>633</v>
      </c>
      <c r="D127" s="534">
        <v>8</v>
      </c>
      <c r="E127" s="535"/>
      <c r="F127" s="535"/>
      <c r="G127" s="536"/>
      <c r="H127" s="520"/>
      <c r="I127" s="520"/>
      <c r="J127" s="518"/>
      <c r="N127" s="245">
        <v>22</v>
      </c>
      <c r="P127" s="335" t="s">
        <v>397</v>
      </c>
    </row>
    <row r="128" spans="1:16" s="1" customFormat="1" ht="18.75" customHeight="1">
      <c r="C128" s="423" t="s">
        <v>632</v>
      </c>
      <c r="I128" s="12"/>
      <c r="J128" s="12"/>
    </row>
    <row r="129" spans="1:23" s="1" customFormat="1" ht="15" customHeight="1">
      <c r="A129" s="88" t="str">
        <f>A18</f>
        <v>240-9 Panel (5L4R)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4940</v>
      </c>
      <c r="J133" s="125">
        <f t="shared" ref="J133:J151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18</v>
      </c>
      <c r="U133" s="283" t="s">
        <v>302</v>
      </c>
      <c r="V133" s="285">
        <f>($J$126-185-(113.25*8))/9</f>
        <v>434.33333333333331</v>
      </c>
      <c r="W133" s="286">
        <f>$J$120*T133</f>
        <v>18</v>
      </c>
    </row>
    <row r="134" spans="1:23" s="1" customFormat="1" ht="18" customHeight="1">
      <c r="A134" s="143">
        <f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4914</v>
      </c>
      <c r="J134" s="131">
        <f t="shared" ref="J134:J139" si="1"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18</v>
      </c>
      <c r="U134" s="129" t="s">
        <v>302</v>
      </c>
      <c r="V134" s="144">
        <f>($J$126-185-(113.25*8))/9</f>
        <v>434.33333333333331</v>
      </c>
      <c r="W134" s="131">
        <f t="shared" ref="W134:W135" si="2">$J$120*T134</f>
        <v>18</v>
      </c>
    </row>
    <row r="135" spans="1:23" s="1" customFormat="1" ht="18" customHeight="1">
      <c r="A135" s="143">
        <f t="shared" ref="A135:A150" si="3">IF(B135="","",+A134+1)</f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4940</v>
      </c>
      <c r="J135" s="131">
        <f t="shared" si="1"/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18</v>
      </c>
      <c r="U135" s="135" t="s">
        <v>302</v>
      </c>
      <c r="V135" s="145">
        <f>($J$126-185-(113.25*8))/9</f>
        <v>434.33333333333331</v>
      </c>
      <c r="W135" s="293">
        <f t="shared" si="2"/>
        <v>18</v>
      </c>
    </row>
    <row r="136" spans="1:23" s="1" customFormat="1" ht="18" customHeight="1">
      <c r="A136" s="143">
        <f t="shared" si="3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4940</v>
      </c>
      <c r="J136" s="131">
        <f t="shared" si="1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18</v>
      </c>
      <c r="U136" s="283" t="s">
        <v>64</v>
      </c>
      <c r="V136" s="288">
        <f>$J$123-242</f>
        <v>2258</v>
      </c>
      <c r="W136" s="286">
        <f>$J$120*T136</f>
        <v>18</v>
      </c>
    </row>
    <row r="137" spans="1:23" s="1" customFormat="1" ht="18" customHeight="1">
      <c r="A137" s="143">
        <f t="shared" si="3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2500</v>
      </c>
      <c r="J137" s="131">
        <f t="shared" si="1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18</v>
      </c>
      <c r="U137" s="129" t="s">
        <v>64</v>
      </c>
      <c r="V137" s="130">
        <f>$J$123-242</f>
        <v>2258</v>
      </c>
      <c r="W137" s="131">
        <f t="shared" ref="W137:W138" si="4">$J$120*T137</f>
        <v>18</v>
      </c>
    </row>
    <row r="138" spans="1:23" s="1" customFormat="1" ht="18" customHeight="1">
      <c r="A138" s="143">
        <f t="shared" si="3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2500</v>
      </c>
      <c r="J138" s="131">
        <f t="shared" si="1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18</v>
      </c>
      <c r="U138" s="135" t="s">
        <v>64</v>
      </c>
      <c r="V138" s="136">
        <f>$J$123-242</f>
        <v>2258</v>
      </c>
      <c r="W138" s="293">
        <f t="shared" si="4"/>
        <v>18</v>
      </c>
    </row>
    <row r="139" spans="1:23" s="1" customFormat="1" ht="18" customHeight="1">
      <c r="A139" s="143">
        <f t="shared" si="3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2404</v>
      </c>
      <c r="J139" s="131">
        <f t="shared" si="1"/>
        <v>1</v>
      </c>
      <c r="N139" s="98"/>
    </row>
    <row r="140" spans="1:23" s="1" customFormat="1" ht="18" customHeight="1">
      <c r="A140" s="143">
        <f t="shared" si="3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2404</v>
      </c>
      <c r="J140" s="131">
        <f t="shared" ref="J140" si="5">$J$120*G140</f>
        <v>1</v>
      </c>
      <c r="N140" s="98"/>
    </row>
    <row r="141" spans="1:23" s="1" customFormat="1" ht="18" customHeight="1">
      <c r="A141" s="143">
        <f t="shared" si="3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9</v>
      </c>
      <c r="H141" s="268" t="s">
        <v>302</v>
      </c>
      <c r="I141" s="178">
        <f>($J$126-185-(113.25*8))/9</f>
        <v>434.33333333333331</v>
      </c>
      <c r="J141" s="131">
        <f t="shared" ref="J141:J150" si="6">$J$120*G141</f>
        <v>9</v>
      </c>
      <c r="N141" s="98"/>
    </row>
    <row r="142" spans="1:23" s="1" customFormat="1" ht="18" customHeight="1">
      <c r="A142" s="143">
        <f t="shared" si="3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9</v>
      </c>
      <c r="H142" s="143" t="s">
        <v>302</v>
      </c>
      <c r="I142" s="178">
        <f>($J$126-185-(113.25*8))/9</f>
        <v>434.33333333333331</v>
      </c>
      <c r="J142" s="131">
        <f t="shared" si="6"/>
        <v>9</v>
      </c>
      <c r="N142" s="98"/>
    </row>
    <row r="143" spans="1:23" s="1" customFormat="1" ht="18" customHeight="1">
      <c r="A143" s="143">
        <f t="shared" si="3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13</v>
      </c>
      <c r="H143" s="143" t="s">
        <v>63</v>
      </c>
      <c r="I143" s="130">
        <f>$J$123-92</f>
        <v>2408</v>
      </c>
      <c r="J143" s="131">
        <f t="shared" si="6"/>
        <v>13</v>
      </c>
      <c r="N143" s="98"/>
    </row>
    <row r="144" spans="1:23" s="1" customFormat="1" ht="18" customHeight="1">
      <c r="A144" s="143">
        <f t="shared" si="3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2</v>
      </c>
      <c r="H144" s="143" t="s">
        <v>63</v>
      </c>
      <c r="I144" s="130">
        <f>$J$123-92</f>
        <v>2408</v>
      </c>
      <c r="J144" s="131">
        <f t="shared" si="6"/>
        <v>2</v>
      </c>
      <c r="N144" s="98"/>
    </row>
    <row r="145" spans="1:14" s="1" customFormat="1" ht="18" customHeight="1">
      <c r="A145" s="143">
        <f t="shared" si="3"/>
        <v>13</v>
      </c>
      <c r="B145" s="140" t="s">
        <v>8</v>
      </c>
      <c r="C145" s="140" t="s">
        <v>58</v>
      </c>
      <c r="D145" s="139" t="s">
        <v>50</v>
      </c>
      <c r="E145" s="143">
        <v>1.1060000000000001</v>
      </c>
      <c r="F145" s="139" t="s">
        <v>496</v>
      </c>
      <c r="G145" s="143">
        <v>2</v>
      </c>
      <c r="H145" s="143" t="s">
        <v>63</v>
      </c>
      <c r="I145" s="130">
        <f>$J$123-92</f>
        <v>2408</v>
      </c>
      <c r="J145" s="131">
        <f t="shared" si="6"/>
        <v>2</v>
      </c>
      <c r="N145" s="98"/>
    </row>
    <row r="146" spans="1:14" s="1" customFormat="1" ht="18" customHeight="1">
      <c r="A146" s="143">
        <f t="shared" si="3"/>
        <v>14</v>
      </c>
      <c r="B146" s="140" t="s">
        <v>116</v>
      </c>
      <c r="C146" s="140" t="s">
        <v>99</v>
      </c>
      <c r="D146" s="139" t="s">
        <v>50</v>
      </c>
      <c r="E146" s="143">
        <v>1.1060000000000001</v>
      </c>
      <c r="F146" s="139" t="s">
        <v>506</v>
      </c>
      <c r="G146" s="143">
        <v>1</v>
      </c>
      <c r="H146" s="143" t="s">
        <v>63</v>
      </c>
      <c r="I146" s="130">
        <f>$J$123-92</f>
        <v>2408</v>
      </c>
      <c r="J146" s="131">
        <f t="shared" si="6"/>
        <v>1</v>
      </c>
      <c r="N146" s="98"/>
    </row>
    <row r="147" spans="1:14" s="1" customFormat="1" ht="18" customHeight="1">
      <c r="A147" s="143">
        <f t="shared" si="3"/>
        <v>15</v>
      </c>
      <c r="B147" s="140" t="str">
        <f t="shared" ref="B147:I147" si="7">IF($D$127=5,O133,IF($D$127=6,O133,IF($D$127=8,O134,IF($D$127=10,O134,IF($D$127=12,O134,IF($D$127=14,O135,IF($D$127=18,O135,IF($D$127=20,O135,IF($D$127=22,O135,)))))))))</f>
        <v>8-12mm คิ้วตบกระจกแนวนอน</v>
      </c>
      <c r="C147" s="140" t="str">
        <f t="shared" si="7"/>
        <v>8-12mm GLAZING BEAD HORIZONTAL</v>
      </c>
      <c r="D147" s="140" t="str">
        <f t="shared" si="7"/>
        <v>B24016</v>
      </c>
      <c r="E147" s="140">
        <f t="shared" si="7"/>
        <v>0.215</v>
      </c>
      <c r="F147" s="140" t="str">
        <f t="shared" si="7"/>
        <v>B24016-001</v>
      </c>
      <c r="G147" s="143">
        <f t="shared" si="7"/>
        <v>18</v>
      </c>
      <c r="H147" s="129" t="str">
        <f t="shared" si="7"/>
        <v>(W-185-(113.25 × 8))/9</v>
      </c>
      <c r="I147" s="178">
        <f t="shared" si="7"/>
        <v>434.33333333333331</v>
      </c>
      <c r="J147" s="131">
        <f t="shared" si="6"/>
        <v>18</v>
      </c>
      <c r="N147" s="98"/>
    </row>
    <row r="148" spans="1:14" s="1" customFormat="1" ht="18" customHeight="1">
      <c r="A148" s="143">
        <f t="shared" si="3"/>
        <v>16</v>
      </c>
      <c r="B148" s="140" t="str">
        <f t="shared" ref="B148:I148" si="8">IF($D$127=5,O136,IF($D$127=6,O136,IF($D$127=8,O137,IF($D$127=10,O137,IF($D$127=12,O137,IF($D$127=14,O138,IF($D$127=18,O138,IF($D$127=20,O138,IF($D$127=22,O138,)))))))))</f>
        <v>8-12mm คิ้วตบกระจกแนวตั้ง</v>
      </c>
      <c r="C148" s="140" t="str">
        <f t="shared" si="8"/>
        <v>8-12mm GLAZING BEAD VERTICAL</v>
      </c>
      <c r="D148" s="140" t="str">
        <f t="shared" si="8"/>
        <v>B24016</v>
      </c>
      <c r="E148" s="140">
        <f t="shared" si="8"/>
        <v>0.215</v>
      </c>
      <c r="F148" s="140" t="str">
        <f t="shared" si="8"/>
        <v>B24016-002</v>
      </c>
      <c r="G148" s="143">
        <f t="shared" si="8"/>
        <v>18</v>
      </c>
      <c r="H148" s="129" t="str">
        <f t="shared" si="8"/>
        <v>H-242</v>
      </c>
      <c r="I148" s="144">
        <f t="shared" si="8"/>
        <v>2258</v>
      </c>
      <c r="J148" s="131">
        <f t="shared" si="6"/>
        <v>18</v>
      </c>
      <c r="N148" s="98"/>
    </row>
    <row r="149" spans="1:14" s="1" customFormat="1" ht="18" customHeight="1">
      <c r="A149" s="143">
        <f t="shared" si="3"/>
        <v>17</v>
      </c>
      <c r="B149" s="140" t="s">
        <v>125</v>
      </c>
      <c r="C149" s="140" t="s">
        <v>124</v>
      </c>
      <c r="D149" s="139" t="s">
        <v>123</v>
      </c>
      <c r="E149" s="143"/>
      <c r="F149" s="139" t="s">
        <v>362</v>
      </c>
      <c r="G149" s="143">
        <v>1</v>
      </c>
      <c r="H149" s="143" t="s">
        <v>63</v>
      </c>
      <c r="I149" s="130">
        <f>$J$123-92</f>
        <v>2408</v>
      </c>
      <c r="J149" s="131">
        <f t="shared" si="6"/>
        <v>1</v>
      </c>
      <c r="N149" s="98"/>
    </row>
    <row r="150" spans="1:14" s="1" customFormat="1" ht="18" customHeight="1">
      <c r="A150" s="143">
        <f t="shared" si="3"/>
        <v>18</v>
      </c>
      <c r="B150" s="140" t="s">
        <v>125</v>
      </c>
      <c r="C150" s="140" t="s">
        <v>124</v>
      </c>
      <c r="D150" s="139" t="s">
        <v>123</v>
      </c>
      <c r="E150" s="143"/>
      <c r="F150" s="139" t="s">
        <v>363</v>
      </c>
      <c r="G150" s="143">
        <v>1</v>
      </c>
      <c r="H150" s="143" t="s">
        <v>63</v>
      </c>
      <c r="I150" s="130">
        <f>$J$123-92</f>
        <v>2408</v>
      </c>
      <c r="J150" s="131">
        <f t="shared" si="6"/>
        <v>1</v>
      </c>
      <c r="N150" s="98"/>
    </row>
    <row r="151" spans="1:14" s="1" customFormat="1" ht="18" customHeight="1" thickBot="1">
      <c r="A151" s="143" t="str">
        <f>IF(B151="","",+A140+1)</f>
        <v/>
      </c>
      <c r="B151" s="167"/>
      <c r="C151" s="167"/>
      <c r="D151" s="168"/>
      <c r="E151" s="166"/>
      <c r="F151" s="168"/>
      <c r="G151" s="166"/>
      <c r="H151" s="166"/>
      <c r="I151" s="171"/>
      <c r="J151" s="172">
        <f t="shared" si="0"/>
        <v>0</v>
      </c>
    </row>
    <row r="152" spans="1:14" s="1" customFormat="1" ht="27" outlineLevel="1" thickBot="1">
      <c r="A152" s="169" t="s">
        <v>2</v>
      </c>
      <c r="B152" s="169" t="s">
        <v>29</v>
      </c>
      <c r="C152" s="169" t="s">
        <v>3</v>
      </c>
      <c r="D152" s="169" t="s">
        <v>4</v>
      </c>
      <c r="E152" s="169" t="s">
        <v>5</v>
      </c>
      <c r="F152" s="177" t="s">
        <v>85</v>
      </c>
      <c r="G152" s="169" t="s">
        <v>22</v>
      </c>
      <c r="H152" s="170" t="s">
        <v>23</v>
      </c>
      <c r="I152" s="540"/>
      <c r="J152" s="541"/>
    </row>
    <row r="153" spans="1:14" s="1" customFormat="1" ht="15" customHeight="1" outlineLevel="1">
      <c r="A153" s="21">
        <f>IF(B153="","",1)</f>
        <v>1</v>
      </c>
      <c r="B153" s="173" t="str">
        <f t="shared" ref="B153:C159" si="9">B133</f>
        <v>เฟรมบน</v>
      </c>
      <c r="C153" s="173" t="str">
        <f t="shared" si="9"/>
        <v>HEAD</v>
      </c>
      <c r="D153" s="174" t="str">
        <f>VLOOKUP(C153,$C$133:$H$151,2,0)</f>
        <v>B24001</v>
      </c>
      <c r="E153" s="175">
        <f t="shared" ref="E153:E159" si="10">VLOOKUP(C153,$C$133:$H$151,3,0)</f>
        <v>1.603</v>
      </c>
      <c r="F153" s="353">
        <f>VLOOKUP(C153,$C$133:$J$151,7,0)</f>
        <v>4940</v>
      </c>
      <c r="G153" s="175">
        <f t="shared" ref="G153:G159" si="11">VLOOKUP(C153,$C$133:$J$151,8,0)</f>
        <v>1</v>
      </c>
      <c r="H153" s="191">
        <f>ROUNDUP((F153*G153)/6400,0)</f>
        <v>1</v>
      </c>
      <c r="I153" s="501"/>
      <c r="J153" s="501"/>
    </row>
    <row r="154" spans="1:14" s="1" customFormat="1" ht="15" customHeight="1" outlineLevel="1">
      <c r="A154" s="18">
        <f t="shared" ref="A154" si="12">IF(B154="","",+A153+1)</f>
        <v>2</v>
      </c>
      <c r="B154" s="173" t="str">
        <f t="shared" si="9"/>
        <v>บังใบบน</v>
      </c>
      <c r="C154" s="173" t="str">
        <f t="shared" si="9"/>
        <v>DOOR STOP HEAD</v>
      </c>
      <c r="D154" s="174" t="str">
        <f>VLOOKUP(C154,$C$133:$H$151,2,0)</f>
        <v>B24002</v>
      </c>
      <c r="E154" s="175">
        <f t="shared" si="10"/>
        <v>0.27800000000000002</v>
      </c>
      <c r="F154" s="353">
        <f t="shared" ref="F154:F159" si="13">VLOOKUP(C154,$C$133:$I$151,7,0)</f>
        <v>4914</v>
      </c>
      <c r="G154" s="175">
        <f t="shared" si="11"/>
        <v>1</v>
      </c>
      <c r="H154" s="192">
        <f>ROUNDUP((F154*G154)/6400,0)</f>
        <v>1</v>
      </c>
      <c r="I154" s="501"/>
      <c r="J154" s="501"/>
    </row>
    <row r="155" spans="1:14" s="1" customFormat="1" ht="15" customHeight="1" outlineLevel="1">
      <c r="A155" s="18">
        <f t="shared" ref="A155:A159" si="14">IF(B155="","",+A154+1)</f>
        <v>3</v>
      </c>
      <c r="B155" s="173" t="str">
        <f t="shared" si="9"/>
        <v xml:space="preserve">เฟรมล่าง </v>
      </c>
      <c r="C155" s="173" t="str">
        <f t="shared" si="9"/>
        <v>SILL</v>
      </c>
      <c r="D155" s="174" t="str">
        <f>VLOOKUP(C155,$C$133:$H$151,2,0)</f>
        <v>B24003</v>
      </c>
      <c r="E155" s="175">
        <f t="shared" si="10"/>
        <v>1.603</v>
      </c>
      <c r="F155" s="353">
        <f t="shared" si="13"/>
        <v>4940</v>
      </c>
      <c r="G155" s="175">
        <f t="shared" si="11"/>
        <v>1</v>
      </c>
      <c r="H155" s="192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si="14"/>
        <v>4</v>
      </c>
      <c r="B156" s="173" t="str">
        <f t="shared" si="9"/>
        <v>ตัวตับธรณี</v>
      </c>
      <c r="C156" s="173" t="str">
        <f t="shared" si="9"/>
        <v>DOOR STOP SILL</v>
      </c>
      <c r="D156" s="174" t="str">
        <f>VLOOKUP(C156,$C$133:$H$151,2,0)</f>
        <v>B24004</v>
      </c>
      <c r="E156" s="175">
        <f t="shared" si="10"/>
        <v>0.51600000000000001</v>
      </c>
      <c r="F156" s="353">
        <f t="shared" si="13"/>
        <v>4940</v>
      </c>
      <c r="G156" s="175">
        <f t="shared" si="11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si="14"/>
        <v>5</v>
      </c>
      <c r="B157" s="173" t="str">
        <f t="shared" si="9"/>
        <v>เฟรมข้าง (ซ้าย)</v>
      </c>
      <c r="C157" s="173" t="str">
        <f t="shared" si="9"/>
        <v>JAMB (L)</v>
      </c>
      <c r="D157" s="508" t="str">
        <f>VLOOKUP(C157,$C$133:$H$151,2,0)</f>
        <v>B24005</v>
      </c>
      <c r="E157" s="175">
        <f t="shared" si="10"/>
        <v>0.89300000000000002</v>
      </c>
      <c r="F157" s="353">
        <f t="shared" si="13"/>
        <v>2500</v>
      </c>
      <c r="G157" s="175">
        <f t="shared" si="11"/>
        <v>1</v>
      </c>
      <c r="H157" s="516">
        <f>ROUNDUP(((F157*G157)+(F158*G158))/6400,0)</f>
        <v>1</v>
      </c>
      <c r="I157" s="506"/>
      <c r="J157" s="506"/>
    </row>
    <row r="158" spans="1:14" s="1" customFormat="1" ht="15" customHeight="1" outlineLevel="1">
      <c r="A158" s="18">
        <f t="shared" si="14"/>
        <v>6</v>
      </c>
      <c r="B158" s="173" t="str">
        <f t="shared" si="9"/>
        <v>เฟรมข้าง (ขวา)</v>
      </c>
      <c r="C158" s="173" t="str">
        <f t="shared" si="9"/>
        <v>JAMB (R)</v>
      </c>
      <c r="D158" s="509"/>
      <c r="E158" s="175">
        <f t="shared" si="10"/>
        <v>0.89300000000000002</v>
      </c>
      <c r="F158" s="353">
        <f t="shared" si="13"/>
        <v>2500</v>
      </c>
      <c r="G158" s="175">
        <f t="shared" si="11"/>
        <v>1</v>
      </c>
      <c r="H158" s="516"/>
      <c r="I158" s="506"/>
      <c r="J158" s="506"/>
    </row>
    <row r="159" spans="1:14" s="1" customFormat="1" ht="15" customHeight="1" outlineLevel="1">
      <c r="A159" s="18">
        <f t="shared" si="14"/>
        <v>7</v>
      </c>
      <c r="B159" s="173" t="str">
        <f t="shared" si="9"/>
        <v>บังใบข้าง (ซ้าย)</v>
      </c>
      <c r="C159" s="173" t="str">
        <f t="shared" si="9"/>
        <v>DOOR STOP JAMB (L)</v>
      </c>
      <c r="D159" s="508" t="str">
        <f>VLOOKUP(C159,$C$133:$H$151,2,0)</f>
        <v>B24006</v>
      </c>
      <c r="E159" s="175">
        <f t="shared" si="10"/>
        <v>0.23499999999999999</v>
      </c>
      <c r="F159" s="353">
        <f t="shared" si="13"/>
        <v>2404</v>
      </c>
      <c r="G159" s="175">
        <f t="shared" si="11"/>
        <v>1</v>
      </c>
      <c r="H159" s="516">
        <f>ROUNDUP(((F159*G159)+(F160*G160))/6400,0)</f>
        <v>1</v>
      </c>
      <c r="I159" s="501"/>
      <c r="J159" s="501"/>
    </row>
    <row r="160" spans="1:14" s="1" customFormat="1" ht="15" customHeight="1" outlineLevel="1">
      <c r="A160" s="18">
        <f t="shared" ref="A160:A170" si="15">IF(B160="","",+A159+1)</f>
        <v>8</v>
      </c>
      <c r="B160" s="173" t="str">
        <f t="shared" ref="B160:C160" si="16">B140</f>
        <v>บังใบข้าง (ขวา)</v>
      </c>
      <c r="C160" s="173" t="str">
        <f t="shared" si="16"/>
        <v>DOOR STOP JAMB (R)</v>
      </c>
      <c r="D160" s="509"/>
      <c r="E160" s="175">
        <f t="shared" ref="E160:E170" si="17">VLOOKUP(C160,$C$133:$H$151,3,0)</f>
        <v>0.23499999999999999</v>
      </c>
      <c r="F160" s="353">
        <f t="shared" ref="F160:F170" si="18">VLOOKUP(C160,$C$133:$I$151,7,0)</f>
        <v>2404</v>
      </c>
      <c r="G160" s="175">
        <f t="shared" ref="G160:G170" si="19">VLOOKUP(C160,$C$133:$J$151,8,0)</f>
        <v>1</v>
      </c>
      <c r="H160" s="516"/>
      <c r="I160" s="506"/>
      <c r="J160" s="506"/>
    </row>
    <row r="161" spans="1:23" s="1" customFormat="1" ht="13.8" outlineLevel="1">
      <c r="A161" s="18">
        <f t="shared" si="15"/>
        <v>9</v>
      </c>
      <c r="B161" s="173" t="str">
        <f t="shared" ref="B161:C161" si="20">B141</f>
        <v>ขวางบน</v>
      </c>
      <c r="C161" s="173" t="str">
        <f t="shared" si="20"/>
        <v>SASH (Hor) (T)</v>
      </c>
      <c r="D161" s="508" t="str">
        <f t="shared" ref="D161:D169" si="21">VLOOKUP(C161,$C$133:$H$151,2,0)</f>
        <v>B24007</v>
      </c>
      <c r="E161" s="175">
        <f t="shared" si="17"/>
        <v>1.1060000000000001</v>
      </c>
      <c r="F161" s="353">
        <f t="shared" si="18"/>
        <v>434.33333333333331</v>
      </c>
      <c r="G161" s="175">
        <f t="shared" si="19"/>
        <v>9</v>
      </c>
      <c r="H161" s="512">
        <f>ROUNDUP(((F161*G161)+(F162*G162)+(F163*G163)+(F164*G164)+(F165*G165)+(F166*G166))/6400,0)</f>
        <v>8</v>
      </c>
      <c r="I161" s="506"/>
      <c r="J161" s="506"/>
    </row>
    <row r="162" spans="1:23" s="1" customFormat="1" ht="13.8" outlineLevel="1">
      <c r="A162" s="18">
        <f t="shared" si="15"/>
        <v>10</v>
      </c>
      <c r="B162" s="173" t="str">
        <f t="shared" ref="B162:C162" si="22">B142</f>
        <v>ขวางล่าง</v>
      </c>
      <c r="C162" s="173" t="str">
        <f t="shared" si="22"/>
        <v>SASH (Hor) (B)</v>
      </c>
      <c r="D162" s="510"/>
      <c r="E162" s="175">
        <f t="shared" si="17"/>
        <v>1.1060000000000001</v>
      </c>
      <c r="F162" s="353">
        <f t="shared" si="18"/>
        <v>434.33333333333331</v>
      </c>
      <c r="G162" s="175">
        <f t="shared" si="19"/>
        <v>9</v>
      </c>
      <c r="H162" s="514"/>
      <c r="I162" s="506"/>
      <c r="J162" s="506"/>
    </row>
    <row r="163" spans="1:23" s="1" customFormat="1" ht="13.8" outlineLevel="1">
      <c r="A163" s="18">
        <f t="shared" si="15"/>
        <v>11</v>
      </c>
      <c r="B163" s="173" t="str">
        <f t="shared" ref="B163:C163" si="23">B143</f>
        <v>เสา</v>
      </c>
      <c r="C163" s="173" t="str">
        <f t="shared" si="23"/>
        <v xml:space="preserve">SASH (Ver) </v>
      </c>
      <c r="D163" s="510"/>
      <c r="E163" s="175">
        <f t="shared" si="17"/>
        <v>1.1060000000000001</v>
      </c>
      <c r="F163" s="353">
        <f t="shared" si="18"/>
        <v>2408</v>
      </c>
      <c r="G163" s="175">
        <f t="shared" si="19"/>
        <v>13</v>
      </c>
      <c r="H163" s="514"/>
      <c r="I163" s="506"/>
      <c r="J163" s="506"/>
    </row>
    <row r="164" spans="1:23" s="1" customFormat="1" ht="13.8" outlineLevel="1">
      <c r="A164" s="18">
        <f t="shared" si="15"/>
        <v>12</v>
      </c>
      <c r="B164" s="173" t="str">
        <f t="shared" ref="B164:C164" si="24">B144</f>
        <v>เสากุญแจ</v>
      </c>
      <c r="C164" s="173" t="str">
        <f t="shared" si="24"/>
        <v xml:space="preserve">SASH (Ver) LOCK </v>
      </c>
      <c r="D164" s="510"/>
      <c r="E164" s="175">
        <f t="shared" si="17"/>
        <v>1.1060000000000001</v>
      </c>
      <c r="F164" s="353">
        <f t="shared" si="18"/>
        <v>2408</v>
      </c>
      <c r="G164" s="175">
        <f t="shared" si="19"/>
        <v>2</v>
      </c>
      <c r="H164" s="514"/>
      <c r="I164" s="506"/>
      <c r="J164" s="506"/>
    </row>
    <row r="165" spans="1:23" s="1" customFormat="1" ht="13.8" outlineLevel="1">
      <c r="A165" s="18">
        <f t="shared" si="15"/>
        <v>13</v>
      </c>
      <c r="B165" s="173" t="str">
        <f t="shared" ref="B165:C165" si="25">B145</f>
        <v>เสากุญแจ</v>
      </c>
      <c r="C165" s="173" t="str">
        <f t="shared" si="25"/>
        <v xml:space="preserve">SASH (Ver) LOCK </v>
      </c>
      <c r="D165" s="510"/>
      <c r="E165" s="175">
        <f t="shared" si="17"/>
        <v>1.1060000000000001</v>
      </c>
      <c r="F165" s="353">
        <f t="shared" si="18"/>
        <v>2408</v>
      </c>
      <c r="G165" s="175">
        <f t="shared" si="19"/>
        <v>2</v>
      </c>
      <c r="H165" s="514"/>
      <c r="I165" s="506"/>
      <c r="J165" s="506"/>
    </row>
    <row r="166" spans="1:23" s="1" customFormat="1" ht="15" customHeight="1" outlineLevel="1">
      <c r="A166" s="18">
        <f t="shared" si="15"/>
        <v>14</v>
      </c>
      <c r="B166" s="173" t="str">
        <f t="shared" ref="B166:C166" si="26">B146</f>
        <v>เสากุญแจมือจับ</v>
      </c>
      <c r="C166" s="173" t="str">
        <f t="shared" si="26"/>
        <v>SASH (Ver) LOCK HANDLE</v>
      </c>
      <c r="D166" s="509"/>
      <c r="E166" s="175">
        <f t="shared" si="17"/>
        <v>1.1060000000000001</v>
      </c>
      <c r="F166" s="353">
        <f t="shared" si="18"/>
        <v>2408</v>
      </c>
      <c r="G166" s="175">
        <f t="shared" si="19"/>
        <v>1</v>
      </c>
      <c r="H166" s="515"/>
      <c r="I166" s="501"/>
      <c r="J166" s="501"/>
    </row>
    <row r="167" spans="1:23" s="1" customFormat="1" ht="15" customHeight="1" outlineLevel="1">
      <c r="A167" s="18">
        <f t="shared" si="15"/>
        <v>15</v>
      </c>
      <c r="B167" s="173" t="str">
        <f t="shared" ref="B167:C167" si="27">B147</f>
        <v>8-12mm คิ้วตบกระจกแนวนอน</v>
      </c>
      <c r="C167" s="173" t="str">
        <f t="shared" si="27"/>
        <v>8-12mm GLAZING BEAD HORIZONTAL</v>
      </c>
      <c r="D167" s="508" t="str">
        <f t="shared" si="21"/>
        <v>B24016</v>
      </c>
      <c r="E167" s="175">
        <f t="shared" si="17"/>
        <v>0.215</v>
      </c>
      <c r="F167" s="353">
        <f t="shared" si="18"/>
        <v>434.33333333333331</v>
      </c>
      <c r="G167" s="175">
        <f t="shared" si="19"/>
        <v>18</v>
      </c>
      <c r="H167" s="516">
        <f>ROUNDUP(((F167*G167)+(F168*G168))/6400,0)</f>
        <v>8</v>
      </c>
      <c r="I167" s="253"/>
      <c r="J167" s="253"/>
    </row>
    <row r="168" spans="1:23" s="1" customFormat="1" ht="15" customHeight="1" outlineLevel="1">
      <c r="A168" s="18">
        <f t="shared" si="15"/>
        <v>16</v>
      </c>
      <c r="B168" s="173" t="str">
        <f t="shared" ref="B168:C168" si="28">B148</f>
        <v>8-12mm คิ้วตบกระจกแนวตั้ง</v>
      </c>
      <c r="C168" s="173" t="str">
        <f t="shared" si="28"/>
        <v>8-12mm GLAZING BEAD VERTICAL</v>
      </c>
      <c r="D168" s="509"/>
      <c r="E168" s="175">
        <f t="shared" si="17"/>
        <v>0.215</v>
      </c>
      <c r="F168" s="353">
        <f t="shared" si="18"/>
        <v>2258</v>
      </c>
      <c r="G168" s="175">
        <f t="shared" si="19"/>
        <v>18</v>
      </c>
      <c r="H168" s="516"/>
      <c r="I168" s="253"/>
      <c r="J168" s="253"/>
    </row>
    <row r="169" spans="1:23" s="1" customFormat="1" ht="13.8" outlineLevel="1">
      <c r="A169" s="18">
        <f t="shared" si="15"/>
        <v>17</v>
      </c>
      <c r="B169" s="173" t="str">
        <f t="shared" ref="B169:C169" si="29">B149</f>
        <v>บังใบ</v>
      </c>
      <c r="C169" s="173" t="str">
        <f t="shared" si="29"/>
        <v>SASH STOP</v>
      </c>
      <c r="D169" s="508" t="str">
        <f t="shared" si="21"/>
        <v>B24009</v>
      </c>
      <c r="E169" s="175">
        <f t="shared" si="17"/>
        <v>0</v>
      </c>
      <c r="F169" s="353">
        <f t="shared" si="18"/>
        <v>2408</v>
      </c>
      <c r="G169" s="175">
        <f t="shared" si="19"/>
        <v>1</v>
      </c>
      <c r="H169" s="516">
        <f>ROUNDUP(((F169*G169)+(F170*G170))/6400,0)</f>
        <v>1</v>
      </c>
      <c r="I169" s="253"/>
      <c r="J169" s="253"/>
    </row>
    <row r="170" spans="1:23" s="1" customFormat="1" outlineLevel="1" thickBot="1">
      <c r="A170" s="18">
        <f t="shared" si="15"/>
        <v>18</v>
      </c>
      <c r="B170" s="173" t="str">
        <f t="shared" ref="B170:C170" si="30">B150</f>
        <v>บังใบ</v>
      </c>
      <c r="C170" s="173" t="str">
        <f t="shared" si="30"/>
        <v>SASH STOP</v>
      </c>
      <c r="D170" s="511"/>
      <c r="E170" s="175">
        <f t="shared" si="17"/>
        <v>0</v>
      </c>
      <c r="F170" s="353">
        <f t="shared" si="18"/>
        <v>2408</v>
      </c>
      <c r="G170" s="175">
        <f t="shared" si="19"/>
        <v>1</v>
      </c>
      <c r="H170" s="516"/>
      <c r="I170" s="253"/>
      <c r="J170" s="253"/>
    </row>
    <row r="171" spans="1:23" s="1" customFormat="1" ht="24.9" customHeight="1" thickBot="1">
      <c r="A171" s="529" t="s">
        <v>9</v>
      </c>
      <c r="B171" s="530"/>
      <c r="C171" s="530"/>
      <c r="D171" s="530"/>
      <c r="E171" s="530"/>
      <c r="F171" s="530"/>
      <c r="G171" s="530"/>
      <c r="H171" s="530"/>
      <c r="I171" s="530"/>
      <c r="J171" s="531"/>
    </row>
    <row r="172" spans="1:23" s="1" customFormat="1" ht="35.1" customHeight="1" thickBot="1">
      <c r="A172" s="102" t="s">
        <v>2</v>
      </c>
      <c r="B172" s="103" t="s">
        <v>29</v>
      </c>
      <c r="C172" s="103" t="s">
        <v>3</v>
      </c>
      <c r="D172" s="103" t="s">
        <v>199</v>
      </c>
      <c r="E172" s="103" t="s">
        <v>5</v>
      </c>
      <c r="F172" s="104" t="s">
        <v>28</v>
      </c>
      <c r="G172" s="103" t="s">
        <v>19</v>
      </c>
      <c r="H172" s="104" t="s">
        <v>200</v>
      </c>
      <c r="I172" s="104" t="s">
        <v>20</v>
      </c>
      <c r="J172" s="115" t="s">
        <v>201</v>
      </c>
      <c r="N172" s="101" t="s">
        <v>191</v>
      </c>
      <c r="O172" s="246" t="s">
        <v>29</v>
      </c>
      <c r="P172" s="246" t="s">
        <v>3</v>
      </c>
      <c r="Q172" s="246" t="s">
        <v>199</v>
      </c>
      <c r="R172" s="246" t="s">
        <v>5</v>
      </c>
      <c r="S172" s="246" t="s">
        <v>28</v>
      </c>
      <c r="T172" s="246" t="s">
        <v>19</v>
      </c>
      <c r="U172" s="246" t="s">
        <v>200</v>
      </c>
      <c r="V172" s="246" t="s">
        <v>20</v>
      </c>
      <c r="W172" s="246" t="s">
        <v>201</v>
      </c>
    </row>
    <row r="173" spans="1:23" s="1" customFormat="1" ht="18" customHeight="1">
      <c r="A173" s="200">
        <f>IF(B173="","",1)</f>
        <v>1</v>
      </c>
      <c r="B173" s="140" t="s">
        <v>111</v>
      </c>
      <c r="C173" s="140" t="s">
        <v>67</v>
      </c>
      <c r="D173" s="139" t="s">
        <v>74</v>
      </c>
      <c r="E173" s="143"/>
      <c r="F173" s="143" t="s">
        <v>74</v>
      </c>
      <c r="G173" s="143" t="s">
        <v>202</v>
      </c>
      <c r="H173" s="143">
        <v>18</v>
      </c>
      <c r="I173" s="130"/>
      <c r="J173" s="131">
        <f>$J$120*H173</f>
        <v>18</v>
      </c>
      <c r="N173" s="101" t="s">
        <v>226</v>
      </c>
      <c r="O173" s="280" t="s">
        <v>252</v>
      </c>
      <c r="P173" s="290" t="s">
        <v>248</v>
      </c>
      <c r="Q173" s="280" t="s">
        <v>69</v>
      </c>
      <c r="R173" s="213"/>
      <c r="S173" s="213" t="s">
        <v>69</v>
      </c>
      <c r="T173" s="213" t="s">
        <v>198</v>
      </c>
      <c r="U173" s="291">
        <f>((($I$141*$G$141)+($I$142*$G$142)+($I$143*$G$143)+($I$144*$G$144)+($I$145*$G$145)+($I$146*$G$146))/1000)*$J$120</f>
        <v>51.161999999999999</v>
      </c>
      <c r="V173" s="291">
        <v>100</v>
      </c>
      <c r="W173" s="292">
        <f>ROUNDUP((U173)/100,0)</f>
        <v>1</v>
      </c>
    </row>
    <row r="174" spans="1:23" s="1" customFormat="1" ht="18" customHeight="1">
      <c r="A174" s="201">
        <f>IF(B174="","",+A173+1)</f>
        <v>2</v>
      </c>
      <c r="B174" s="140" t="s">
        <v>106</v>
      </c>
      <c r="C174" s="140" t="s">
        <v>503</v>
      </c>
      <c r="D174" s="139" t="s">
        <v>75</v>
      </c>
      <c r="E174" s="143"/>
      <c r="F174" s="143" t="s">
        <v>75</v>
      </c>
      <c r="G174" s="143" t="s">
        <v>202</v>
      </c>
      <c r="H174" s="143">
        <v>2</v>
      </c>
      <c r="I174" s="130"/>
      <c r="J174" s="131">
        <f t="shared" ref="J174:J198" si="31">$J$120*H174</f>
        <v>2</v>
      </c>
      <c r="N174" s="101" t="s">
        <v>230</v>
      </c>
      <c r="O174" s="280" t="s">
        <v>253</v>
      </c>
      <c r="P174" s="290" t="s">
        <v>249</v>
      </c>
      <c r="Q174" s="280" t="s">
        <v>188</v>
      </c>
      <c r="R174" s="213"/>
      <c r="S174" s="213" t="s">
        <v>188</v>
      </c>
      <c r="T174" s="213" t="s">
        <v>198</v>
      </c>
      <c r="U174" s="291">
        <f>((($I$141*$G$141)+($I$142*$G$142)+($I$143*$G$143)+($I$144*$G$144)+($I$145*$G$145)+($I$146*$G$146))/1000)*$J$120</f>
        <v>51.161999999999999</v>
      </c>
      <c r="V174" s="291">
        <v>100</v>
      </c>
      <c r="W174" s="292">
        <f t="shared" ref="W174:W176" si="32">ROUNDUP((U174)/100,0)</f>
        <v>1</v>
      </c>
    </row>
    <row r="175" spans="1:23" s="1" customFormat="1" ht="18" customHeight="1">
      <c r="A175" s="201">
        <f t="shared" ref="A175:A203" si="33">IF(B175="","",+A174+1)</f>
        <v>3</v>
      </c>
      <c r="B175" s="140" t="s">
        <v>107</v>
      </c>
      <c r="C175" s="140" t="s">
        <v>504</v>
      </c>
      <c r="D175" s="139" t="s">
        <v>76</v>
      </c>
      <c r="E175" s="143"/>
      <c r="F175" s="143" t="s">
        <v>76</v>
      </c>
      <c r="G175" s="143" t="s">
        <v>202</v>
      </c>
      <c r="H175" s="143">
        <v>2</v>
      </c>
      <c r="I175" s="130"/>
      <c r="J175" s="131">
        <f t="shared" si="31"/>
        <v>2</v>
      </c>
      <c r="N175" s="101" t="s">
        <v>229</v>
      </c>
      <c r="O175" s="290" t="s">
        <v>254</v>
      </c>
      <c r="P175" s="290" t="s">
        <v>250</v>
      </c>
      <c r="Q175" s="280" t="s">
        <v>70</v>
      </c>
      <c r="R175" s="213"/>
      <c r="S175" s="213" t="s">
        <v>70</v>
      </c>
      <c r="T175" s="213" t="s">
        <v>198</v>
      </c>
      <c r="U175" s="291">
        <f>((($I$141*$G$141)+($I$142*$G$142)+($I$143*$G$143)+($I$144*$G$144)+($I$145*$G$145)+($I$146*$G$146))/1000)*$J$120</f>
        <v>51.161999999999999</v>
      </c>
      <c r="V175" s="291">
        <v>100</v>
      </c>
      <c r="W175" s="292">
        <f>ROUNDUP((U175)/100,0)</f>
        <v>1</v>
      </c>
    </row>
    <row r="176" spans="1:23" s="1" customFormat="1" ht="18" customHeight="1">
      <c r="A176" s="201">
        <f t="shared" si="33"/>
        <v>4</v>
      </c>
      <c r="B176" s="140" t="s">
        <v>108</v>
      </c>
      <c r="C176" s="140" t="s">
        <v>10</v>
      </c>
      <c r="D176" s="139">
        <v>9</v>
      </c>
      <c r="E176" s="143"/>
      <c r="F176" s="143">
        <v>9</v>
      </c>
      <c r="G176" s="143" t="s">
        <v>202</v>
      </c>
      <c r="H176" s="143">
        <v>8</v>
      </c>
      <c r="I176" s="130"/>
      <c r="J176" s="131">
        <f t="shared" si="31"/>
        <v>8</v>
      </c>
      <c r="N176" s="101" t="s">
        <v>231</v>
      </c>
      <c r="O176" s="290" t="s">
        <v>255</v>
      </c>
      <c r="P176" s="290" t="s">
        <v>251</v>
      </c>
      <c r="Q176" s="280" t="s">
        <v>189</v>
      </c>
      <c r="R176" s="213"/>
      <c r="S176" s="213" t="s">
        <v>189</v>
      </c>
      <c r="T176" s="213" t="s">
        <v>198</v>
      </c>
      <c r="U176" s="291">
        <f>((($I$141*$G$141)+($I$142*$G$142)+($I$143*$G$143)+($I$144*$G$144)+($I$145*$G$145)+($I$146*$G$146))/1000)*$J$120</f>
        <v>51.161999999999999</v>
      </c>
      <c r="V176" s="291">
        <v>100</v>
      </c>
      <c r="W176" s="292">
        <f t="shared" si="32"/>
        <v>1</v>
      </c>
    </row>
    <row r="177" spans="1:23" s="1" customFormat="1" ht="18" customHeight="1">
      <c r="A177" s="201">
        <f t="shared" si="33"/>
        <v>5</v>
      </c>
      <c r="B177" s="140" t="s">
        <v>109</v>
      </c>
      <c r="C177" s="140" t="s">
        <v>68</v>
      </c>
      <c r="D177" s="139">
        <v>9</v>
      </c>
      <c r="E177" s="143"/>
      <c r="F177" s="143">
        <v>9</v>
      </c>
      <c r="G177" s="143" t="s">
        <v>202</v>
      </c>
      <c r="H177" s="143">
        <v>110</v>
      </c>
      <c r="I177" s="130"/>
      <c r="J177" s="131">
        <f t="shared" si="31"/>
        <v>110</v>
      </c>
      <c r="N177" s="101" t="s">
        <v>232</v>
      </c>
      <c r="O177" s="290" t="s">
        <v>256</v>
      </c>
      <c r="P177" s="290" t="s">
        <v>247</v>
      </c>
      <c r="Q177" s="280" t="s">
        <v>233</v>
      </c>
      <c r="R177" s="213"/>
      <c r="S177" s="213" t="s">
        <v>233</v>
      </c>
      <c r="T177" s="213" t="s">
        <v>198</v>
      </c>
      <c r="U177" s="291">
        <f>((($I$141*$G$141)+($I$142*$G$142)+($I$143*$G$143)+($I$144*$G$144)+($I$145*$G$145)+($I$146*$G$146))/1000)*$J$120</f>
        <v>51.161999999999999</v>
      </c>
      <c r="V177" s="291">
        <v>100</v>
      </c>
      <c r="W177" s="292">
        <f>ROUNDUP((U177)/100,0)</f>
        <v>1</v>
      </c>
    </row>
    <row r="178" spans="1:23" s="1" customFormat="1" ht="18" customHeight="1">
      <c r="A178" s="201">
        <f t="shared" si="33"/>
        <v>6</v>
      </c>
      <c r="B178" s="140" t="s">
        <v>132</v>
      </c>
      <c r="C178" s="140" t="s">
        <v>79</v>
      </c>
      <c r="D178" s="139" t="s">
        <v>82</v>
      </c>
      <c r="E178" s="143"/>
      <c r="F178" s="143" t="s">
        <v>82</v>
      </c>
      <c r="G178" s="143" t="s">
        <v>185</v>
      </c>
      <c r="H178" s="143">
        <v>1</v>
      </c>
      <c r="I178" s="130"/>
      <c r="J178" s="131">
        <f t="shared" si="31"/>
        <v>1</v>
      </c>
    </row>
    <row r="179" spans="1:23" s="1" customFormat="1" ht="18" customHeight="1">
      <c r="A179" s="201">
        <f t="shared" si="33"/>
        <v>7</v>
      </c>
      <c r="B179" s="140" t="s">
        <v>143</v>
      </c>
      <c r="C179" s="140" t="s">
        <v>121</v>
      </c>
      <c r="D179" s="139" t="s">
        <v>103</v>
      </c>
      <c r="E179" s="143"/>
      <c r="F179" s="143" t="s">
        <v>103</v>
      </c>
      <c r="G179" s="143" t="s">
        <v>185</v>
      </c>
      <c r="H179" s="143">
        <v>3</v>
      </c>
      <c r="I179" s="130"/>
      <c r="J179" s="131">
        <f t="shared" si="31"/>
        <v>3</v>
      </c>
    </row>
    <row r="180" spans="1:23" s="1" customFormat="1" ht="18" customHeight="1">
      <c r="A180" s="201">
        <f t="shared" si="33"/>
        <v>8</v>
      </c>
      <c r="B180" s="140" t="s">
        <v>118</v>
      </c>
      <c r="C180" s="140" t="s">
        <v>77</v>
      </c>
      <c r="D180" s="139" t="s">
        <v>80</v>
      </c>
      <c r="E180" s="143"/>
      <c r="F180" s="143" t="s">
        <v>80</v>
      </c>
      <c r="G180" s="143" t="s">
        <v>185</v>
      </c>
      <c r="H180" s="143">
        <v>1</v>
      </c>
      <c r="I180" s="130"/>
      <c r="J180" s="131">
        <f t="shared" si="31"/>
        <v>1</v>
      </c>
    </row>
    <row r="181" spans="1:23" s="1" customFormat="1" ht="18" customHeight="1">
      <c r="A181" s="201">
        <f t="shared" si="33"/>
        <v>9</v>
      </c>
      <c r="B181" s="140" t="s">
        <v>120</v>
      </c>
      <c r="C181" s="140" t="s">
        <v>94</v>
      </c>
      <c r="D181" s="139" t="s">
        <v>96</v>
      </c>
      <c r="E181" s="143"/>
      <c r="F181" s="143" t="s">
        <v>96</v>
      </c>
      <c r="G181" s="143" t="s">
        <v>185</v>
      </c>
      <c r="H181" s="143">
        <v>1</v>
      </c>
      <c r="I181" s="130"/>
      <c r="J181" s="131">
        <f t="shared" si="31"/>
        <v>1</v>
      </c>
    </row>
    <row r="182" spans="1:23" s="1" customFormat="1" ht="18" customHeight="1">
      <c r="A182" s="201">
        <f t="shared" si="33"/>
        <v>10</v>
      </c>
      <c r="B182" s="140" t="s">
        <v>142</v>
      </c>
      <c r="C182" s="140" t="s">
        <v>492</v>
      </c>
      <c r="D182" s="139" t="s">
        <v>97</v>
      </c>
      <c r="E182" s="143"/>
      <c r="F182" s="143" t="s">
        <v>97</v>
      </c>
      <c r="G182" s="143" t="s">
        <v>185</v>
      </c>
      <c r="H182" s="143">
        <v>1</v>
      </c>
      <c r="I182" s="130"/>
      <c r="J182" s="131">
        <f t="shared" si="31"/>
        <v>1</v>
      </c>
      <c r="N182" s="56"/>
      <c r="O182" s="56"/>
      <c r="P182" s="56"/>
      <c r="Q182" s="289"/>
      <c r="R182" s="289"/>
      <c r="S182" s="289"/>
      <c r="T182" s="17"/>
      <c r="U182" s="17"/>
      <c r="V182" s="17"/>
      <c r="W182" s="56"/>
    </row>
    <row r="183" spans="1:23" s="1" customFormat="1" ht="18" customHeight="1">
      <c r="A183" s="201">
        <f t="shared" si="33"/>
        <v>11</v>
      </c>
      <c r="B183" s="140" t="s">
        <v>131</v>
      </c>
      <c r="C183" s="140" t="s">
        <v>100</v>
      </c>
      <c r="D183" s="139" t="s">
        <v>102</v>
      </c>
      <c r="E183" s="143"/>
      <c r="F183" s="143" t="s">
        <v>102</v>
      </c>
      <c r="G183" s="143" t="s">
        <v>185</v>
      </c>
      <c r="H183" s="143">
        <v>3</v>
      </c>
      <c r="I183" s="144"/>
      <c r="J183" s="131">
        <f t="shared" si="31"/>
        <v>3</v>
      </c>
      <c r="N183" s="101" t="s">
        <v>227</v>
      </c>
      <c r="O183" s="246" t="s">
        <v>29</v>
      </c>
      <c r="P183" s="246" t="s">
        <v>3</v>
      </c>
      <c r="Q183" s="246" t="s">
        <v>199</v>
      </c>
      <c r="R183" s="246" t="s">
        <v>5</v>
      </c>
      <c r="S183" s="246" t="s">
        <v>28</v>
      </c>
      <c r="T183" s="246" t="s">
        <v>19</v>
      </c>
      <c r="U183" s="246" t="s">
        <v>200</v>
      </c>
      <c r="V183" s="246" t="s">
        <v>20</v>
      </c>
      <c r="W183" s="246" t="s">
        <v>201</v>
      </c>
    </row>
    <row r="184" spans="1:23" s="1" customFormat="1" ht="18" customHeight="1">
      <c r="A184" s="201">
        <f t="shared" si="33"/>
        <v>12</v>
      </c>
      <c r="B184" s="140" t="s">
        <v>113</v>
      </c>
      <c r="C184" s="140" t="s">
        <v>502</v>
      </c>
      <c r="D184" s="139" t="s">
        <v>83</v>
      </c>
      <c r="E184" s="143"/>
      <c r="F184" s="143" t="s">
        <v>83</v>
      </c>
      <c r="G184" s="143" t="s">
        <v>185</v>
      </c>
      <c r="H184" s="143">
        <v>4</v>
      </c>
      <c r="I184" s="144"/>
      <c r="J184" s="131">
        <f t="shared" si="31"/>
        <v>4</v>
      </c>
      <c r="N184" s="101" t="s">
        <v>240</v>
      </c>
      <c r="O184" s="290" t="s">
        <v>234</v>
      </c>
      <c r="P184" s="290" t="s">
        <v>236</v>
      </c>
      <c r="Q184" s="280" t="s">
        <v>190</v>
      </c>
      <c r="R184" s="213"/>
      <c r="S184" s="213" t="s">
        <v>190</v>
      </c>
      <c r="T184" s="213" t="s">
        <v>198</v>
      </c>
      <c r="U184" s="291">
        <f>((($I$134*$G$134)+($I$136*$G$136)+($I$139*$G$139))/1000)*$J$120</f>
        <v>12.257999999999999</v>
      </c>
      <c r="V184" s="291">
        <v>300</v>
      </c>
      <c r="W184" s="292">
        <f>ROUNDUP((U184)/V184,0)</f>
        <v>1</v>
      </c>
    </row>
    <row r="185" spans="1:23" s="1" customFormat="1" ht="18" customHeight="1">
      <c r="A185" s="201">
        <f t="shared" si="33"/>
        <v>13</v>
      </c>
      <c r="B185" s="140" t="s">
        <v>122</v>
      </c>
      <c r="C185" s="140" t="s">
        <v>101</v>
      </c>
      <c r="D185" s="139" t="s">
        <v>104</v>
      </c>
      <c r="E185" s="143"/>
      <c r="F185" s="143" t="s">
        <v>104</v>
      </c>
      <c r="G185" s="143" t="s">
        <v>185</v>
      </c>
      <c r="H185" s="143">
        <v>1</v>
      </c>
      <c r="I185" s="130"/>
      <c r="J185" s="131">
        <f t="shared" si="31"/>
        <v>1</v>
      </c>
      <c r="N185" s="101" t="s">
        <v>241</v>
      </c>
      <c r="O185" s="290" t="s">
        <v>235</v>
      </c>
      <c r="P185" s="290" t="s">
        <v>238</v>
      </c>
      <c r="Q185" s="280" t="s">
        <v>71</v>
      </c>
      <c r="R185" s="213"/>
      <c r="S185" s="213" t="s">
        <v>71</v>
      </c>
      <c r="T185" s="213" t="s">
        <v>198</v>
      </c>
      <c r="U185" s="291">
        <f>((($I$134*$G$134)+($I$136*$G$136)+($I$139*$G$139))/1000)*$J$120</f>
        <v>12.257999999999999</v>
      </c>
      <c r="V185" s="291">
        <v>100</v>
      </c>
      <c r="W185" s="292">
        <f t="shared" ref="W185:W187" si="34">ROUNDUP((U185)/V185,0)</f>
        <v>1</v>
      </c>
    </row>
    <row r="186" spans="1:23" s="1" customFormat="1" ht="18" customHeight="1">
      <c r="A186" s="201">
        <f t="shared" si="33"/>
        <v>14</v>
      </c>
      <c r="B186" s="140" t="s">
        <v>112</v>
      </c>
      <c r="C186" s="140" t="s">
        <v>114</v>
      </c>
      <c r="D186" s="128" t="s">
        <v>520</v>
      </c>
      <c r="E186" s="129"/>
      <c r="F186" s="129" t="s">
        <v>520</v>
      </c>
      <c r="G186" s="143" t="s">
        <v>202</v>
      </c>
      <c r="H186" s="143">
        <v>8</v>
      </c>
      <c r="I186" s="130"/>
      <c r="J186" s="131">
        <f t="shared" si="31"/>
        <v>8</v>
      </c>
      <c r="N186" s="101" t="s">
        <v>240</v>
      </c>
      <c r="O186" s="290" t="s">
        <v>245</v>
      </c>
      <c r="P186" s="290" t="s">
        <v>237</v>
      </c>
      <c r="Q186" s="280" t="s">
        <v>72</v>
      </c>
      <c r="R186" s="213"/>
      <c r="S186" s="213" t="s">
        <v>72</v>
      </c>
      <c r="T186" s="213" t="s">
        <v>198</v>
      </c>
      <c r="U186" s="291">
        <f>((($I$141*$G$141*2)+($I$143*$G$143*2)+($I$144*$G$144*2)+($I$145*$G$145))/1000)*$J$120</f>
        <v>84.873999999999995</v>
      </c>
      <c r="V186" s="291">
        <v>350</v>
      </c>
      <c r="W186" s="292">
        <f t="shared" si="34"/>
        <v>1</v>
      </c>
    </row>
    <row r="187" spans="1:23" s="1" customFormat="1" ht="18" customHeight="1">
      <c r="A187" s="201">
        <f t="shared" si="33"/>
        <v>15</v>
      </c>
      <c r="B187" s="140" t="s">
        <v>115</v>
      </c>
      <c r="C187" s="140" t="s">
        <v>45</v>
      </c>
      <c r="D187" s="139" t="s">
        <v>84</v>
      </c>
      <c r="E187" s="143"/>
      <c r="F187" s="143" t="s">
        <v>84</v>
      </c>
      <c r="G187" s="143" t="s">
        <v>202</v>
      </c>
      <c r="H187" s="143">
        <v>1</v>
      </c>
      <c r="I187" s="130"/>
      <c r="J187" s="131">
        <f t="shared" si="31"/>
        <v>1</v>
      </c>
      <c r="N187" s="101" t="s">
        <v>241</v>
      </c>
      <c r="O187" s="290" t="s">
        <v>246</v>
      </c>
      <c r="P187" s="290" t="s">
        <v>239</v>
      </c>
      <c r="Q187" s="280" t="s">
        <v>193</v>
      </c>
      <c r="R187" s="213"/>
      <c r="S187" s="213" t="s">
        <v>193</v>
      </c>
      <c r="T187" s="213" t="s">
        <v>198</v>
      </c>
      <c r="U187" s="291">
        <f>((($I$141*$G$141*2)+($I$143*$G$143*2)+($I$144*$G$144*2)+($I$145*$G$145))/1000)*$J$120</f>
        <v>84.873999999999995</v>
      </c>
      <c r="V187" s="291">
        <v>100</v>
      </c>
      <c r="W187" s="292">
        <f t="shared" si="34"/>
        <v>1</v>
      </c>
    </row>
    <row r="188" spans="1:23" s="1" customFormat="1" ht="18" customHeight="1">
      <c r="A188" s="201">
        <f t="shared" si="33"/>
        <v>16</v>
      </c>
      <c r="B188" s="140" t="s">
        <v>110</v>
      </c>
      <c r="C188" s="140" t="s">
        <v>66</v>
      </c>
      <c r="D188" s="139" t="s">
        <v>73</v>
      </c>
      <c r="E188" s="143"/>
      <c r="F188" s="143" t="s">
        <v>73</v>
      </c>
      <c r="G188" s="143" t="s">
        <v>202</v>
      </c>
      <c r="H188" s="143">
        <v>4</v>
      </c>
      <c r="I188" s="130"/>
      <c r="J188" s="131">
        <f t="shared" si="31"/>
        <v>4</v>
      </c>
    </row>
    <row r="189" spans="1:23" s="1" customFormat="1" ht="18" customHeight="1">
      <c r="A189" s="201">
        <f>IF(B189="","",+A195+1)</f>
        <v>1</v>
      </c>
      <c r="B189" s="140" t="s">
        <v>512</v>
      </c>
      <c r="C189" s="140" t="s">
        <v>135</v>
      </c>
      <c r="D189" s="139" t="s">
        <v>137</v>
      </c>
      <c r="E189" s="143"/>
      <c r="F189" s="143" t="s">
        <v>137</v>
      </c>
      <c r="G189" s="143" t="s">
        <v>198</v>
      </c>
      <c r="H189" s="261">
        <f>((($I$149*$G$149)+($I$150*$G$150))/1000)*$J$120</f>
        <v>4.8159999999999998</v>
      </c>
      <c r="I189" s="258">
        <v>100</v>
      </c>
      <c r="J189" s="260">
        <f>ROUNDUP((H189)/100,0)</f>
        <v>1</v>
      </c>
    </row>
    <row r="190" spans="1:23" s="1" customFormat="1" ht="18" customHeight="1">
      <c r="A190" s="201">
        <f>IF(B190="","",+A189+1)</f>
        <v>2</v>
      </c>
      <c r="B190" s="140" t="s">
        <v>513</v>
      </c>
      <c r="C190" s="140" t="s">
        <v>136</v>
      </c>
      <c r="D190" s="139" t="s">
        <v>138</v>
      </c>
      <c r="E190" s="143"/>
      <c r="F190" s="143" t="s">
        <v>138</v>
      </c>
      <c r="G190" s="143" t="s">
        <v>198</v>
      </c>
      <c r="H190" s="261">
        <f>((+($I$146*$G$146*2))/1000)*$J$120</f>
        <v>4.8159999999999998</v>
      </c>
      <c r="I190" s="258">
        <v>100</v>
      </c>
      <c r="J190" s="260">
        <f t="shared" ref="J190:J194" si="35">ROUNDUP((H190)/100,0)</f>
        <v>1</v>
      </c>
    </row>
    <row r="191" spans="1:23" s="1" customFormat="1" ht="18" customHeight="1">
      <c r="A191" s="201">
        <f>IF(B191="","",+A190+1)</f>
        <v>3</v>
      </c>
      <c r="B191" s="139" t="str">
        <f>IF($D$129="Standard",$O$184,IF($D$129="Soumdproof",$O$185,))</f>
        <v>ยางเฟรมกันน้ำ (ธรรมดา)</v>
      </c>
      <c r="C191" s="139" t="str">
        <f>IF($D$129="Standard",$P$184,IF($D$129="Soumdproof",$P$185,))</f>
        <v>FRAME SEAL (Standard)</v>
      </c>
      <c r="D191" s="139" t="str">
        <f>IF($D$129="Standard",$Q$184,IF($D$129="Soumdproof",$Q$185,))</f>
        <v>02-026</v>
      </c>
      <c r="E191" s="143">
        <f>IF($D$129="Standard",R189,IF($D$129="Soumdproof",R190,))</f>
        <v>0</v>
      </c>
      <c r="F191" s="143" t="str">
        <f>IF($D$129="Standard",$S$184,IF($D$129="Soumdproof",$S$185,))</f>
        <v>02-026</v>
      </c>
      <c r="G191" s="143" t="str">
        <f>IF($D$129="Standard",$T$184,IF($D$129="Soumdproof",$T$185,))</f>
        <v>M</v>
      </c>
      <c r="H191" s="261">
        <f>IF($D$129="Standard",$U$184,IF($D$129="Soumdproof",$U$185,))</f>
        <v>12.257999999999999</v>
      </c>
      <c r="I191" s="258">
        <f>IF($D$129="Standard",$V$184,IF($D$129="Soumdproof",$V$185,))</f>
        <v>300</v>
      </c>
      <c r="J191" s="260">
        <f t="shared" si="35"/>
        <v>1</v>
      </c>
    </row>
    <row r="192" spans="1:23" s="1" customFormat="1" ht="18" customHeight="1">
      <c r="A192" s="201">
        <f>IF(B192="","",+A191+1)</f>
        <v>4</v>
      </c>
      <c r="B192" s="139" t="str">
        <f>IF($D$129="Standard",$O$186,IF($D$129="Soumdproof",$O$187,))</f>
        <v>ยางแซชกันน้ำ (ธรรมดา)</v>
      </c>
      <c r="C192" s="139" t="str">
        <f>IF($D$129="Standard",$P$186,IF($D$129="Soumdproof",$P$187,))</f>
        <v>SASH SEAL FOAM (Standard)</v>
      </c>
      <c r="D192" s="139" t="str">
        <f>IF($D$129="Standard",$Q$186,IF($D$129="Soumdproof",$Q$187,))</f>
        <v>02-031</v>
      </c>
      <c r="E192" s="143">
        <f>IF($D$129="Standard",R191,IF($D$129="Soumdproof",R192,))</f>
        <v>0</v>
      </c>
      <c r="F192" s="143" t="str">
        <f>IF($D$129="Standard",$S$186,IF($D$129="Soumdproof",$S$187,))</f>
        <v>02-031</v>
      </c>
      <c r="G192" s="143" t="str">
        <f>IF($D$129="Standard",$T$186,IF($D$129="Soumdproof",$T$187,))</f>
        <v>M</v>
      </c>
      <c r="H192" s="261">
        <f>IF($D$129="Standard",$U$186,IF($D$129="Soumdproof",$U$187,))</f>
        <v>84.873999999999995</v>
      </c>
      <c r="I192" s="258">
        <f>IF($D$129="Standard",$V$186,IF($D$129="Soumdproof",$V$187,))</f>
        <v>350</v>
      </c>
      <c r="J192" s="260">
        <f t="shared" si="35"/>
        <v>1</v>
      </c>
    </row>
    <row r="193" spans="1:25" ht="18" customHeight="1">
      <c r="A193" s="201">
        <f>IF(B193="","",+A192+1)</f>
        <v>5</v>
      </c>
      <c r="B193" s="241" t="str">
        <f>IF($D$127=5,$O$175,IF($D$127=6,$O$176,IF($D$127=8,$O$177,IF($D$127=10,$O$175,IF($D$127=12,$O$175,IF($D$127=14,$O$177,IF($D$127=18,$O$175,IF($D$127=20,$O$176,IF($D$127=22,"")))))))))</f>
        <v>8,14 mm ยางอัดกระจก</v>
      </c>
      <c r="C193" s="241" t="str">
        <f>IF($D$127=5,$P$175,IF($D$127=6,$P$176,IF($D$127=8,$P$177,IF($D$127=10,$P$175,IF($D$127=12,$P$175,IF($D$127=14,$P$177,IF($D$127=18,$P$175,IF($D$127=20,$P$176,IF($D$127=22,"")))))))))</f>
        <v>8,14 mm ROLL IN WEDGE</v>
      </c>
      <c r="D193" s="241" t="str">
        <f>IF($D$127=5,$Q$175,IF($D$127=6,$Q$176,IF($D$127=8,$Q$177,IF($D$127=10,$Q$175,IF($D$127=12,$Q$175,IF($D$127=14,$Q$177,IF($D$127=18,$Q$175,IF($D$127=20,$Q$176,IF($D$127=22,"")))))))))</f>
        <v>02-045</v>
      </c>
      <c r="E193" s="241">
        <f>IF($D$127=5,R180,IF($D$127=6,R181,IF($D$127=8,R182,IF($D$127=10,R180,IF($D$127=12,R180,IF($D$127=14,R182,IF($D$127=18,R180,IF($D$127=20,R181,IF($D$127=22,"",)))))))))</f>
        <v>0</v>
      </c>
      <c r="F193" s="242" t="str">
        <f>IF($D$127=5,$S$175,IF($D$127=6,$S$176,IF($D$127=8,$S$177,IF($D$127=10,$S$175,IF($D$127=12,$S$175,IF($D$127=14,$S$177,IF($D$127=18,$S$175,IF($D$127=20,$S$176,IF($D$127=22,"")))))))))</f>
        <v>02-045</v>
      </c>
      <c r="G193" s="242" t="str">
        <f>IF($D$127=5,$T$175,IF($D$127=6,$T$176,IF($D$127=8,$T$177,IF($D$127=10,$T$175,IF($D$127=12,$T$175,IF($D$127=14,$T$177,IF($D$127=18,$T$175,IF($D$127=20,$T$176,IF($D$127=22,"")))))))))</f>
        <v>M</v>
      </c>
      <c r="H193" s="261">
        <f>IF($D$127=5,$U$175,IF($D$127=6,$U$176,IF($D$127=8,$U$177,IF($D$127=10,$U$175*2,IF($D$127=12,$U$175,IF($D$127=14,$U$177*2,IF($D$127=18,$U$175,IF($D$127=20,$U$176,IF($D$127=22,"")))))))))</f>
        <v>51.161999999999999</v>
      </c>
      <c r="I193" s="258">
        <f>IF($D$127=5,$V$175,IF($D$127=6,$V$176,IF($D$127=8,$V$177,IF($D$127=10,$V$175,IF($D$127=12,$V$175,IF($D$127=14,$V$177,IF($D$127=18,$V$175,IF($D$127=20,$V$176,IF($D$127=22,"")))))))))</f>
        <v>100</v>
      </c>
      <c r="J193" s="260">
        <f t="shared" si="35"/>
        <v>1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s="1" customFormat="1" ht="18" customHeight="1">
      <c r="A194" s="201">
        <f>IF(B194="","",+A193+1)</f>
        <v>6</v>
      </c>
      <c r="B194" s="241" t="str">
        <f>IF($D$127=5,$O$173,IF($D$127=6,$O$173,IF($D$127=8,$O$175,IF($D$127=10,"",IF($D$127=12,$O$174,IF($D$127=14,"",IF($D$127=18,$O$173,IF($D$127=20,$O$174,IF($D$127=22,"",)))))))))</f>
        <v>5,8,10,12,18 mmยางอัดกระจก</v>
      </c>
      <c r="C194" s="241" t="str">
        <f>IF($D$127=5,$P$173,IF($D$127=6,$P$173,IF($D$127=8,$P$175,IF($D$127=10,"",IF($D$127=12,$P$174,IF($D$127=14,"",IF($D$127=18,$P$173,IF($D$127=20,$P$174,IF($D$127=22,"",)))))))))</f>
        <v>5,8,10,12,18 mm ROLL IN WEDGE</v>
      </c>
      <c r="D194" s="241" t="str">
        <f>IF($D$127=5,$Q$173,IF($D$127=6,$Q$173,IF($D$127=8,$Q$175,IF($D$127=10,"",IF($D$127=12,$Q$174,IF($D$127=14,"",IF($D$127=18,$Q$173,IF($D$127=20,$Q$174,IF($D$127=22,"",)))))))))</f>
        <v>02-033</v>
      </c>
      <c r="E194" s="241">
        <f>IF($D$127=5,R178,IF($D$127=6,R178,IF($D$127=8,R180,IF($D$127=10,"",IF($D$127=12,R179,IF($D$127=14,"",IF($D$127=18,R178,IF($D$127=20,R179,IF($D$127=22,"",)))))))))</f>
        <v>0</v>
      </c>
      <c r="F194" s="242" t="str">
        <f>IF($D$127=5,$S$173,IF($D$127=6,$S$173,IF($D$127=8,$S$175,IF($D$127=10,"",IF($D$127=12,$S$174,IF($D$127=14,"",IF($D$127=18,$S$173,IF($D$127=20,$S$174,IF($D$127=22,"",)))))))))</f>
        <v>02-033</v>
      </c>
      <c r="G194" s="242" t="str">
        <f>IF($D$127=5,$T$173,IF($D$127=6,$T$173,IF($D$127=8,$T$175,IF($D$127=10,"",IF($D$127=12,$T$174,IF($D$127=14,"",IF($D$127=18,$T$173,IF($D$127=20,$T$174,IF($D$127=22,"",)))))))))</f>
        <v>M</v>
      </c>
      <c r="H194" s="261">
        <f>IF($D$127=5,$U$173,IF($D$127=6,$U$173,IF($D$127=8,$U$175,IF($D$127=10,"",IF($D$127=12,$U$174,IF($D$127=14,"",IF($D$127=18,$U$173,IF($D$127=20,$U$174,IF($D$127=22,"")))))))))</f>
        <v>51.161999999999999</v>
      </c>
      <c r="I194" s="258">
        <f>IF($D$127=5,$V$173,IF($D$127=6,$V$173,IF($D$127=8,$V$175,IF($D$127=10,"",IF($D$127=12,$V$174,IF($D$127=14,"",IF($D$127=18,$V$173,IF($D$127=20,$V$174,IF($D$127=22,"",)))))))))</f>
        <v>100</v>
      </c>
      <c r="J194" s="260">
        <f t="shared" si="35"/>
        <v>1</v>
      </c>
    </row>
    <row r="195" spans="1:25" s="1" customFormat="1" ht="18" customHeight="1">
      <c r="A195" s="201"/>
      <c r="B195" s="140"/>
      <c r="C195" s="140"/>
      <c r="D195" s="139"/>
      <c r="E195" s="143"/>
      <c r="F195" s="143"/>
      <c r="G195" s="143"/>
      <c r="H195" s="143"/>
      <c r="I195" s="130"/>
      <c r="J195" s="131"/>
    </row>
    <row r="196" spans="1:25" s="1" customFormat="1" ht="18" customHeight="1">
      <c r="A196" s="201" t="str">
        <f>IF(B196="","",+A194+1)</f>
        <v/>
      </c>
      <c r="B196" s="140"/>
      <c r="C196" s="140"/>
      <c r="D196" s="139"/>
      <c r="E196" s="143"/>
      <c r="F196" s="143"/>
      <c r="G196" s="143"/>
      <c r="H196" s="143"/>
      <c r="I196" s="130"/>
      <c r="J196" s="131">
        <f t="shared" si="31"/>
        <v>0</v>
      </c>
    </row>
    <row r="197" spans="1:25" s="1" customFormat="1" ht="18" customHeight="1">
      <c r="A197" s="201" t="str">
        <f t="shared" si="33"/>
        <v/>
      </c>
      <c r="B197" s="140"/>
      <c r="C197" s="140"/>
      <c r="D197" s="139"/>
      <c r="E197" s="143"/>
      <c r="F197" s="143"/>
      <c r="G197" s="143"/>
      <c r="H197" s="143"/>
      <c r="I197" s="130"/>
      <c r="J197" s="131">
        <f t="shared" si="31"/>
        <v>0</v>
      </c>
    </row>
    <row r="198" spans="1:25" s="1" customFormat="1" ht="18" customHeight="1">
      <c r="A198" s="201" t="str">
        <f t="shared" si="33"/>
        <v/>
      </c>
      <c r="B198" s="140"/>
      <c r="C198" s="140"/>
      <c r="D198" s="139"/>
      <c r="E198" s="143"/>
      <c r="F198" s="143"/>
      <c r="G198" s="143"/>
      <c r="H198" s="143"/>
      <c r="I198" s="130"/>
      <c r="J198" s="131">
        <f t="shared" si="31"/>
        <v>0</v>
      </c>
    </row>
    <row r="199" spans="1:25" s="1" customFormat="1" ht="18" customHeight="1">
      <c r="A199" s="201" t="str">
        <f t="shared" si="33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 t="shared" ref="J199:J200" si="36">$J$120*H199</f>
        <v>0</v>
      </c>
    </row>
    <row r="200" spans="1:25" s="1" customFormat="1" ht="18" customHeight="1">
      <c r="A200" s="201" t="str">
        <f>IF(B200="","",+#REF!+1)</f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si="36"/>
        <v>0</v>
      </c>
    </row>
    <row r="201" spans="1:25" s="1" customFormat="1" ht="18" customHeight="1">
      <c r="A201" s="201" t="str">
        <f t="shared" si="33"/>
        <v/>
      </c>
      <c r="B201" s="140"/>
      <c r="C201" s="140"/>
      <c r="D201" s="139"/>
      <c r="E201" s="143"/>
      <c r="F201" s="143"/>
      <c r="G201" s="143"/>
      <c r="H201" s="143"/>
      <c r="I201" s="130"/>
      <c r="J201" s="131"/>
    </row>
    <row r="202" spans="1:25" s="1" customFormat="1" ht="18" customHeight="1">
      <c r="A202" s="201" t="str">
        <f>IF(B202="","",+#REF!+1)</f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>$J$120*H202</f>
        <v>0</v>
      </c>
    </row>
    <row r="203" spans="1:25" s="1" customFormat="1" ht="18" customHeight="1">
      <c r="A203" s="201" t="str">
        <f t="shared" si="33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>$J$120*H203</f>
        <v>0</v>
      </c>
    </row>
    <row r="204" spans="1:25" s="1" customFormat="1" ht="18" customHeight="1">
      <c r="A204" s="317" t="str">
        <f t="shared" ref="A204" si="37">IF(B204="","",+A203+1)</f>
        <v/>
      </c>
      <c r="B204" s="142"/>
      <c r="C204" s="142"/>
      <c r="D204" s="141"/>
      <c r="E204" s="240"/>
      <c r="F204" s="240"/>
      <c r="G204" s="240"/>
      <c r="H204" s="240"/>
      <c r="I204" s="136"/>
      <c r="J204" s="293">
        <f>$J$120*H204</f>
        <v>0</v>
      </c>
    </row>
    <row r="205" spans="1:25" s="1" customFormat="1" ht="18" customHeight="1">
      <c r="A205" s="25"/>
      <c r="B205" s="161"/>
      <c r="C205" s="33"/>
      <c r="D205" s="30"/>
      <c r="E205" s="17"/>
      <c r="F205" s="30"/>
      <c r="G205" s="30"/>
      <c r="H205" s="161"/>
      <c r="I205" s="24"/>
      <c r="J205" s="24"/>
    </row>
    <row r="206" spans="1:25" ht="18" customHeight="1">
      <c r="A206" s="17"/>
      <c r="J206" s="99" t="str">
        <f>LEFT($J$111,13)&amp;"-02"</f>
        <v>FG-240-9P5L4R-02</v>
      </c>
    </row>
    <row r="207" spans="1:25" ht="12.75" customHeight="1">
      <c r="B207" s="56"/>
      <c r="C207" s="56"/>
      <c r="D207" s="30"/>
      <c r="E207" s="17"/>
      <c r="F207" s="17"/>
      <c r="G207" s="17"/>
      <c r="H207" s="17"/>
      <c r="K207" s="7"/>
      <c r="L207" s="7"/>
      <c r="M207" s="2"/>
      <c r="N207" s="2"/>
    </row>
    <row r="208" spans="1:25" ht="30" customHeight="1">
      <c r="I208" s="95"/>
      <c r="J208" s="90" t="str">
        <f>$J$2</f>
        <v>HOMELIFE</v>
      </c>
      <c r="K208" s="11"/>
      <c r="L208" s="11"/>
      <c r="M208" s="2"/>
      <c r="N208" s="2"/>
    </row>
    <row r="209" spans="1:14" ht="24.9" customHeight="1">
      <c r="B209" s="255"/>
      <c r="C209" s="5"/>
      <c r="D209" s="95"/>
      <c r="E209" s="95"/>
      <c r="F209" s="95"/>
      <c r="G209" s="95"/>
      <c r="H209" s="95"/>
      <c r="I209" s="28"/>
      <c r="J209" s="91" t="str">
        <f>$J$3</f>
        <v>Fabricators Guide</v>
      </c>
      <c r="K209" s="11"/>
      <c r="L209" s="11"/>
      <c r="M209" s="2"/>
      <c r="N209" s="2"/>
    </row>
    <row r="210" spans="1:14" ht="24.9" customHeight="1">
      <c r="B210" s="255"/>
      <c r="C210" s="28"/>
      <c r="D210" s="28"/>
      <c r="E210" s="28"/>
      <c r="F210" s="28"/>
      <c r="G210" s="28"/>
      <c r="H210" s="28"/>
      <c r="I210" s="28"/>
      <c r="J210" s="91" t="str">
        <f>$J$4</f>
        <v xml:space="preserve">240 Series Bi Fold Door </v>
      </c>
      <c r="K210" s="48"/>
      <c r="L210" s="48"/>
      <c r="M210" s="4"/>
      <c r="N210" s="4"/>
    </row>
    <row r="211" spans="1:14" s="1" customFormat="1" ht="15" customHeight="1" thickBot="1">
      <c r="A211" s="78"/>
      <c r="B211" s="8"/>
      <c r="C211" s="28"/>
      <c r="D211" s="28"/>
      <c r="E211" s="28"/>
      <c r="F211" s="28"/>
      <c r="G211" s="28"/>
      <c r="H211" s="28"/>
      <c r="I211" s="78"/>
      <c r="J211" s="113"/>
      <c r="K211" s="4"/>
      <c r="L211" s="4"/>
      <c r="M211" s="4"/>
      <c r="N211" s="4"/>
    </row>
    <row r="212" spans="1:14" s="1" customFormat="1" ht="24.9" customHeight="1" thickBot="1">
      <c r="A212" s="502" t="s">
        <v>30</v>
      </c>
      <c r="B212" s="503"/>
      <c r="C212" s="503"/>
      <c r="D212" s="503"/>
      <c r="E212" s="503"/>
      <c r="F212" s="503"/>
      <c r="G212" s="503"/>
      <c r="H212" s="503"/>
      <c r="I212" s="503"/>
      <c r="J212" s="504"/>
      <c r="K212" s="56"/>
      <c r="L212" s="56"/>
      <c r="M212" s="56"/>
      <c r="N212" s="56"/>
    </row>
    <row r="214" spans="1:14" s="1" customFormat="1" ht="15" customHeight="1">
      <c r="A214" s="93"/>
      <c r="B214"/>
      <c r="C214"/>
      <c r="D214" s="81"/>
      <c r="E214"/>
      <c r="F214"/>
      <c r="G214"/>
      <c r="H214"/>
      <c r="I214" s="160"/>
      <c r="J214" s="116"/>
    </row>
    <row r="215" spans="1:14" s="1" customFormat="1" ht="15" customHeight="1">
      <c r="A215" s="17"/>
      <c r="B215" s="93"/>
      <c r="C215" s="56"/>
      <c r="D215" s="30"/>
      <c r="E215" s="29"/>
      <c r="F215" s="160"/>
      <c r="G215" s="160"/>
      <c r="H215" s="160"/>
      <c r="J215" s="17"/>
    </row>
    <row r="216" spans="1:14" s="1" customFormat="1" ht="15" customHeight="1">
      <c r="A216" s="17"/>
      <c r="B216" s="56"/>
      <c r="C216" s="328"/>
      <c r="D216" s="30"/>
      <c r="E216" s="29"/>
      <c r="F216" s="30"/>
      <c r="J216" s="17"/>
    </row>
    <row r="217" spans="1:14" s="1" customFormat="1" ht="15.6">
      <c r="A217" s="109"/>
      <c r="B217" s="33"/>
      <c r="C217" s="327"/>
      <c r="D217" s="161"/>
      <c r="E217" s="109"/>
      <c r="F217" s="161"/>
      <c r="H217" s="328"/>
      <c r="J217" s="109"/>
    </row>
    <row r="218" spans="1:14" s="1" customFormat="1" ht="15" customHeight="1">
      <c r="A218" s="93"/>
      <c r="B218" s="93"/>
      <c r="C218" s="56"/>
      <c r="D218" s="30"/>
      <c r="E218" s="29"/>
      <c r="F218" s="160"/>
      <c r="H218" s="328"/>
      <c r="I218" s="109"/>
      <c r="J218" s="109"/>
    </row>
    <row r="219" spans="1:14" s="1" customFormat="1" ht="15" customHeight="1">
      <c r="A219" s="17"/>
      <c r="B219" s="56"/>
      <c r="C219" s="89" t="s">
        <v>272</v>
      </c>
      <c r="D219" s="30"/>
      <c r="E219" s="29"/>
      <c r="F219" s="30"/>
      <c r="I219" s="109"/>
      <c r="J219" s="109"/>
    </row>
    <row r="220" spans="1:14" s="1" customFormat="1" ht="15" customHeight="1">
      <c r="A220" s="17"/>
      <c r="B220" s="56"/>
      <c r="C220" s="328" t="s">
        <v>275</v>
      </c>
      <c r="D220" s="30"/>
      <c r="E220" s="29"/>
      <c r="F220" s="30"/>
      <c r="H220" s="89"/>
      <c r="J220" s="12"/>
    </row>
    <row r="221" spans="1:14" s="1" customFormat="1" ht="15" customHeight="1">
      <c r="A221" s="109"/>
      <c r="B221" s="33"/>
      <c r="C221" s="327" t="s">
        <v>273</v>
      </c>
      <c r="D221" s="161"/>
      <c r="E221" s="109"/>
      <c r="F221" s="161"/>
      <c r="J221" s="12"/>
    </row>
    <row r="222" spans="1:14" s="1" customFormat="1" ht="15" customHeight="1">
      <c r="A222" s="109"/>
      <c r="B222" s="33"/>
      <c r="C222" s="374">
        <f>$I$133</f>
        <v>4940</v>
      </c>
      <c r="D222" s="161"/>
      <c r="E222" s="35"/>
      <c r="F222" s="161"/>
      <c r="G222" s="68"/>
      <c r="J222" s="12"/>
    </row>
    <row r="223" spans="1:14" s="1" customFormat="1" ht="15" customHeight="1">
      <c r="A223" s="109"/>
      <c r="B223" s="33"/>
      <c r="C223" s="363">
        <f>$J$133</f>
        <v>1</v>
      </c>
      <c r="D223" s="161"/>
      <c r="E223" s="35"/>
      <c r="F223" s="161"/>
      <c r="G223" s="326"/>
      <c r="I223" s="109"/>
      <c r="J223" s="109"/>
    </row>
    <row r="224" spans="1:14" s="1" customFormat="1" ht="15" customHeight="1">
      <c r="A224" s="109"/>
      <c r="B224" s="33"/>
      <c r="D224" s="161"/>
      <c r="E224" s="109"/>
      <c r="F224" s="161"/>
      <c r="G224" s="326"/>
      <c r="I224" s="109"/>
      <c r="J224" s="109"/>
    </row>
    <row r="225" spans="1:10" s="1" customFormat="1" ht="15.9" customHeight="1">
      <c r="A225" s="92"/>
      <c r="B225" s="92"/>
      <c r="C225" s="13"/>
      <c r="D225" s="161"/>
      <c r="E225" s="109"/>
      <c r="F225" s="161"/>
      <c r="G225" s="68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H226" s="109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32"/>
      <c r="J227" s="40"/>
    </row>
    <row r="228" spans="1:10" s="1" customFormat="1" ht="15.9" customHeight="1">
      <c r="A228" s="92"/>
      <c r="B228" s="92"/>
      <c r="C228" s="327"/>
      <c r="D228" s="161"/>
      <c r="E228" s="109"/>
      <c r="F228" s="161"/>
      <c r="H228" s="109"/>
      <c r="I228" s="254"/>
      <c r="J228" s="117"/>
    </row>
    <row r="229" spans="1:10" s="1" customFormat="1" ht="15.9" customHeight="1">
      <c r="A229" s="45"/>
      <c r="B229" s="45"/>
      <c r="D229" s="161"/>
      <c r="E229" s="109"/>
      <c r="F229" s="161"/>
      <c r="I229" s="254"/>
      <c r="J229" s="117"/>
    </row>
    <row r="230" spans="1:10" s="1" customFormat="1" ht="15.9" customHeight="1">
      <c r="A230" s="109"/>
      <c r="B230" s="109"/>
      <c r="D230" s="161"/>
      <c r="E230" s="109"/>
      <c r="F230" s="161"/>
      <c r="I230" s="254"/>
      <c r="J230" s="117"/>
    </row>
    <row r="231" spans="1:10" s="1" customFormat="1" ht="15.9" customHeight="1">
      <c r="A231" s="39"/>
      <c r="B231" s="38"/>
      <c r="D231" s="161"/>
      <c r="E231" s="109"/>
      <c r="F231" s="109"/>
      <c r="I231" s="254"/>
      <c r="J231" s="117"/>
    </row>
    <row r="232" spans="1:10" s="1" customFormat="1" ht="15.9" customHeight="1">
      <c r="A232" s="44"/>
      <c r="B232" s="44"/>
      <c r="C232" s="89" t="s">
        <v>274</v>
      </c>
      <c r="D232" s="84"/>
      <c r="E232" s="44"/>
      <c r="F232" s="44"/>
      <c r="G232" s="109"/>
      <c r="H232" s="109"/>
      <c r="I232" s="254"/>
      <c r="J232" s="117"/>
    </row>
    <row r="233" spans="1:10" s="1" customFormat="1" ht="15.9" customHeight="1">
      <c r="A233" s="40"/>
      <c r="B233" s="40"/>
      <c r="C233" s="328" t="s">
        <v>652</v>
      </c>
      <c r="D233" s="85"/>
      <c r="E233" s="40"/>
      <c r="F233" s="32"/>
      <c r="G233" s="109"/>
      <c r="H233" s="109"/>
      <c r="J233" s="12"/>
    </row>
    <row r="234" spans="1:10" s="1" customFormat="1" ht="15.9" customHeight="1">
      <c r="A234" s="109"/>
      <c r="B234" s="33"/>
      <c r="C234" s="433" t="s">
        <v>654</v>
      </c>
      <c r="D234" s="161"/>
      <c r="E234" s="109"/>
      <c r="F234" s="161"/>
      <c r="G234" s="109"/>
      <c r="H234" s="109"/>
      <c r="I234" s="109"/>
      <c r="J234" s="24"/>
    </row>
    <row r="235" spans="1:10" s="1" customFormat="1" ht="15.9" customHeight="1">
      <c r="A235" s="109"/>
      <c r="B235" s="33"/>
      <c r="C235" s="374">
        <f>$I$134</f>
        <v>4914</v>
      </c>
      <c r="D235" s="161"/>
      <c r="E235" s="109"/>
      <c r="F235" s="161"/>
      <c r="G235" s="109"/>
      <c r="H235" s="109"/>
      <c r="I235" s="24"/>
      <c r="J235" s="24"/>
    </row>
    <row r="236" spans="1:10" s="1" customFormat="1" ht="15.9" customHeight="1">
      <c r="A236" s="109"/>
      <c r="B236" s="33"/>
      <c r="C236" s="363">
        <f>$J$134</f>
        <v>1</v>
      </c>
      <c r="D236" s="161"/>
      <c r="E236" s="109"/>
      <c r="F236" s="161"/>
      <c r="G236" s="109"/>
      <c r="H236" s="107"/>
      <c r="I236" s="89"/>
      <c r="J236" s="118"/>
    </row>
    <row r="237" spans="1:10" s="1" customFormat="1" ht="15.9" customHeight="1">
      <c r="A237" s="109"/>
      <c r="B237" s="33"/>
      <c r="C237" s="44"/>
      <c r="D237" s="161"/>
      <c r="E237" s="109"/>
      <c r="F237" s="161"/>
      <c r="G237" s="109"/>
      <c r="H237" s="107"/>
      <c r="I237" s="254"/>
      <c r="J237" s="117"/>
    </row>
    <row r="238" spans="1:10" s="1" customFormat="1" ht="15.9" customHeight="1">
      <c r="A238" s="109"/>
      <c r="B238" s="33"/>
      <c r="D238" s="161"/>
      <c r="E238" s="109"/>
      <c r="F238" s="161"/>
      <c r="G238" s="109"/>
      <c r="H238" s="109"/>
      <c r="I238" s="254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4"/>
      <c r="J239" s="24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36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109"/>
      <c r="I241" s="109"/>
      <c r="J241" s="24"/>
    </row>
    <row r="242" spans="1:10" s="1" customFormat="1" ht="15.9" customHeight="1">
      <c r="A242" s="109"/>
      <c r="B242" s="33"/>
      <c r="C242" s="89" t="s">
        <v>276</v>
      </c>
      <c r="D242" s="161"/>
      <c r="E242" s="109"/>
      <c r="F242" s="161"/>
      <c r="G242" s="109"/>
      <c r="H242" s="109"/>
      <c r="I242" s="24"/>
      <c r="J242" s="24"/>
    </row>
    <row r="243" spans="1:10" s="1" customFormat="1" ht="15.9" customHeight="1">
      <c r="A243" s="109"/>
      <c r="B243" s="33"/>
      <c r="C243" s="328" t="s">
        <v>275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" customHeight="1">
      <c r="A244" s="109"/>
      <c r="B244" s="33"/>
      <c r="C244" s="327" t="s">
        <v>273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.9" customHeight="1">
      <c r="A245" s="109"/>
      <c r="B245" s="33"/>
      <c r="C245" s="374">
        <f>$I$135</f>
        <v>4940</v>
      </c>
      <c r="D245" s="161"/>
      <c r="E245" s="109"/>
      <c r="F245" s="161"/>
      <c r="G245" s="109"/>
      <c r="H245" s="109"/>
      <c r="I245" s="44"/>
      <c r="J245" s="119"/>
    </row>
    <row r="246" spans="1:10" s="1" customFormat="1" ht="15.9" customHeight="1">
      <c r="A246" s="109"/>
      <c r="B246" s="33"/>
      <c r="C246" s="363">
        <f>$J$135</f>
        <v>1</v>
      </c>
      <c r="D246" s="161"/>
      <c r="E246" s="109"/>
      <c r="F246" s="161"/>
      <c r="G246" s="109"/>
      <c r="H246" s="109"/>
      <c r="I246" s="32"/>
      <c r="J246" s="40"/>
    </row>
    <row r="247" spans="1:10" s="1" customFormat="1" ht="15.9" customHeight="1">
      <c r="A247" s="109"/>
      <c r="B247" s="33"/>
      <c r="C247" s="161"/>
      <c r="D247" s="161"/>
      <c r="E247" s="109"/>
      <c r="F247" s="161"/>
      <c r="G247" s="109"/>
      <c r="H247" s="109"/>
      <c r="J247" s="12"/>
    </row>
    <row r="248" spans="1:10" s="1" customFormat="1" ht="15.9" customHeight="1">
      <c r="A248" s="109"/>
      <c r="B248" s="33"/>
      <c r="C248" s="33"/>
      <c r="D248" s="161"/>
      <c r="E248" s="109"/>
      <c r="F248" s="109"/>
      <c r="G248" s="44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0"/>
      <c r="H250" s="109"/>
      <c r="I250" s="24"/>
      <c r="J250" s="24"/>
    </row>
    <row r="251" spans="1:10" s="1" customFormat="1" ht="15.9" customHeight="1">
      <c r="A251" s="109"/>
      <c r="B251" s="33"/>
      <c r="D251" s="161"/>
      <c r="E251" s="109"/>
      <c r="F251" s="109"/>
      <c r="G251" s="109"/>
      <c r="H251" s="109"/>
      <c r="I251" s="24"/>
      <c r="J251" s="24"/>
    </row>
    <row r="252" spans="1:10" s="1" customFormat="1" ht="15.9" customHeight="1">
      <c r="A252" s="44"/>
      <c r="B252" s="44"/>
      <c r="D252" s="84"/>
      <c r="E252" s="44"/>
      <c r="F252" s="44"/>
      <c r="G252" s="109"/>
      <c r="H252" s="109"/>
      <c r="I252" s="24"/>
      <c r="J252" s="24"/>
    </row>
    <row r="253" spans="1:10" s="1" customFormat="1" ht="15.9" customHeight="1">
      <c r="A253" s="40"/>
      <c r="B253" s="40"/>
      <c r="C253" s="89" t="s">
        <v>277</v>
      </c>
      <c r="D253" s="85"/>
      <c r="E253" s="40"/>
      <c r="F253" s="32"/>
      <c r="G253" s="109"/>
      <c r="I253" s="24"/>
      <c r="J253" s="24"/>
    </row>
    <row r="254" spans="1:10" s="1" customFormat="1" ht="15.9" customHeight="1">
      <c r="A254" s="27"/>
      <c r="B254" s="33"/>
      <c r="C254" s="328" t="s">
        <v>275</v>
      </c>
      <c r="D254" s="161"/>
      <c r="E254" s="109"/>
      <c r="F254" s="109"/>
      <c r="G254" s="109"/>
      <c r="I254" s="24"/>
      <c r="J254" s="24"/>
    </row>
    <row r="255" spans="1:10" s="1" customFormat="1" ht="15.9" customHeight="1">
      <c r="A255" s="27"/>
      <c r="B255" s="33"/>
      <c r="C255" s="327" t="s">
        <v>273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74">
        <f>$I$136</f>
        <v>4940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63">
        <f>$J$136</f>
        <v>1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3"/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46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161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33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89" t="s">
        <v>278</v>
      </c>
      <c r="D263" s="161"/>
      <c r="E263" s="109"/>
      <c r="F263" s="109"/>
      <c r="G263" s="109"/>
      <c r="H263" s="109"/>
      <c r="I263" s="24"/>
      <c r="J263" s="24"/>
    </row>
    <row r="264" spans="1:10" s="1" customFormat="1" ht="15.9" customHeight="1">
      <c r="A264" s="27"/>
      <c r="B264" s="33"/>
      <c r="C264" s="328" t="s">
        <v>287</v>
      </c>
      <c r="D264" s="328"/>
      <c r="E264" s="328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7" t="s">
        <v>279</v>
      </c>
      <c r="D265" s="327"/>
      <c r="E265" s="327"/>
      <c r="F265" s="109"/>
      <c r="G265" s="109"/>
      <c r="H265" s="109"/>
      <c r="J265" s="12"/>
    </row>
    <row r="266" spans="1:10" s="1" customFormat="1" ht="15.9" customHeight="1">
      <c r="A266" s="27"/>
      <c r="B266" s="33"/>
      <c r="C266" s="374">
        <f>$I$137</f>
        <v>2500</v>
      </c>
      <c r="D266" s="161"/>
      <c r="E266" s="109"/>
      <c r="F266" s="109"/>
      <c r="G266" s="33"/>
      <c r="H266" s="33"/>
      <c r="J266" s="12"/>
    </row>
    <row r="267" spans="1:10" s="1" customFormat="1" ht="15.9" customHeight="1">
      <c r="A267" s="27"/>
      <c r="B267" s="33"/>
      <c r="C267" s="363">
        <f>$J$137+$J$138</f>
        <v>2</v>
      </c>
      <c r="D267" s="161"/>
      <c r="E267" s="109"/>
      <c r="F267" s="109"/>
      <c r="G267" s="109"/>
      <c r="H267" s="109"/>
      <c r="J267" s="12"/>
    </row>
    <row r="268" spans="1:10" s="1" customFormat="1" ht="15.9" customHeight="1">
      <c r="A268" s="27"/>
      <c r="B268" s="33"/>
      <c r="D268" s="89"/>
      <c r="E268" s="8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D270" s="328"/>
      <c r="E270" s="328"/>
      <c r="F270" s="109"/>
      <c r="G270" s="109"/>
      <c r="H270" s="109"/>
      <c r="J270" s="12"/>
    </row>
    <row r="271" spans="1:10" s="1" customFormat="1" ht="15.9" customHeight="1">
      <c r="A271" s="27"/>
      <c r="B271" s="33"/>
      <c r="D271" s="328"/>
      <c r="E271" s="328"/>
      <c r="F271" s="109"/>
      <c r="G271" s="109"/>
      <c r="I271" s="24"/>
      <c r="J271" s="24"/>
    </row>
    <row r="272" spans="1:10" s="1" customFormat="1" ht="15.9" customHeight="1">
      <c r="A272" s="27"/>
      <c r="B272" s="33"/>
      <c r="C272" s="33"/>
      <c r="D272" s="161"/>
      <c r="E272" s="109"/>
      <c r="F272" s="109"/>
      <c r="G272" s="109"/>
      <c r="I272" s="24"/>
      <c r="J272" s="24"/>
    </row>
    <row r="273" spans="1:10" s="1" customFormat="1" ht="15.9" customHeight="1">
      <c r="A273" s="27"/>
      <c r="B273" s="33"/>
      <c r="C273" s="89" t="s">
        <v>280</v>
      </c>
      <c r="D273" s="162"/>
      <c r="E273" s="24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328" t="s">
        <v>649</v>
      </c>
      <c r="D274" s="328"/>
      <c r="E274" s="328"/>
      <c r="F274" s="109"/>
      <c r="G274" s="109"/>
      <c r="I274" s="109"/>
      <c r="J274" s="24"/>
    </row>
    <row r="275" spans="1:10" s="1" customFormat="1" ht="15.9" customHeight="1">
      <c r="A275" s="27"/>
      <c r="B275" s="33"/>
      <c r="C275" s="433" t="s">
        <v>650</v>
      </c>
      <c r="D275" s="327"/>
      <c r="E275" s="327"/>
      <c r="F275" s="109"/>
      <c r="G275" s="109"/>
      <c r="I275" s="109"/>
      <c r="J275" s="24"/>
    </row>
    <row r="276" spans="1:10" s="1" customFormat="1" ht="15.9" customHeight="1">
      <c r="A276" s="27"/>
      <c r="B276" s="33"/>
      <c r="C276" s="374">
        <f>$I$139</f>
        <v>2404</v>
      </c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363">
        <f>$J$139+$J$140</f>
        <v>2</v>
      </c>
      <c r="F277" s="109"/>
      <c r="G277" s="109"/>
      <c r="I277" s="109"/>
      <c r="J277" s="24"/>
    </row>
    <row r="278" spans="1:10" s="1" customFormat="1" ht="15.9" customHeight="1">
      <c r="A278" s="27"/>
      <c r="B278" s="33"/>
      <c r="F278" s="109"/>
      <c r="G278" s="109"/>
      <c r="H278" s="109"/>
      <c r="J278" s="12"/>
    </row>
    <row r="279" spans="1:10" s="1" customFormat="1" ht="15.9" customHeight="1">
      <c r="A279" s="27"/>
      <c r="B279" s="33"/>
      <c r="C279" s="33"/>
      <c r="D279" s="161"/>
      <c r="E279" s="109"/>
      <c r="F279" s="109"/>
      <c r="G279" s="109"/>
      <c r="H279" s="109"/>
      <c r="J279" s="12"/>
    </row>
    <row r="280" spans="1:10" s="1" customFormat="1" ht="15.9" customHeight="1">
      <c r="A280" s="27"/>
      <c r="B280" s="33"/>
      <c r="F280" s="109"/>
      <c r="G280" s="109"/>
      <c r="H280" s="109"/>
      <c r="J280" s="12"/>
    </row>
    <row r="281" spans="1:10" s="1" customFormat="1" ht="15.9" customHeight="1">
      <c r="A281" s="27"/>
      <c r="B281" s="33"/>
      <c r="F281" s="109"/>
      <c r="G281" s="109"/>
      <c r="H281" s="109"/>
      <c r="I281" s="162"/>
      <c r="J281" s="24"/>
    </row>
    <row r="282" spans="1:10" s="1" customFormat="1" ht="15.9" customHeight="1">
      <c r="A282" s="27"/>
      <c r="B282" s="33"/>
      <c r="C282" s="89" t="s">
        <v>283</v>
      </c>
      <c r="F282" s="109"/>
      <c r="G282" s="109"/>
      <c r="H282" s="109"/>
      <c r="I282" s="109"/>
      <c r="J282" s="24"/>
    </row>
    <row r="283" spans="1:10" s="1" customFormat="1" ht="15.9" customHeight="1">
      <c r="A283" s="27"/>
      <c r="B283" s="33"/>
      <c r="C283" s="94" t="s">
        <v>423</v>
      </c>
      <c r="D283" s="161"/>
      <c r="E283" s="109"/>
      <c r="F283" s="109"/>
      <c r="G283" s="109"/>
      <c r="H283" s="109"/>
      <c r="I283" s="24"/>
      <c r="J283" s="24"/>
    </row>
    <row r="284" spans="1:10" s="1" customFormat="1" ht="15.9" customHeight="1">
      <c r="A284" s="27"/>
      <c r="B284" s="33"/>
      <c r="C284" s="327" t="s">
        <v>424</v>
      </c>
      <c r="D284" s="161"/>
      <c r="E284" s="109"/>
      <c r="F284" s="109"/>
      <c r="G284" s="109"/>
      <c r="H284" s="109"/>
      <c r="I284" s="24"/>
      <c r="J284" s="24"/>
    </row>
    <row r="285" spans="1:10" s="1" customFormat="1" ht="15.9" customHeight="1">
      <c r="A285" s="27"/>
      <c r="B285" s="33"/>
      <c r="C285" s="328" t="s">
        <v>281</v>
      </c>
      <c r="D285" s="328"/>
      <c r="E285" s="328"/>
      <c r="F285" s="109"/>
      <c r="G285" s="109"/>
      <c r="I285" s="24"/>
      <c r="J285" s="24"/>
    </row>
    <row r="286" spans="1:10" s="23" customFormat="1" ht="15.9" customHeight="1">
      <c r="A286" s="27"/>
      <c r="B286" s="33"/>
      <c r="C286" s="327" t="s">
        <v>282</v>
      </c>
      <c r="D286" s="327"/>
      <c r="E286" s="327"/>
      <c r="F286" s="109"/>
      <c r="G286" s="109"/>
      <c r="H286" s="1"/>
      <c r="I286" s="109"/>
      <c r="J286" s="109"/>
    </row>
    <row r="287" spans="1:10" s="1" customFormat="1" ht="15.9" customHeight="1">
      <c r="A287" s="27"/>
      <c r="B287" s="33"/>
      <c r="C287" s="374">
        <f>$I$141</f>
        <v>434.33333333333331</v>
      </c>
      <c r="F287" s="109"/>
      <c r="G287" s="109"/>
      <c r="I287" s="44"/>
      <c r="J287" s="119"/>
    </row>
    <row r="288" spans="1:10" s="1" customFormat="1" ht="15.9" customHeight="1">
      <c r="A288" s="27"/>
      <c r="B288" s="33"/>
      <c r="C288" s="363">
        <f>$J$141+$J$142</f>
        <v>18</v>
      </c>
      <c r="D288" s="161"/>
      <c r="E288" s="109"/>
      <c r="F288" s="109"/>
      <c r="G288" s="109"/>
      <c r="H288" s="161"/>
      <c r="I288" s="32"/>
      <c r="J288" s="40"/>
    </row>
    <row r="289" spans="1:10" s="1" customFormat="1" ht="15.9" customHeight="1">
      <c r="A289" s="27"/>
      <c r="B289" s="33"/>
      <c r="C289" s="374">
        <f>$I$143</f>
        <v>2408</v>
      </c>
      <c r="D289" s="161"/>
      <c r="E289" s="109"/>
      <c r="F289" s="109"/>
      <c r="G289" s="109"/>
      <c r="H289" s="109"/>
      <c r="I289" s="24"/>
      <c r="J289" s="24"/>
    </row>
    <row r="290" spans="1:10" s="1" customFormat="1" ht="15.9" customHeight="1">
      <c r="A290" s="27"/>
      <c r="B290" s="33"/>
      <c r="C290" s="363">
        <f>$J$143+$J$144+$J$145+$J$146</f>
        <v>18</v>
      </c>
      <c r="D290" s="161"/>
      <c r="E290" s="109"/>
      <c r="F290" s="109"/>
      <c r="G290" s="109"/>
      <c r="H290" s="109"/>
      <c r="I290" s="24"/>
      <c r="J290" s="24"/>
    </row>
    <row r="291" spans="1:10" s="1" customFormat="1" ht="15.9" customHeight="1">
      <c r="A291" s="27"/>
      <c r="B291" s="33"/>
      <c r="D291" s="161"/>
      <c r="E291" s="109"/>
      <c r="F291" s="109"/>
      <c r="G291" s="109"/>
      <c r="H291" s="109"/>
      <c r="I291" s="24"/>
      <c r="J291" s="24"/>
    </row>
    <row r="292" spans="1:10" s="1" customFormat="1" ht="15.9" customHeight="1">
      <c r="A292" s="27"/>
      <c r="B292" s="33"/>
      <c r="C292" s="33"/>
      <c r="D292" s="161"/>
      <c r="E292" s="109"/>
      <c r="F292" s="109"/>
      <c r="G292" s="109"/>
      <c r="H292" s="109"/>
      <c r="I292" s="109"/>
      <c r="J292" s="24"/>
    </row>
    <row r="293" spans="1:10" s="1" customFormat="1" ht="15.9" customHeight="1">
      <c r="A293" s="27"/>
      <c r="B293" s="33"/>
      <c r="C293" s="23"/>
      <c r="D293" s="161"/>
      <c r="E293" s="109"/>
      <c r="F293" s="109"/>
      <c r="G293" s="109"/>
      <c r="H293" s="109"/>
      <c r="I293" s="109"/>
      <c r="J293" s="24"/>
    </row>
    <row r="294" spans="1:10" s="1" customFormat="1" ht="15.9" customHeight="1">
      <c r="A294" s="27"/>
      <c r="B294" s="33"/>
      <c r="C294" s="89" t="s">
        <v>284</v>
      </c>
      <c r="D294" s="161"/>
      <c r="E294" s="109"/>
      <c r="F294" s="109"/>
      <c r="G294" s="109"/>
      <c r="H294" s="109"/>
      <c r="I294" s="109"/>
      <c r="J294" s="24"/>
    </row>
    <row r="295" spans="1:10" s="1" customFormat="1" ht="15.9" customHeight="1">
      <c r="A295" s="27"/>
      <c r="B295" s="33"/>
      <c r="C295" s="94" t="s">
        <v>423</v>
      </c>
      <c r="D295" s="161"/>
      <c r="E295" s="109"/>
      <c r="F295" s="109"/>
      <c r="G295" s="44"/>
      <c r="H295" s="44"/>
      <c r="I295" s="109"/>
      <c r="J295" s="24"/>
    </row>
    <row r="296" spans="1:10" s="1" customFormat="1" ht="15.9" customHeight="1">
      <c r="A296" s="27"/>
      <c r="B296" s="33"/>
      <c r="C296" s="327" t="s">
        <v>424</v>
      </c>
      <c r="D296" s="328"/>
      <c r="E296" s="328"/>
      <c r="F296" s="109"/>
      <c r="G296" s="40"/>
      <c r="H296" s="32"/>
      <c r="I296" s="109"/>
      <c r="J296" s="24"/>
    </row>
    <row r="297" spans="1:10" s="1" customFormat="1" ht="15.9" customHeight="1">
      <c r="A297" s="41"/>
      <c r="B297" s="33"/>
      <c r="C297" s="328" t="s">
        <v>286</v>
      </c>
      <c r="D297" s="327"/>
      <c r="E297" s="327"/>
      <c r="F297" s="109"/>
      <c r="G297" s="109"/>
      <c r="H297" s="109"/>
      <c r="I297" s="109"/>
      <c r="J297" s="24"/>
    </row>
    <row r="298" spans="1:10" s="1" customFormat="1" ht="15.9" customHeight="1">
      <c r="A298" s="44"/>
      <c r="B298" s="44"/>
      <c r="C298" s="327" t="s">
        <v>285</v>
      </c>
      <c r="D298" s="86"/>
      <c r="E298" s="79"/>
      <c r="F298" s="44"/>
      <c r="G298" s="109"/>
      <c r="H298" s="109"/>
      <c r="I298" s="109"/>
      <c r="J298" s="24"/>
    </row>
    <row r="299" spans="1:10" s="1" customFormat="1" ht="15.9" customHeight="1">
      <c r="A299" s="40"/>
      <c r="B299" s="40"/>
      <c r="C299" s="374">
        <f>$I$147</f>
        <v>434.33333333333331</v>
      </c>
      <c r="D299" s="87"/>
      <c r="E299" s="80"/>
      <c r="F299" s="32"/>
      <c r="G299" s="109"/>
      <c r="H299" s="109"/>
      <c r="I299" s="109"/>
      <c r="J299" s="24"/>
    </row>
    <row r="300" spans="1:10" s="1" customFormat="1" ht="15.9" customHeight="1">
      <c r="A300" s="109"/>
      <c r="B300" s="33"/>
      <c r="C300" s="363">
        <f>$J$147</f>
        <v>18</v>
      </c>
      <c r="D300" s="15"/>
      <c r="F300" s="109"/>
      <c r="G300" s="109"/>
      <c r="H300" s="109"/>
      <c r="I300" s="109"/>
      <c r="J300" s="24"/>
    </row>
    <row r="301" spans="1:10" s="1" customFormat="1" ht="15.9" customHeight="1">
      <c r="A301" s="109"/>
      <c r="B301" s="33"/>
      <c r="C301" s="374">
        <f>$I$148</f>
        <v>2258</v>
      </c>
      <c r="D301" s="15"/>
      <c r="F301" s="109"/>
      <c r="G301" s="109"/>
      <c r="H301" s="109"/>
      <c r="I301" s="109"/>
      <c r="J301" s="24"/>
    </row>
    <row r="302" spans="1:10" s="1" customFormat="1" ht="15.9" customHeight="1">
      <c r="A302" s="109"/>
      <c r="B302" s="33"/>
      <c r="C302" s="363">
        <f>$J$148</f>
        <v>18</v>
      </c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C306" s="89" t="s">
        <v>288</v>
      </c>
      <c r="D306" s="161"/>
      <c r="E306" s="109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328" t="s">
        <v>281</v>
      </c>
      <c r="D307" s="328"/>
      <c r="E307" s="328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542" t="s">
        <v>282</v>
      </c>
      <c r="D308" s="542"/>
      <c r="E308" s="542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74">
        <f>$I$149</f>
        <v>2408</v>
      </c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63">
        <f>$J$149+$J$150</f>
        <v>2</v>
      </c>
      <c r="D310" s="328"/>
      <c r="E310" s="328"/>
      <c r="F310" s="109"/>
      <c r="G310" s="109"/>
      <c r="H310" s="109"/>
      <c r="I310" s="109"/>
      <c r="J310" s="24"/>
    </row>
    <row r="311" spans="1:14" s="1" customFormat="1" ht="15.75" customHeight="1">
      <c r="A311" s="109"/>
      <c r="B311" s="33"/>
      <c r="D311" s="15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25"/>
      <c r="B313" s="33"/>
      <c r="D313" s="162"/>
      <c r="E313" s="24"/>
      <c r="F313" s="109"/>
      <c r="G313" s="109"/>
      <c r="H313" s="109"/>
      <c r="I313" s="27"/>
      <c r="J313" s="99" t="str">
        <f>LEFT($J$111,13)&amp;"-03"</f>
        <v>FG-240-9P5L4R-03</v>
      </c>
    </row>
    <row r="314" spans="1:14" ht="12.75" customHeight="1">
      <c r="A314" s="17"/>
      <c r="B314" s="26"/>
      <c r="C314" s="26"/>
      <c r="D314" s="83"/>
      <c r="E314" s="25"/>
      <c r="F314" s="25"/>
      <c r="G314" s="25"/>
      <c r="H314" s="25"/>
      <c r="I314" s="179"/>
      <c r="J314" s="179"/>
    </row>
    <row r="315" spans="1:14" ht="30" customHeight="1">
      <c r="I315" s="95"/>
      <c r="J315" s="90" t="str">
        <f>$J$2</f>
        <v>HOMELIFE</v>
      </c>
      <c r="K315" s="11"/>
      <c r="L315" s="11"/>
      <c r="M315" s="2"/>
      <c r="N315" s="2"/>
    </row>
    <row r="316" spans="1:14" ht="24.9" customHeight="1">
      <c r="B316" s="255"/>
      <c r="C316" s="5"/>
      <c r="D316" s="95"/>
      <c r="E316" s="95"/>
      <c r="F316" s="95"/>
      <c r="G316" s="95"/>
      <c r="H316" s="95"/>
      <c r="I316" s="28"/>
      <c r="J316" s="91" t="str">
        <f>$J$3</f>
        <v>Fabricators Guide</v>
      </c>
      <c r="K316" s="11"/>
      <c r="L316" s="11"/>
      <c r="M316" s="2"/>
      <c r="N316" s="2"/>
    </row>
    <row r="317" spans="1:14" ht="24.9" customHeight="1">
      <c r="B317" s="255"/>
      <c r="C317" s="28"/>
      <c r="D317" s="28"/>
      <c r="E317" s="28"/>
      <c r="F317" s="28"/>
      <c r="G317" s="28"/>
      <c r="H317" s="28"/>
      <c r="I317" s="28"/>
      <c r="J317" s="91" t="str">
        <f>$J$4</f>
        <v xml:space="preserve">240 Series Bi Fold Door </v>
      </c>
      <c r="K317" s="48"/>
      <c r="L317" s="48"/>
      <c r="M317" s="4"/>
      <c r="N317" s="4"/>
    </row>
    <row r="318" spans="1:14" s="1" customFormat="1" ht="15" customHeight="1" thickBot="1">
      <c r="A318" s="78"/>
      <c r="B318" s="8"/>
      <c r="C318" s="28"/>
      <c r="D318" s="28"/>
      <c r="E318" s="28"/>
      <c r="F318" s="28"/>
      <c r="G318" s="28"/>
      <c r="H318" s="28"/>
      <c r="I318" s="78"/>
      <c r="J318" s="113"/>
      <c r="K318" s="4"/>
      <c r="L318" s="4"/>
      <c r="M318" s="4"/>
      <c r="N318" s="4"/>
    </row>
    <row r="319" spans="1:14" ht="24.9" customHeight="1" thickBot="1">
      <c r="A319" s="502" t="s">
        <v>33</v>
      </c>
      <c r="B319" s="503"/>
      <c r="C319" s="503"/>
      <c r="D319" s="503"/>
      <c r="E319" s="503"/>
      <c r="F319" s="503"/>
      <c r="G319" s="503"/>
      <c r="H319" s="503"/>
      <c r="I319" s="503"/>
      <c r="J319" s="504"/>
      <c r="K319" s="4"/>
      <c r="L319" s="4"/>
      <c r="M319" s="4"/>
      <c r="N319" s="4"/>
    </row>
    <row r="321" spans="1:10" s="1" customFormat="1" ht="15" customHeight="1">
      <c r="A321" s="63"/>
      <c r="B321"/>
      <c r="C321"/>
      <c r="D321" s="81"/>
      <c r="E321"/>
      <c r="F321"/>
      <c r="G321"/>
      <c r="H321"/>
      <c r="I321" s="160"/>
      <c r="J321" s="116"/>
    </row>
    <row r="322" spans="1:10" s="1" customFormat="1" ht="15" customHeight="1">
      <c r="A322" s="17"/>
      <c r="B322" s="72"/>
      <c r="C322" s="56"/>
      <c r="D322" s="30"/>
      <c r="E322" s="29"/>
      <c r="F322" s="160"/>
      <c r="G322" s="160"/>
      <c r="H322" s="160"/>
      <c r="I322" s="31"/>
      <c r="J322" s="17"/>
    </row>
    <row r="323" spans="1:10" s="1" customFormat="1" ht="15" customHeight="1">
      <c r="A323" s="17"/>
      <c r="B323" s="56"/>
      <c r="C323" s="56"/>
      <c r="D323" s="30"/>
      <c r="E323" s="29"/>
      <c r="F323" s="30"/>
      <c r="G323" s="31"/>
      <c r="H323" s="31"/>
      <c r="I323" s="17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09"/>
      <c r="B325" s="56"/>
      <c r="C325" s="30"/>
      <c r="D325" s="30"/>
      <c r="E325" s="29"/>
      <c r="F325" s="30"/>
      <c r="G325" s="17"/>
      <c r="H325" s="31"/>
      <c r="I325" s="109"/>
      <c r="J325" s="109"/>
    </row>
    <row r="326" spans="1:10" s="1" customFormat="1" ht="15" customHeight="1">
      <c r="A326" s="109"/>
      <c r="B326" s="33"/>
      <c r="C326" s="161"/>
      <c r="D326" s="161"/>
      <c r="E326" s="109"/>
      <c r="F326" s="161"/>
      <c r="G326" s="109"/>
      <c r="H326" s="34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35"/>
      <c r="F327" s="163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1"/>
      <c r="G328" s="109"/>
      <c r="H328" s="34"/>
      <c r="I328" s="42"/>
      <c r="J328" s="109"/>
    </row>
    <row r="329" spans="1:10" s="1" customFormat="1" ht="15" customHeight="1">
      <c r="A329" s="39"/>
      <c r="B329" s="33"/>
      <c r="C329" s="42"/>
      <c r="D329" s="161"/>
      <c r="E329" s="109"/>
      <c r="F329" s="505"/>
      <c r="G329" s="505"/>
      <c r="H329" s="256"/>
      <c r="I329" s="163"/>
      <c r="J329" s="109"/>
    </row>
    <row r="330" spans="1:10" s="1" customFormat="1" ht="15" customHeight="1">
      <c r="A330" s="92"/>
      <c r="B330" s="39"/>
      <c r="C330" s="163"/>
      <c r="D330" s="161"/>
      <c r="E330" s="109"/>
      <c r="F330" s="507"/>
      <c r="G330" s="507"/>
      <c r="H330" s="256"/>
      <c r="I330" s="161"/>
      <c r="J330" s="109"/>
    </row>
    <row r="331" spans="1:10" s="1" customFormat="1" ht="15" customHeight="1">
      <c r="A331" s="64" t="str">
        <f>A18</f>
        <v>240-9 Panel (5L4R)</v>
      </c>
      <c r="B331" s="92"/>
      <c r="C331" s="161"/>
      <c r="D331" s="161"/>
      <c r="E331" s="109"/>
      <c r="F331" s="256"/>
      <c r="G331" s="256"/>
      <c r="H331" s="256"/>
      <c r="I331" s="109"/>
      <c r="J331" s="109"/>
    </row>
    <row r="332" spans="1:10" s="1" customFormat="1" ht="15" customHeight="1">
      <c r="A332" s="76" t="str">
        <f>A19</f>
        <v xml:space="preserve">Outside Bi Fold Door </v>
      </c>
      <c r="B332" s="92"/>
      <c r="C332" s="161"/>
      <c r="D332" s="161"/>
      <c r="E332" s="109"/>
      <c r="F332" s="256"/>
      <c r="G332" s="256"/>
      <c r="H332" s="256"/>
      <c r="I332" s="109"/>
      <c r="J332" s="109"/>
    </row>
    <row r="333" spans="1:10" s="1" customFormat="1" ht="15.9" customHeight="1">
      <c r="A333" s="109"/>
      <c r="B333" s="45"/>
      <c r="C333" s="42"/>
      <c r="D333" s="161"/>
      <c r="E333" s="109"/>
      <c r="F333" s="507"/>
      <c r="G333" s="507"/>
      <c r="H333" s="256"/>
      <c r="I333" s="109"/>
      <c r="J333" s="109"/>
    </row>
    <row r="334" spans="1:10" s="1" customFormat="1" ht="15.9" customHeight="1">
      <c r="A334" s="39"/>
      <c r="B334" s="109"/>
      <c r="C334" s="161"/>
      <c r="D334" s="161"/>
      <c r="E334" s="109"/>
      <c r="F334" s="37"/>
      <c r="G334" s="38"/>
      <c r="H334" s="109"/>
      <c r="I334" s="109"/>
      <c r="J334" s="109"/>
    </row>
    <row r="335" spans="1:10" s="1" customFormat="1" ht="15.9" customHeight="1">
      <c r="A335" s="44"/>
      <c r="C335" s="43"/>
      <c r="D335" s="161"/>
      <c r="E335" s="109"/>
      <c r="F335" s="109"/>
      <c r="G335" s="109"/>
      <c r="H335" s="109"/>
      <c r="I335" s="44"/>
      <c r="J335" s="119"/>
    </row>
    <row r="336" spans="1:10" s="1" customFormat="1" ht="15.9" customHeight="1">
      <c r="A336" s="40"/>
      <c r="C336" s="44"/>
      <c r="D336" s="84"/>
      <c r="E336" s="44"/>
      <c r="F336" s="44"/>
      <c r="G336" s="44"/>
      <c r="H336" s="44"/>
      <c r="I336" s="32"/>
      <c r="J336" s="40"/>
    </row>
    <row r="337" spans="1:10" s="1" customFormat="1" ht="15.9" customHeight="1">
      <c r="A337" s="109"/>
      <c r="C337" s="161"/>
      <c r="D337" s="85"/>
      <c r="E337" s="40"/>
      <c r="F337" s="32"/>
      <c r="G337" s="40"/>
      <c r="H337" s="32"/>
      <c r="I337" s="24"/>
      <c r="J337" s="24"/>
    </row>
    <row r="338" spans="1:10" s="1" customFormat="1" ht="15.9" customHeight="1">
      <c r="A338" s="109"/>
      <c r="C338" s="163"/>
      <c r="D338" s="161"/>
      <c r="E338" s="109"/>
      <c r="F338" s="161"/>
      <c r="G338" s="109"/>
      <c r="H338" s="109"/>
      <c r="I338" s="24"/>
      <c r="J338" s="24"/>
    </row>
    <row r="339" spans="1:10" s="1" customFormat="1" ht="15.9" customHeight="1">
      <c r="A339" s="109"/>
      <c r="B339" s="33"/>
      <c r="C339" s="161"/>
      <c r="D339" s="161"/>
      <c r="E339" s="109"/>
      <c r="F339" s="161"/>
      <c r="G339" s="109"/>
      <c r="H339" s="109"/>
      <c r="I339" s="162"/>
      <c r="J339" s="162"/>
    </row>
    <row r="340" spans="1:10" s="1" customFormat="1" ht="15.9" customHeight="1">
      <c r="A340" s="109"/>
      <c r="B340" s="33"/>
      <c r="C340" s="44"/>
      <c r="D340" s="161"/>
      <c r="E340" s="109"/>
      <c r="F340" s="161"/>
      <c r="G340" s="109"/>
      <c r="H340" s="162"/>
      <c r="I340" s="161"/>
      <c r="J340" s="161"/>
    </row>
    <row r="341" spans="1:10" s="1" customFormat="1" ht="15.9" customHeight="1">
      <c r="A341" s="109"/>
      <c r="B341" s="33"/>
      <c r="C341" s="42"/>
      <c r="D341" s="161"/>
      <c r="E341" s="109"/>
      <c r="F341" s="161"/>
      <c r="G341" s="109"/>
      <c r="H341" s="161"/>
      <c r="I341" s="161"/>
      <c r="J341" s="161"/>
    </row>
    <row r="342" spans="1:10" s="1" customFormat="1" ht="15.9" customHeight="1">
      <c r="A342" s="109"/>
      <c r="B342" s="33"/>
      <c r="C342" s="163"/>
      <c r="D342" s="161"/>
      <c r="E342" s="109"/>
      <c r="F342" s="161"/>
      <c r="G342" s="109"/>
      <c r="H342" s="161"/>
      <c r="I342" s="109"/>
      <c r="J342" s="24"/>
    </row>
    <row r="343" spans="1:10" s="1" customFormat="1" ht="15.9" customHeight="1">
      <c r="A343" s="109"/>
      <c r="B343" s="33"/>
      <c r="C343" s="161"/>
      <c r="D343" s="161"/>
      <c r="E343" s="109"/>
      <c r="F343" s="161"/>
      <c r="G343" s="109"/>
      <c r="H343" s="109"/>
      <c r="I343" s="24"/>
      <c r="J343" s="24"/>
    </row>
    <row r="344" spans="1:10" s="1" customFormat="1" ht="15.9" customHeight="1">
      <c r="A344" s="109"/>
      <c r="B344" s="33"/>
      <c r="C344" s="33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44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161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3"/>
      <c r="D349" s="161"/>
      <c r="E349" s="109"/>
      <c r="F349" s="161"/>
      <c r="G349" s="109"/>
      <c r="H349" s="109"/>
      <c r="I349" s="109"/>
      <c r="J349" s="24"/>
    </row>
    <row r="350" spans="1:10" s="1" customFormat="1" ht="15.9" customHeight="1">
      <c r="A350" s="109"/>
      <c r="B350" s="33"/>
      <c r="C350" s="161"/>
      <c r="D350" s="161"/>
      <c r="E350" s="109"/>
      <c r="F350" s="161"/>
      <c r="G350" s="109"/>
      <c r="H350" s="109"/>
      <c r="I350" s="24"/>
      <c r="J350" s="24"/>
    </row>
    <row r="351" spans="1:10" s="1" customFormat="1" ht="15.9" customHeight="1">
      <c r="A351" s="109"/>
      <c r="B351" s="33"/>
      <c r="C351" s="33"/>
      <c r="D351" s="161"/>
      <c r="E351" s="109"/>
      <c r="F351" s="109"/>
      <c r="G351" s="109"/>
      <c r="H351" s="109"/>
      <c r="I351" s="24"/>
      <c r="J351" s="24"/>
    </row>
    <row r="352" spans="1:10" s="1" customFormat="1" ht="15" customHeight="1">
      <c r="A352" s="109"/>
      <c r="B352" s="33"/>
      <c r="C352" s="33"/>
      <c r="D352" s="161"/>
      <c r="E352" s="109"/>
      <c r="F352" s="109"/>
      <c r="G352" s="109"/>
      <c r="H352" s="107"/>
      <c r="I352" s="24"/>
      <c r="J352" s="24"/>
    </row>
    <row r="353" spans="1:10" s="23" customFormat="1" ht="15.9" customHeight="1">
      <c r="A353" s="109"/>
      <c r="B353" s="33"/>
      <c r="C353" s="33"/>
      <c r="D353" s="161"/>
      <c r="E353" s="109"/>
      <c r="F353" s="109"/>
      <c r="G353" s="109"/>
      <c r="H353" s="109"/>
      <c r="I353" s="109"/>
      <c r="J353" s="109"/>
    </row>
    <row r="354" spans="1:10" s="1" customFormat="1" ht="15.9" customHeight="1">
      <c r="A354" s="44"/>
      <c r="B354" s="33"/>
      <c r="C354" s="33"/>
      <c r="D354" s="161"/>
      <c r="E354" s="109"/>
      <c r="F354" s="109"/>
      <c r="G354" s="109"/>
      <c r="H354" s="109"/>
      <c r="I354" s="44"/>
      <c r="J354" s="119"/>
    </row>
    <row r="355" spans="1:10" s="1" customFormat="1" ht="15.9" customHeight="1">
      <c r="A355" s="40"/>
      <c r="B355" s="44"/>
      <c r="C355" s="44"/>
      <c r="D355" s="84"/>
      <c r="E355" s="44"/>
      <c r="F355" s="44"/>
      <c r="G355" s="44"/>
      <c r="H355" s="44"/>
      <c r="I355" s="32"/>
      <c r="J355" s="40"/>
    </row>
    <row r="356" spans="1:10" s="1" customFormat="1" ht="15.9" customHeight="1">
      <c r="A356" s="27"/>
      <c r="B356" s="40"/>
      <c r="C356" s="44"/>
      <c r="D356" s="85"/>
      <c r="E356" s="40"/>
      <c r="F356" s="32"/>
      <c r="G356" s="40"/>
      <c r="H356" s="32"/>
      <c r="I356" s="24"/>
      <c r="J356" s="24"/>
    </row>
    <row r="357" spans="1:10" s="1" customFormat="1" ht="15.9" customHeight="1">
      <c r="A357" s="27"/>
      <c r="B357" s="33"/>
      <c r="C357" s="42"/>
      <c r="D357" s="161"/>
      <c r="E357" s="109"/>
      <c r="F357" s="109"/>
      <c r="G357" s="109"/>
      <c r="H357" s="42"/>
      <c r="I357" s="163"/>
      <c r="J357" s="163"/>
    </row>
    <row r="358" spans="1:10" s="1" customFormat="1" ht="15.9" customHeight="1">
      <c r="A358" s="27"/>
      <c r="B358" s="33"/>
      <c r="C358" s="163"/>
      <c r="D358" s="161"/>
      <c r="E358" s="109"/>
      <c r="F358" s="109"/>
      <c r="G358" s="109"/>
      <c r="H358" s="163"/>
      <c r="I358" s="161"/>
      <c r="J358" s="161"/>
    </row>
    <row r="359" spans="1:10" s="1" customFormat="1" ht="15.9" customHeight="1">
      <c r="A359" s="27"/>
      <c r="B359" s="33"/>
      <c r="C359" s="161"/>
      <c r="D359" s="161"/>
      <c r="E359" s="109"/>
      <c r="F359" s="109"/>
      <c r="G359" s="109"/>
      <c r="H359" s="161"/>
      <c r="I359" s="24"/>
      <c r="J359" s="24"/>
    </row>
    <row r="360" spans="1:10" s="1" customFormat="1" ht="15.9" customHeight="1">
      <c r="A360" s="27"/>
      <c r="B360" s="33"/>
      <c r="C360" s="33"/>
      <c r="D360" s="161"/>
      <c r="E360" s="109"/>
      <c r="F360" s="109"/>
      <c r="G360" s="109"/>
      <c r="H360" s="109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46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161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33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B369" s="33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D371" s="161"/>
      <c r="E371" s="109"/>
      <c r="F371" s="109"/>
      <c r="G371" s="33"/>
      <c r="H371" s="33"/>
      <c r="I371" s="24"/>
      <c r="J371" s="24"/>
    </row>
    <row r="372" spans="1:10" s="1" customFormat="1" ht="15.9" customHeight="1">
      <c r="A372" s="27"/>
      <c r="B372" s="33"/>
      <c r="C372" s="33"/>
      <c r="D372" s="161"/>
      <c r="E372" s="109"/>
      <c r="F372" s="109"/>
      <c r="G372" s="109"/>
      <c r="H372" s="109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42"/>
      <c r="I375" s="163"/>
      <c r="J375" s="163"/>
    </row>
    <row r="376" spans="1:10" s="1" customFormat="1" ht="15.9" customHeight="1">
      <c r="A376" s="27"/>
      <c r="B376" s="33"/>
      <c r="C376" s="47"/>
      <c r="D376" s="161"/>
      <c r="E376" s="109"/>
      <c r="F376" s="109"/>
      <c r="G376" s="109"/>
      <c r="H376" s="163"/>
      <c r="I376" s="161"/>
      <c r="J376" s="161"/>
    </row>
    <row r="377" spans="1:10" s="1" customFormat="1" ht="15.9" customHeight="1">
      <c r="A377" s="27"/>
      <c r="B377" s="33"/>
      <c r="C377" s="46"/>
      <c r="D377" s="161"/>
      <c r="E377" s="109"/>
      <c r="F377" s="109"/>
      <c r="G377" s="109"/>
      <c r="H377" s="161"/>
      <c r="I377" s="24"/>
      <c r="J377" s="24"/>
    </row>
    <row r="378" spans="1:10" s="1" customFormat="1" ht="15.9" customHeight="1">
      <c r="A378" s="27"/>
      <c r="B378" s="33"/>
      <c r="C378" s="161"/>
      <c r="D378" s="161"/>
      <c r="E378" s="109"/>
      <c r="F378" s="109"/>
      <c r="G378" s="109"/>
      <c r="H378" s="42"/>
      <c r="I378" s="163"/>
      <c r="J378" s="163"/>
    </row>
    <row r="379" spans="1:10" s="1" customFormat="1" ht="15.9" customHeight="1">
      <c r="A379" s="27"/>
      <c r="B379" s="33"/>
      <c r="C379" s="33"/>
      <c r="D379" s="161"/>
      <c r="E379" s="109"/>
      <c r="F379" s="109"/>
      <c r="G379" s="109"/>
      <c r="H379" s="163"/>
      <c r="I379" s="161"/>
      <c r="J379" s="161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1"/>
      <c r="I380" s="24"/>
      <c r="J380" s="24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09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109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64"/>
      <c r="J387" s="16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64"/>
      <c r="I388" s="165"/>
      <c r="J388" s="165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5"/>
      <c r="I389" s="161"/>
      <c r="J389" s="161"/>
    </row>
    <row r="390" spans="1:10" s="1" customFormat="1" ht="15.9" customHeight="1">
      <c r="A390" s="27"/>
      <c r="B390" s="33"/>
      <c r="C390" s="47"/>
      <c r="D390" s="161"/>
      <c r="E390" s="109"/>
      <c r="F390" s="109"/>
      <c r="G390" s="109"/>
      <c r="H390" s="161"/>
      <c r="I390" s="24"/>
      <c r="J390" s="24"/>
    </row>
    <row r="391" spans="1:10" s="1" customFormat="1" ht="15.9" customHeight="1">
      <c r="A391" s="27"/>
      <c r="B391" s="33"/>
      <c r="C391" s="46"/>
      <c r="D391" s="161"/>
      <c r="E391" s="109"/>
      <c r="F391" s="109"/>
      <c r="G391" s="109"/>
      <c r="H391" s="109"/>
      <c r="I391" s="109"/>
      <c r="J391" s="24"/>
    </row>
    <row r="392" spans="1:10" s="1" customFormat="1" ht="15.9" customHeight="1">
      <c r="A392" s="27"/>
      <c r="B392" s="33"/>
      <c r="C392" s="161"/>
      <c r="D392" s="161"/>
      <c r="E392" s="109"/>
      <c r="F392" s="109"/>
      <c r="G392" s="109"/>
      <c r="H392" s="109"/>
      <c r="I392" s="24"/>
      <c r="J392" s="24"/>
    </row>
    <row r="393" spans="1:10" s="1" customFormat="1" ht="15.9" customHeight="1">
      <c r="A393" s="27"/>
      <c r="B393" s="33"/>
      <c r="C393" s="33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41"/>
      <c r="B395" s="33"/>
      <c r="C395" s="33"/>
      <c r="D395" s="161"/>
      <c r="E395" s="109"/>
      <c r="F395" s="109"/>
      <c r="G395" s="109"/>
      <c r="H395" s="109"/>
      <c r="I395" s="109"/>
      <c r="J395" s="109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23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1" customFormat="1" ht="15.9" customHeight="1">
      <c r="A404" s="44"/>
      <c r="B404" s="33"/>
      <c r="C404" s="33"/>
      <c r="D404" s="161"/>
      <c r="E404" s="109"/>
      <c r="F404" s="109"/>
      <c r="G404" s="109"/>
      <c r="H404" s="109"/>
      <c r="I404" s="44"/>
      <c r="J404" s="119"/>
    </row>
    <row r="405" spans="1:10" s="1" customFormat="1" ht="15.9" customHeight="1">
      <c r="A405" s="44"/>
      <c r="B405" s="44"/>
      <c r="C405" s="44"/>
      <c r="D405" s="84"/>
      <c r="E405" s="44"/>
      <c r="F405" s="44"/>
      <c r="G405" s="44"/>
      <c r="H405" s="44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109"/>
      <c r="B418" s="44"/>
      <c r="C418" s="44"/>
      <c r="D418" s="84"/>
      <c r="E418" s="44"/>
      <c r="F418" s="44"/>
      <c r="G418" s="44"/>
      <c r="H418" s="44"/>
      <c r="I418" s="24"/>
      <c r="J418" s="24"/>
      <c r="K418" s="71"/>
    </row>
    <row r="419" spans="1:14" s="1" customFormat="1" ht="15.9" customHeight="1">
      <c r="A419" s="109"/>
      <c r="B419" s="33"/>
      <c r="C419" s="33"/>
      <c r="D419" s="161"/>
      <c r="E419" s="109"/>
      <c r="F419" s="109"/>
      <c r="G419" s="109"/>
      <c r="H419" s="109"/>
      <c r="I419" s="24"/>
    </row>
    <row r="420" spans="1:14" ht="18">
      <c r="A420" s="109"/>
      <c r="B420" s="33"/>
      <c r="C420" s="33"/>
      <c r="D420" s="161"/>
      <c r="E420" s="109"/>
      <c r="F420" s="109"/>
      <c r="G420" s="109"/>
      <c r="H420" s="109"/>
      <c r="I420" s="109"/>
      <c r="J420" s="99" t="str">
        <f>LEFT($J$111,13)&amp;"-04"</f>
        <v>FG-240-9P5L4R-04</v>
      </c>
      <c r="K420" s="7"/>
      <c r="L420" s="7"/>
      <c r="M420" s="2"/>
      <c r="N420" s="2"/>
    </row>
    <row r="421" spans="1:14" ht="12.75" customHeight="1">
      <c r="A421" s="109"/>
      <c r="B421" s="33"/>
      <c r="C421" s="33"/>
      <c r="D421" s="161"/>
      <c r="E421" s="109"/>
      <c r="F421" s="109"/>
      <c r="G421" s="109"/>
      <c r="H421" s="109"/>
      <c r="I421" s="109"/>
      <c r="J421" s="114"/>
      <c r="K421" s="7"/>
      <c r="L421" s="7"/>
      <c r="M421" s="2"/>
      <c r="N421" s="2"/>
    </row>
    <row r="422" spans="1:14" ht="30" customHeight="1">
      <c r="B422" s="33"/>
      <c r="C422" s="33"/>
      <c r="D422" s="161"/>
      <c r="E422" s="109"/>
      <c r="F422" s="109"/>
      <c r="G422" s="109"/>
      <c r="H422" s="109"/>
      <c r="I422" s="95"/>
      <c r="J422" s="90" t="str">
        <f>J2</f>
        <v>HOMELIFE</v>
      </c>
      <c r="K422" s="11"/>
      <c r="L422" s="11"/>
      <c r="M422" s="2"/>
      <c r="N422" s="2"/>
    </row>
    <row r="423" spans="1:14" ht="24.9" customHeight="1">
      <c r="B423" s="255"/>
      <c r="C423" s="5"/>
      <c r="D423" s="95"/>
      <c r="E423" s="95"/>
      <c r="F423" s="95"/>
      <c r="G423" s="95"/>
      <c r="H423" s="95"/>
      <c r="I423" s="28"/>
      <c r="J423" s="91" t="str">
        <f>J3</f>
        <v>Fabricators Guide</v>
      </c>
      <c r="K423" s="11"/>
      <c r="L423" s="11"/>
      <c r="M423" s="2"/>
      <c r="N423" s="2"/>
    </row>
    <row r="424" spans="1:14" ht="24.9" customHeight="1">
      <c r="B424" s="255"/>
      <c r="C424" s="28"/>
      <c r="D424" s="28"/>
      <c r="E424" s="28"/>
      <c r="F424" s="28"/>
      <c r="G424" s="28"/>
      <c r="H424" s="28"/>
      <c r="I424" s="28"/>
      <c r="J424" s="91" t="str">
        <f>J4</f>
        <v xml:space="preserve">240 Series Bi Fold Door </v>
      </c>
      <c r="K424" s="48"/>
      <c r="L424" s="48"/>
      <c r="M424" s="4"/>
      <c r="N424" s="4"/>
    </row>
    <row r="425" spans="1:14" s="1" customFormat="1" ht="15" customHeight="1" thickBot="1">
      <c r="A425" s="78"/>
      <c r="B425" s="8"/>
      <c r="C425" s="28"/>
      <c r="D425" s="28"/>
      <c r="E425" s="28"/>
      <c r="F425" s="28"/>
      <c r="G425" s="28"/>
      <c r="H425" s="28"/>
      <c r="I425" s="78"/>
      <c r="J425" s="100"/>
      <c r="K425" s="4"/>
      <c r="L425" s="4"/>
      <c r="M425" s="4"/>
      <c r="N425" s="4"/>
    </row>
    <row r="426" spans="1:14" s="1" customFormat="1" ht="24.9" customHeight="1" thickBot="1">
      <c r="A426" s="502" t="s">
        <v>34</v>
      </c>
      <c r="B426" s="503"/>
      <c r="C426" s="503"/>
      <c r="D426" s="503"/>
      <c r="E426" s="503"/>
      <c r="F426" s="503"/>
      <c r="G426" s="503"/>
      <c r="H426" s="503"/>
      <c r="I426" s="503"/>
      <c r="J426" s="504"/>
      <c r="K426" s="4"/>
      <c r="L426" s="4"/>
      <c r="M426" s="4"/>
      <c r="N426" s="4"/>
    </row>
    <row r="427" spans="1:14" s="1" customFormat="1" ht="15" customHeight="1">
      <c r="A427" s="193"/>
      <c r="B427" s="194"/>
      <c r="C427" s="194"/>
      <c r="D427" s="194"/>
      <c r="E427" s="194"/>
      <c r="F427" s="194"/>
      <c r="G427" s="194"/>
      <c r="H427" s="194"/>
      <c r="I427" s="193"/>
      <c r="K427" s="56"/>
      <c r="L427" s="56"/>
      <c r="M427" s="56"/>
      <c r="N427" s="56"/>
    </row>
    <row r="428" spans="1:14" s="1" customFormat="1" ht="15" customHeight="1">
      <c r="A428" s="45"/>
      <c r="B428" s="193"/>
      <c r="C428" s="193"/>
      <c r="D428" s="193"/>
      <c r="E428" s="193"/>
      <c r="F428" s="193"/>
      <c r="G428" s="193"/>
      <c r="H428" s="193"/>
      <c r="I428" s="44"/>
      <c r="J428" s="119"/>
    </row>
    <row r="429" spans="1:14" s="1" customFormat="1" ht="15" customHeight="1">
      <c r="A429" s="109"/>
      <c r="B429" s="39"/>
      <c r="C429" s="33"/>
      <c r="D429" s="161"/>
      <c r="E429" s="35"/>
      <c r="F429" s="39"/>
      <c r="G429" s="193"/>
      <c r="H429" s="44"/>
      <c r="I429" s="44"/>
      <c r="J429" s="119"/>
    </row>
    <row r="430" spans="1:14" s="1" customFormat="1" ht="15" customHeight="1">
      <c r="A430" s="109"/>
      <c r="B430" s="33"/>
      <c r="C430" s="33"/>
      <c r="D430" s="161"/>
      <c r="E430" s="35"/>
      <c r="F430" s="161"/>
      <c r="G430" s="193"/>
      <c r="H430" s="44"/>
      <c r="I430" s="44"/>
      <c r="J430" s="119"/>
    </row>
    <row r="431" spans="1:14" s="1" customFormat="1" ht="15" customHeight="1">
      <c r="A431" s="109"/>
      <c r="B431" s="56"/>
      <c r="C431" s="56"/>
      <c r="D431" s="30"/>
      <c r="E431" s="29"/>
      <c r="F431" s="30"/>
      <c r="H431" s="44"/>
      <c r="I431" s="44"/>
      <c r="J431" s="119"/>
    </row>
    <row r="432" spans="1:14" s="1" customFormat="1" ht="15" customHeight="1">
      <c r="A432" s="109"/>
      <c r="B432" s="33"/>
      <c r="C432" s="161"/>
      <c r="D432" s="161"/>
      <c r="E432" s="109"/>
      <c r="F432" s="161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35"/>
      <c r="F433" s="163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1"/>
      <c r="H434" s="44"/>
      <c r="I434" s="44"/>
      <c r="J434" s="119"/>
    </row>
    <row r="435" spans="1:10" s="1" customFormat="1" ht="15" customHeight="1">
      <c r="A435" s="39"/>
      <c r="B435" s="33"/>
      <c r="C435" s="42"/>
      <c r="D435" s="161"/>
      <c r="E435" s="109"/>
      <c r="F435" s="69"/>
      <c r="H435" s="44"/>
      <c r="I435" s="44"/>
      <c r="J435" s="119"/>
    </row>
    <row r="436" spans="1:10" s="1" customFormat="1" ht="15" customHeight="1">
      <c r="A436" s="92"/>
      <c r="B436" s="39"/>
      <c r="C436" s="163"/>
      <c r="D436" s="161"/>
      <c r="E436" s="109"/>
      <c r="F436" s="68"/>
      <c r="H436" s="44"/>
      <c r="I436" s="44"/>
      <c r="J436" s="119"/>
    </row>
    <row r="437" spans="1:10" s="1" customFormat="1" ht="15" customHeight="1">
      <c r="B437" s="92"/>
      <c r="C437" s="161"/>
      <c r="D437" s="161"/>
      <c r="E437" s="109"/>
      <c r="F437" s="256"/>
      <c r="H437" s="44"/>
      <c r="I437" s="44"/>
      <c r="J437" s="119"/>
    </row>
    <row r="438" spans="1:10" s="1" customFormat="1" ht="15" customHeight="1">
      <c r="A438" s="64" t="str">
        <f>A18</f>
        <v>240-9 Panel (5L4R)</v>
      </c>
      <c r="B438" s="92"/>
      <c r="C438" s="161"/>
      <c r="D438" s="161"/>
      <c r="E438" s="109"/>
      <c r="F438" s="256"/>
      <c r="H438" s="44"/>
      <c r="I438" s="44"/>
      <c r="J438" s="119"/>
    </row>
    <row r="439" spans="1:10" s="1" customFormat="1" ht="15.9" customHeight="1">
      <c r="A439" s="76" t="str">
        <f>A19</f>
        <v xml:space="preserve">Outside Bi Fold Door </v>
      </c>
      <c r="C439" s="42"/>
      <c r="D439" s="161"/>
      <c r="E439" s="109"/>
      <c r="F439" s="68"/>
      <c r="H439" s="44"/>
      <c r="I439" s="44"/>
      <c r="J439" s="119"/>
    </row>
    <row r="440" spans="1:10" s="1" customFormat="1" ht="15.9" customHeight="1">
      <c r="A440" s="39"/>
      <c r="C440" s="161"/>
      <c r="D440" s="161"/>
      <c r="E440" s="109"/>
      <c r="F440" s="37"/>
      <c r="H440" s="44"/>
      <c r="I440" s="44"/>
      <c r="J440" s="119"/>
    </row>
    <row r="441" spans="1:10" s="1" customFormat="1" ht="15.9" customHeight="1">
      <c r="A441" s="44"/>
      <c r="B441" s="38"/>
      <c r="C441" s="43"/>
      <c r="D441" s="161"/>
      <c r="E441" s="109"/>
      <c r="F441" s="109"/>
      <c r="H441" s="44"/>
      <c r="I441" s="44"/>
      <c r="J441" s="119"/>
    </row>
    <row r="442" spans="1:10" s="1" customFormat="1" ht="15.9" customHeight="1">
      <c r="A442" s="40"/>
      <c r="C442" s="44"/>
      <c r="D442" s="84"/>
      <c r="E442" s="44"/>
      <c r="F442" s="44"/>
      <c r="H442" s="44"/>
      <c r="I442" s="44"/>
      <c r="J442" s="119"/>
    </row>
    <row r="443" spans="1:10" s="1" customFormat="1" ht="35.1" customHeight="1">
      <c r="A443" s="109"/>
      <c r="C443" s="161"/>
      <c r="D443" s="85"/>
      <c r="E443" s="40"/>
      <c r="F443" s="32"/>
      <c r="H443" s="44"/>
      <c r="I443" s="24"/>
      <c r="J443" s="24"/>
    </row>
    <row r="444" spans="1:10" ht="15.6">
      <c r="B444" s="64"/>
      <c r="C444" s="163"/>
      <c r="D444" s="161"/>
      <c r="E444" s="109"/>
      <c r="F444" s="161"/>
      <c r="G444" s="109"/>
      <c r="H444" s="109"/>
    </row>
    <row r="449" spans="1:10" s="1" customFormat="1" ht="15.9" customHeight="1">
      <c r="A449" s="109"/>
      <c r="B449"/>
      <c r="C449"/>
      <c r="D449" s="81"/>
      <c r="E449"/>
      <c r="F449"/>
      <c r="G449"/>
      <c r="H449"/>
      <c r="I449" s="24"/>
      <c r="J449" s="24"/>
    </row>
    <row r="450" spans="1:10" s="1" customFormat="1" ht="15.9" customHeight="1">
      <c r="A450" s="109"/>
      <c r="B450" s="33"/>
      <c r="C450" s="33"/>
      <c r="D450" s="161"/>
      <c r="E450" s="109"/>
      <c r="F450" s="161"/>
      <c r="G450" s="109"/>
      <c r="H450" s="109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44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161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3"/>
      <c r="D455" s="161"/>
      <c r="E455" s="109"/>
      <c r="F455" s="161"/>
      <c r="G455" s="109"/>
      <c r="H455" s="109"/>
      <c r="I455" s="109"/>
      <c r="J455" s="24"/>
    </row>
    <row r="456" spans="1:10" s="1" customFormat="1" ht="15.9" customHeight="1">
      <c r="A456" s="109"/>
      <c r="B456" s="33"/>
      <c r="C456" s="161"/>
      <c r="D456" s="161"/>
      <c r="E456" s="109"/>
      <c r="F456" s="161"/>
      <c r="G456" s="109"/>
      <c r="H456" s="109"/>
      <c r="I456" s="24"/>
      <c r="J456" s="24"/>
    </row>
    <row r="457" spans="1:10" s="1" customFormat="1" ht="15.9" customHeight="1">
      <c r="A457" s="109"/>
      <c r="B457" s="33"/>
      <c r="C457" s="33"/>
      <c r="D457" s="161"/>
      <c r="E457" s="109"/>
      <c r="F457" s="109"/>
      <c r="G457" s="109"/>
      <c r="H457" s="109"/>
      <c r="I457" s="24"/>
      <c r="J457" s="24"/>
    </row>
    <row r="458" spans="1:10" s="1" customFormat="1" ht="15" customHeight="1">
      <c r="A458" s="109"/>
      <c r="B458" s="33"/>
      <c r="C458" s="33"/>
      <c r="D458" s="161"/>
      <c r="E458" s="109"/>
      <c r="F458" s="109"/>
      <c r="G458" s="109"/>
      <c r="H458" s="107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9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23" customFormat="1" ht="15.9" customHeight="1">
      <c r="A476" s="109"/>
      <c r="B476" s="33"/>
      <c r="C476" s="33"/>
      <c r="D476" s="161"/>
      <c r="E476" s="109"/>
      <c r="F476" s="109"/>
      <c r="G476" s="109"/>
      <c r="H476" s="109"/>
      <c r="I476" s="109"/>
      <c r="J476" s="109"/>
    </row>
    <row r="477" spans="1:10" s="1" customFormat="1" ht="15.9" customHeight="1">
      <c r="A477" s="44"/>
      <c r="B477" s="33"/>
      <c r="C477" s="33"/>
      <c r="D477" s="161"/>
      <c r="E477" s="109"/>
      <c r="F477" s="109"/>
      <c r="G477" s="109"/>
      <c r="H477" s="109"/>
      <c r="I477" s="44"/>
      <c r="J477" s="119"/>
    </row>
    <row r="478" spans="1:10" s="1" customFormat="1" ht="15.9" customHeight="1">
      <c r="A478" s="40"/>
      <c r="B478" s="44"/>
      <c r="C478" s="44"/>
      <c r="D478" s="84"/>
      <c r="E478" s="44"/>
      <c r="F478" s="44"/>
      <c r="G478" s="44"/>
      <c r="H478" s="44"/>
      <c r="I478" s="32"/>
      <c r="J478" s="40"/>
    </row>
    <row r="479" spans="1:10" s="1" customFormat="1" ht="15.9" customHeight="1">
      <c r="A479" s="27"/>
      <c r="B479" s="40"/>
      <c r="C479" s="44"/>
      <c r="D479" s="85"/>
      <c r="E479" s="40"/>
      <c r="F479" s="32"/>
      <c r="G479" s="40"/>
      <c r="H479" s="32"/>
      <c r="I479" s="24"/>
      <c r="J479" s="24"/>
    </row>
    <row r="480" spans="1:10" s="1" customFormat="1" ht="15.9" customHeight="1">
      <c r="A480" s="27"/>
      <c r="B480" s="33"/>
      <c r="C480" s="42"/>
      <c r="D480" s="161"/>
      <c r="E480" s="109"/>
      <c r="F480" s="109"/>
      <c r="G480" s="109"/>
      <c r="H480" s="42"/>
      <c r="I480" s="67"/>
      <c r="J480" s="165"/>
    </row>
    <row r="481" spans="1:10" s="1" customFormat="1" ht="15.9" customHeight="1">
      <c r="A481" s="27"/>
      <c r="B481" s="33"/>
      <c r="C481" s="163"/>
      <c r="D481" s="161"/>
      <c r="E481" s="109"/>
      <c r="F481" s="109"/>
      <c r="G481" s="109"/>
      <c r="H481" s="67"/>
      <c r="I481" s="38"/>
      <c r="J481" s="109"/>
    </row>
    <row r="482" spans="1:10" s="1" customFormat="1" ht="15.9" customHeight="1">
      <c r="A482" s="27"/>
      <c r="B482" s="33"/>
      <c r="C482" s="161"/>
      <c r="D482" s="161"/>
      <c r="E482" s="109"/>
      <c r="F482" s="109"/>
      <c r="G482" s="109"/>
      <c r="H482" s="38"/>
      <c r="I482" s="24"/>
      <c r="J482" s="24"/>
    </row>
    <row r="483" spans="1:10" s="1" customFormat="1" ht="15.9" customHeight="1">
      <c r="A483" s="27"/>
      <c r="B483" s="33"/>
      <c r="C483" s="33"/>
      <c r="D483" s="161"/>
      <c r="E483" s="109"/>
      <c r="F483" s="109"/>
      <c r="G483" s="109"/>
      <c r="H483" s="109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46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161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33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B492" s="33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D494" s="161"/>
      <c r="E494" s="109"/>
      <c r="F494" s="109"/>
      <c r="G494" s="33"/>
      <c r="H494" s="33"/>
      <c r="I494" s="24"/>
      <c r="J494" s="24"/>
    </row>
    <row r="495" spans="1:10" s="1" customFormat="1" ht="15.9" customHeight="1">
      <c r="A495" s="27"/>
      <c r="B495" s="33"/>
      <c r="C495" s="33"/>
      <c r="D495" s="161"/>
      <c r="E495" s="109"/>
      <c r="F495" s="109"/>
      <c r="G495" s="109"/>
      <c r="H495" s="109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42"/>
      <c r="I498" s="67"/>
      <c r="J498" s="165"/>
    </row>
    <row r="499" spans="1:10" s="1" customFormat="1" ht="15.9" customHeight="1">
      <c r="A499" s="27"/>
      <c r="B499" s="33"/>
      <c r="C499" s="47"/>
      <c r="D499" s="161"/>
      <c r="E499" s="109"/>
      <c r="F499" s="109"/>
      <c r="G499" s="109"/>
      <c r="H499" s="67"/>
      <c r="I499" s="38"/>
      <c r="J499" s="109"/>
    </row>
    <row r="500" spans="1:10" s="1" customFormat="1" ht="15.9" customHeight="1">
      <c r="A500" s="27"/>
      <c r="B500" s="33"/>
      <c r="C500" s="46"/>
      <c r="D500" s="161"/>
      <c r="E500" s="109"/>
      <c r="F500" s="109"/>
      <c r="G500" s="109"/>
      <c r="H500" s="38"/>
      <c r="I500" s="24"/>
      <c r="J500" s="24"/>
    </row>
    <row r="501" spans="1:10" s="1" customFormat="1" ht="15.9" customHeight="1">
      <c r="A501" s="27"/>
      <c r="B501" s="33"/>
      <c r="C501" s="161"/>
      <c r="D501" s="161"/>
      <c r="E501" s="109"/>
      <c r="F501" s="109"/>
      <c r="G501" s="109"/>
      <c r="H501" s="42"/>
      <c r="I501" s="67"/>
      <c r="J501" s="165"/>
    </row>
    <row r="502" spans="1:10" s="1" customFormat="1" ht="15.9" customHeight="1">
      <c r="A502" s="27"/>
      <c r="B502" s="33"/>
      <c r="C502" s="33"/>
      <c r="D502" s="161"/>
      <c r="E502" s="109"/>
      <c r="F502" s="109"/>
      <c r="G502" s="109"/>
      <c r="H502" s="67"/>
      <c r="I502" s="38"/>
      <c r="J502" s="109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38"/>
      <c r="I503" s="24"/>
      <c r="J503" s="24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109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109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75" customHeight="1">
      <c r="A512" s="27"/>
      <c r="B512" s="33"/>
      <c r="C512" s="33"/>
      <c r="D512" s="161"/>
      <c r="E512" s="109"/>
      <c r="F512" s="109"/>
      <c r="G512" s="109"/>
      <c r="H512" s="66"/>
      <c r="I512" s="38"/>
      <c r="J512" s="109"/>
    </row>
    <row r="513" spans="1:15" s="1" customFormat="1" ht="15.9" customHeight="1">
      <c r="A513" s="44"/>
      <c r="B513" s="44"/>
      <c r="C513" s="44"/>
      <c r="D513" s="84"/>
      <c r="E513" s="44"/>
      <c r="F513" s="44"/>
      <c r="G513" s="44"/>
      <c r="H513" s="44"/>
      <c r="I513" s="44"/>
      <c r="J513" s="119"/>
    </row>
    <row r="514" spans="1:15" s="1" customFormat="1" ht="15.9" customHeight="1">
      <c r="A514" s="44"/>
      <c r="B514" s="44"/>
      <c r="C514" s="44"/>
      <c r="D514" s="84"/>
      <c r="E514" s="44"/>
      <c r="F514" s="44"/>
      <c r="G514" s="44"/>
      <c r="H514" s="44"/>
      <c r="I514" s="44"/>
      <c r="J514" s="119"/>
    </row>
    <row r="515" spans="1:15" s="1" customFormat="1" ht="15.9" customHeight="1">
      <c r="B515" s="44"/>
      <c r="C515" s="44"/>
      <c r="D515" s="84"/>
      <c r="E515" s="44"/>
      <c r="F515" s="44"/>
      <c r="G515" s="44"/>
      <c r="H515" s="44"/>
    </row>
    <row r="516" spans="1:15" s="1" customFormat="1" ht="15.9" customHeight="1" thickBot="1"/>
    <row r="517" spans="1:15" s="1" customFormat="1" ht="24.9" customHeight="1" thickBot="1">
      <c r="A517" s="502" t="s">
        <v>401</v>
      </c>
      <c r="B517" s="503"/>
      <c r="C517" s="503"/>
      <c r="D517" s="503"/>
      <c r="E517" s="503"/>
      <c r="F517" s="503"/>
      <c r="G517" s="503"/>
      <c r="H517" s="503"/>
      <c r="I517" s="503"/>
      <c r="J517" s="504"/>
    </row>
    <row r="518" spans="1:15" s="1" customFormat="1" ht="35.1" customHeight="1" thickBot="1">
      <c r="A518" s="146" t="s">
        <v>2</v>
      </c>
      <c r="B518" s="147" t="s">
        <v>3</v>
      </c>
      <c r="C518" s="103" t="s">
        <v>3</v>
      </c>
      <c r="D518" s="104" t="s">
        <v>35</v>
      </c>
      <c r="E518" s="103" t="s">
        <v>5</v>
      </c>
      <c r="F518" s="252" t="s">
        <v>27</v>
      </c>
      <c r="G518" s="305"/>
      <c r="H518" s="104" t="s">
        <v>27</v>
      </c>
      <c r="I518" s="104" t="s">
        <v>26</v>
      </c>
      <c r="J518" s="115" t="s">
        <v>6</v>
      </c>
      <c r="N518" s="249" t="s">
        <v>3</v>
      </c>
      <c r="O518" s="249" t="s">
        <v>3</v>
      </c>
    </row>
    <row r="519" spans="1:15" s="1" customFormat="1" ht="15.9" customHeight="1">
      <c r="A519" s="150">
        <f>IF(C519="","",1)</f>
        <v>1</v>
      </c>
      <c r="B519" s="121" t="str">
        <f>IF($D$127=5,N519,IF($D$127=6,N520,IF($D$127=8,N521,IF($D$127=10,N522,IF($D$127=12,N523,IF($D$127=14,N524,IF($D$127=18,N525,IF($D$127=20,N526,IF($D$127=22,N527,)))))))))</f>
        <v>กระจก 8 mm (สูง) (กว้าง)</v>
      </c>
      <c r="C519" s="121" t="str">
        <f>IF($D$127=5,O519,IF($D$127=6,O520,IF($D$127=8,O521,IF($D$127=10,O522,IF($D$127=12,O523,IF($D$127=14,O524,IF($D$127=18,O525,IF($D$127=20,O526,IF($D$127=22,O527,)))))))))</f>
        <v>GLASS thk.8 mm (H) (W)</v>
      </c>
      <c r="D519" s="124">
        <f>$J$123-215</f>
        <v>2285</v>
      </c>
      <c r="E519" s="123" t="s">
        <v>11</v>
      </c>
      <c r="F519" s="527" t="s">
        <v>271</v>
      </c>
      <c r="G519" s="528"/>
      <c r="H519" s="123" t="s">
        <v>303</v>
      </c>
      <c r="I519" s="124">
        <f>(($J$126-185-(113.25*8))/9)-13</f>
        <v>421.33333333333331</v>
      </c>
      <c r="J519" s="299">
        <f>$J$120*9</f>
        <v>9</v>
      </c>
      <c r="N519" s="19" t="s">
        <v>194</v>
      </c>
      <c r="O519" s="19" t="s">
        <v>195</v>
      </c>
    </row>
    <row r="520" spans="1:15" s="1" customFormat="1" ht="15.9" customHeight="1">
      <c r="A520" s="152"/>
      <c r="B520" s="127"/>
      <c r="C520" s="127"/>
      <c r="D520" s="128" t="s">
        <v>0</v>
      </c>
      <c r="E520" s="129"/>
      <c r="F520" s="155"/>
      <c r="G520" s="156"/>
      <c r="H520" s="127"/>
      <c r="I520" s="130"/>
      <c r="J520" s="153"/>
      <c r="N520" s="19" t="s">
        <v>53</v>
      </c>
      <c r="O520" s="19" t="s">
        <v>54</v>
      </c>
    </row>
    <row r="521" spans="1:15" s="1" customFormat="1" ht="15.9" customHeight="1">
      <c r="A521" s="152"/>
      <c r="B521" s="127"/>
      <c r="C521" s="127"/>
      <c r="D521" s="128"/>
      <c r="E521" s="129"/>
      <c r="F521" s="155"/>
      <c r="G521" s="156"/>
      <c r="H521" s="129"/>
      <c r="I521" s="130"/>
      <c r="J521" s="153"/>
      <c r="N521" s="19" t="s">
        <v>257</v>
      </c>
      <c r="O521" s="19" t="s">
        <v>258</v>
      </c>
    </row>
    <row r="522" spans="1:15" s="1" customFormat="1" ht="15.9" customHeight="1">
      <c r="A522" s="129" t="str">
        <f>IF(B522="","",+A520+1)</f>
        <v/>
      </c>
      <c r="B522" s="127"/>
      <c r="C522" s="127"/>
      <c r="D522" s="128"/>
      <c r="E522" s="129"/>
      <c r="F522" s="155"/>
      <c r="G522" s="157"/>
      <c r="H522" s="129"/>
      <c r="I522" s="144"/>
      <c r="J522" s="130"/>
      <c r="N522" s="19" t="s">
        <v>259</v>
      </c>
      <c r="O522" s="19" t="s">
        <v>265</v>
      </c>
    </row>
    <row r="523" spans="1:15" s="1" customFormat="1" ht="15.9" customHeight="1">
      <c r="A523" s="135" t="str">
        <f>IF(B523="","",+A522+1)</f>
        <v/>
      </c>
      <c r="B523" s="133"/>
      <c r="C523" s="133"/>
      <c r="D523" s="134"/>
      <c r="E523" s="135"/>
      <c r="F523" s="158"/>
      <c r="G523" s="159"/>
      <c r="H523" s="135"/>
      <c r="I523" s="145"/>
      <c r="J523" s="136"/>
      <c r="N523" s="19" t="s">
        <v>260</v>
      </c>
      <c r="O523" s="19" t="s">
        <v>266</v>
      </c>
    </row>
    <row r="524" spans="1:15" s="1" customFormat="1" ht="15.9" customHeight="1">
      <c r="A524" s="17"/>
      <c r="B524" s="56"/>
      <c r="C524" s="56"/>
      <c r="D524" s="30"/>
      <c r="E524" s="17"/>
      <c r="F524" s="17"/>
      <c r="G524" s="17"/>
      <c r="H524" s="109"/>
      <c r="I524" s="109"/>
      <c r="J524" s="24"/>
      <c r="N524" s="19" t="s">
        <v>261</v>
      </c>
      <c r="O524" s="19" t="s">
        <v>267</v>
      </c>
    </row>
    <row r="525" spans="1:15">
      <c r="H525" s="294"/>
      <c r="I525" s="294"/>
      <c r="J525" s="99" t="str">
        <f>LEFT($J$111,13)&amp;"-05"</f>
        <v>FG-240-9P5L4R-05</v>
      </c>
      <c r="N525" s="19" t="s">
        <v>262</v>
      </c>
      <c r="O525" s="19" t="s">
        <v>268</v>
      </c>
    </row>
    <row r="526" spans="1:15">
      <c r="N526" s="19" t="s">
        <v>263</v>
      </c>
      <c r="O526" s="19" t="s">
        <v>269</v>
      </c>
    </row>
    <row r="527" spans="1:15">
      <c r="N527" s="19" t="s">
        <v>264</v>
      </c>
      <c r="O527" s="19" t="s">
        <v>270</v>
      </c>
    </row>
  </sheetData>
  <sheetProtection selectLockedCells="1" selectUnlockedCells="1"/>
  <dataConsolidate function="product">
    <dataRefs count="1">
      <dataRef ref="N129:N131" sheet="240_7Panel(6L1R)" r:id="rId1"/>
    </dataRefs>
  </dataConsolidate>
  <mergeCells count="46">
    <mergeCell ref="H169:H170"/>
    <mergeCell ref="I152:J152"/>
    <mergeCell ref="I153:J153"/>
    <mergeCell ref="I154:J154"/>
    <mergeCell ref="D123:G123"/>
    <mergeCell ref="D125:G125"/>
    <mergeCell ref="D129:G129"/>
    <mergeCell ref="D127:G127"/>
    <mergeCell ref="A131:J131"/>
    <mergeCell ref="A171:J171"/>
    <mergeCell ref="I156:J156"/>
    <mergeCell ref="D157:D158"/>
    <mergeCell ref="H157:H158"/>
    <mergeCell ref="I157:J158"/>
    <mergeCell ref="I159:J159"/>
    <mergeCell ref="I160:J163"/>
    <mergeCell ref="I164:J165"/>
    <mergeCell ref="I166:J166"/>
    <mergeCell ref="D159:D160"/>
    <mergeCell ref="D161:D166"/>
    <mergeCell ref="D167:D168"/>
    <mergeCell ref="D169:D170"/>
    <mergeCell ref="H161:H166"/>
    <mergeCell ref="H159:H160"/>
    <mergeCell ref="H167:H168"/>
    <mergeCell ref="A212:J212"/>
    <mergeCell ref="F333:G333"/>
    <mergeCell ref="F329:G329"/>
    <mergeCell ref="F330:G330"/>
    <mergeCell ref="A6:J6"/>
    <mergeCell ref="H120:I121"/>
    <mergeCell ref="J120:J121"/>
    <mergeCell ref="A117:J117"/>
    <mergeCell ref="D119:G119"/>
    <mergeCell ref="D121:G121"/>
    <mergeCell ref="I155:J155"/>
    <mergeCell ref="H123:I124"/>
    <mergeCell ref="J123:J124"/>
    <mergeCell ref="A125:B125"/>
    <mergeCell ref="H126:I127"/>
    <mergeCell ref="J126:J127"/>
    <mergeCell ref="C308:E308"/>
    <mergeCell ref="F519:G519"/>
    <mergeCell ref="A517:J517"/>
    <mergeCell ref="A426:J426"/>
    <mergeCell ref="A319:J319"/>
  </mergeCells>
  <dataValidations count="4">
    <dataValidation type="list" allowBlank="1" showInputMessage="1" showErrorMessage="1" sqref="C205">
      <formula1>$O$173:$O$191</formula1>
    </dataValidation>
    <dataValidation type="list" allowBlank="1" showInputMessage="1" showErrorMessage="1" sqref="D123:G123">
      <formula1>$P$118:$P$127</formula1>
    </dataValidation>
    <dataValidation type="list" allowBlank="1" showInputMessage="1" showErrorMessage="1" sqref="D127:G127">
      <formula1>$N$119:$N$127</formula1>
    </dataValidation>
    <dataValidation type="list" allowBlank="1" showInputMessage="1" showErrorMessage="1" sqref="D129:G129">
      <formula1>$O$119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6" max="9" man="1"/>
    <brk id="313" max="16383" man="1"/>
    <brk id="420" max="9" man="1"/>
  </rowBreaks>
  <drawing r:id="rId3"/>
  <legacyDrawing r:id="rId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3">
    <tabColor theme="5" tint="-0.249977111117893"/>
  </sheetPr>
  <dimension ref="A1:Y528"/>
  <sheetViews>
    <sheetView showGridLines="0" view="pageBreakPreview" topLeftCell="A118" zoomScale="75" zoomScaleNormal="75" zoomScaleSheetLayoutView="75" workbookViewId="0">
      <selection activeCell="I135" sqref="I135"/>
    </sheetView>
  </sheetViews>
  <sheetFormatPr defaultRowHeight="14.4" outlineLevelRow="1" outlineLevelCol="1"/>
  <cols>
    <col min="1" max="1" width="7" customWidth="1"/>
    <col min="2" max="2" width="40.6640625" customWidth="1"/>
    <col min="3" max="3" width="61.10937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3.33203125" bestFit="1" customWidth="1"/>
    <col min="9" max="9" width="15.109375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19.8867187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55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55"/>
      <c r="E3" s="255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205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/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>
      <c r="G55" s="10"/>
    </row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355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55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55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8">
      <c r="A118" s="12"/>
      <c r="C118" s="8"/>
      <c r="D118" s="15"/>
      <c r="E118" s="13"/>
      <c r="J118" s="257"/>
      <c r="K118" s="11"/>
      <c r="L118" s="56"/>
      <c r="M118" s="56"/>
      <c r="N118" s="243" t="s">
        <v>191</v>
      </c>
      <c r="O118" s="12" t="s">
        <v>227</v>
      </c>
      <c r="P118" s="247" t="s">
        <v>16</v>
      </c>
    </row>
    <row r="119" spans="1:16" s="1" customFormat="1" ht="15" customHeight="1">
      <c r="A119" s="12"/>
      <c r="C119" s="110" t="s">
        <v>635</v>
      </c>
      <c r="D119" s="524"/>
      <c r="E119" s="525"/>
      <c r="F119" s="525"/>
      <c r="G119" s="526"/>
      <c r="I119" s="16"/>
      <c r="J119" s="12"/>
      <c r="N119" s="244">
        <v>5</v>
      </c>
      <c r="O119" s="12" t="s">
        <v>243</v>
      </c>
      <c r="P119" s="335" t="s">
        <v>389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5">
        <v>6</v>
      </c>
      <c r="O120" s="12" t="s">
        <v>244</v>
      </c>
      <c r="P120" s="336" t="s">
        <v>390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8</v>
      </c>
      <c r="P121" s="336" t="s">
        <v>391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10</v>
      </c>
      <c r="P122" s="336" t="s">
        <v>392</v>
      </c>
    </row>
    <row r="123" spans="1:16" s="1" customFormat="1" ht="15" customHeight="1">
      <c r="A123" s="12"/>
      <c r="C123" s="110" t="s">
        <v>629</v>
      </c>
      <c r="D123" s="524" t="s">
        <v>15</v>
      </c>
      <c r="E123" s="525"/>
      <c r="F123" s="525"/>
      <c r="G123" s="526"/>
      <c r="H123" s="519" t="s">
        <v>638</v>
      </c>
      <c r="I123" s="520"/>
      <c r="J123" s="517">
        <v>2500</v>
      </c>
      <c r="N123" s="245">
        <v>12</v>
      </c>
      <c r="P123" s="335" t="s">
        <v>393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14</v>
      </c>
      <c r="P124" s="335" t="s">
        <v>394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256"/>
      <c r="L125" s="77"/>
      <c r="N125" s="245">
        <v>18</v>
      </c>
      <c r="P125" s="335" t="s">
        <v>395</v>
      </c>
    </row>
    <row r="126" spans="1:16" s="1" customFormat="1" ht="15" customHeight="1">
      <c r="A126" s="257"/>
      <c r="B126" s="257"/>
      <c r="C126" s="423" t="s">
        <v>631</v>
      </c>
      <c r="D126" s="15"/>
      <c r="H126" s="519" t="s">
        <v>639</v>
      </c>
      <c r="I126" s="520"/>
      <c r="J126" s="517">
        <v>2000</v>
      </c>
      <c r="K126" s="256"/>
      <c r="L126" s="77"/>
      <c r="N126" s="245">
        <v>20</v>
      </c>
      <c r="P126" s="335" t="s">
        <v>396</v>
      </c>
    </row>
    <row r="127" spans="1:16" s="1" customFormat="1" ht="15" customHeight="1">
      <c r="A127" s="257"/>
      <c r="B127" s="257"/>
      <c r="C127" s="110" t="s">
        <v>633</v>
      </c>
      <c r="D127" s="534">
        <v>8</v>
      </c>
      <c r="E127" s="535"/>
      <c r="F127" s="535"/>
      <c r="G127" s="536"/>
      <c r="H127" s="520"/>
      <c r="I127" s="520"/>
      <c r="J127" s="518"/>
      <c r="N127" s="245">
        <v>22</v>
      </c>
      <c r="P127" s="335" t="s">
        <v>397</v>
      </c>
    </row>
    <row r="128" spans="1:16" s="1" customFormat="1" ht="18.75" customHeight="1">
      <c r="C128" s="423" t="s">
        <v>632</v>
      </c>
      <c r="I128" s="12"/>
      <c r="J128" s="12"/>
    </row>
    <row r="129" spans="1:23" s="1" customFormat="1" ht="15" customHeight="1">
      <c r="A129" s="88" t="str">
        <f>A18</f>
        <v>240-9 Panel (6L3R)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1940</v>
      </c>
      <c r="J133" s="125">
        <f t="shared" ref="J133:J151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18</v>
      </c>
      <c r="U133" s="283" t="s">
        <v>302</v>
      </c>
      <c r="V133" s="285">
        <f>($J$126-185-(113.25*8))/9</f>
        <v>101</v>
      </c>
      <c r="W133" s="286">
        <f>$J$120*T133</f>
        <v>18</v>
      </c>
    </row>
    <row r="134" spans="1:23" s="1" customFormat="1" ht="18" customHeight="1">
      <c r="A134" s="143">
        <f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1914</v>
      </c>
      <c r="J134" s="131">
        <f t="shared" ref="J134:J139" si="1"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18</v>
      </c>
      <c r="U134" s="129" t="s">
        <v>302</v>
      </c>
      <c r="V134" s="144">
        <f>($J$126-185-(113.25*8))/9</f>
        <v>101</v>
      </c>
      <c r="W134" s="131">
        <f t="shared" ref="W134:W135" si="2">$J$120*T134</f>
        <v>18</v>
      </c>
    </row>
    <row r="135" spans="1:23" s="1" customFormat="1" ht="18" customHeight="1">
      <c r="A135" s="143">
        <f t="shared" ref="A135:A150" si="3">IF(B135="","",+A134+1)</f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1940</v>
      </c>
      <c r="J135" s="131">
        <f t="shared" si="1"/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18</v>
      </c>
      <c r="U135" s="135" t="s">
        <v>302</v>
      </c>
      <c r="V135" s="145">
        <f>($J$126-185-(113.25*8))/9</f>
        <v>101</v>
      </c>
      <c r="W135" s="293">
        <f t="shared" si="2"/>
        <v>18</v>
      </c>
    </row>
    <row r="136" spans="1:23" s="1" customFormat="1" ht="18" customHeight="1">
      <c r="A136" s="143">
        <f t="shared" si="3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1940</v>
      </c>
      <c r="J136" s="131">
        <f t="shared" si="1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18</v>
      </c>
      <c r="U136" s="283" t="s">
        <v>64</v>
      </c>
      <c r="V136" s="288">
        <f>$J$123-242</f>
        <v>2258</v>
      </c>
      <c r="W136" s="286">
        <f>$J$120*T136</f>
        <v>18</v>
      </c>
    </row>
    <row r="137" spans="1:23" s="1" customFormat="1" ht="18" customHeight="1">
      <c r="A137" s="143">
        <f t="shared" si="3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2500</v>
      </c>
      <c r="J137" s="131">
        <f t="shared" si="1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18</v>
      </c>
      <c r="U137" s="129" t="s">
        <v>64</v>
      </c>
      <c r="V137" s="130">
        <f>$J$123-242</f>
        <v>2258</v>
      </c>
      <c r="W137" s="131">
        <f t="shared" ref="W137:W138" si="4">$J$120*T137</f>
        <v>18</v>
      </c>
    </row>
    <row r="138" spans="1:23" s="1" customFormat="1" ht="18" customHeight="1">
      <c r="A138" s="143">
        <f t="shared" si="3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2500</v>
      </c>
      <c r="J138" s="131">
        <f t="shared" si="1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18</v>
      </c>
      <c r="U138" s="135" t="s">
        <v>64</v>
      </c>
      <c r="V138" s="136">
        <f>$J$123-242</f>
        <v>2258</v>
      </c>
      <c r="W138" s="293">
        <f t="shared" si="4"/>
        <v>18</v>
      </c>
    </row>
    <row r="139" spans="1:23" s="1" customFormat="1" ht="18" customHeight="1">
      <c r="A139" s="143">
        <f t="shared" si="3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2404</v>
      </c>
      <c r="J139" s="131">
        <f t="shared" si="1"/>
        <v>1</v>
      </c>
      <c r="N139" s="98"/>
    </row>
    <row r="140" spans="1:23" s="1" customFormat="1" ht="18" customHeight="1">
      <c r="A140" s="143">
        <f t="shared" si="3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2404</v>
      </c>
      <c r="J140" s="131">
        <f t="shared" ref="J140" si="5">$J$120*G140</f>
        <v>1</v>
      </c>
      <c r="N140" s="98"/>
    </row>
    <row r="141" spans="1:23" s="1" customFormat="1" ht="18" customHeight="1">
      <c r="A141" s="143">
        <f t="shared" si="3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9</v>
      </c>
      <c r="H141" s="268" t="s">
        <v>302</v>
      </c>
      <c r="I141" s="178">
        <f>($J$126-185-(113.25*8))/9</f>
        <v>101</v>
      </c>
      <c r="J141" s="131">
        <f t="shared" ref="J141:J150" si="6">$J$120*G141</f>
        <v>9</v>
      </c>
      <c r="N141" s="98"/>
    </row>
    <row r="142" spans="1:23" s="1" customFormat="1" ht="18" customHeight="1">
      <c r="A142" s="143">
        <f t="shared" si="3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9</v>
      </c>
      <c r="H142" s="143" t="s">
        <v>302</v>
      </c>
      <c r="I142" s="178">
        <f>($J$126-185-(113.25*8))/9</f>
        <v>101</v>
      </c>
      <c r="J142" s="131">
        <f t="shared" si="6"/>
        <v>9</v>
      </c>
      <c r="N142" s="98"/>
    </row>
    <row r="143" spans="1:23" s="1" customFormat="1" ht="18" customHeight="1">
      <c r="A143" s="143">
        <f t="shared" si="3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13</v>
      </c>
      <c r="H143" s="143" t="s">
        <v>63</v>
      </c>
      <c r="I143" s="130">
        <f>$J$123-92</f>
        <v>2408</v>
      </c>
      <c r="J143" s="131">
        <f t="shared" si="6"/>
        <v>13</v>
      </c>
      <c r="N143" s="98"/>
    </row>
    <row r="144" spans="1:23" s="1" customFormat="1" ht="18" customHeight="1">
      <c r="A144" s="143">
        <f t="shared" si="3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1</v>
      </c>
      <c r="H144" s="143" t="s">
        <v>63</v>
      </c>
      <c r="I144" s="130">
        <f>$J$123-92</f>
        <v>2408</v>
      </c>
      <c r="J144" s="131">
        <f t="shared" si="6"/>
        <v>1</v>
      </c>
      <c r="N144" s="98"/>
    </row>
    <row r="145" spans="1:14" s="1" customFormat="1" ht="18" customHeight="1">
      <c r="A145" s="143">
        <f t="shared" si="3"/>
        <v>13</v>
      </c>
      <c r="B145" s="140" t="s">
        <v>8</v>
      </c>
      <c r="C145" s="140" t="s">
        <v>151</v>
      </c>
      <c r="D145" s="139" t="s">
        <v>50</v>
      </c>
      <c r="E145" s="143">
        <v>1.1060000000000001</v>
      </c>
      <c r="F145" s="139" t="s">
        <v>496</v>
      </c>
      <c r="G145" s="143">
        <v>3</v>
      </c>
      <c r="H145" s="143" t="s">
        <v>63</v>
      </c>
      <c r="I145" s="130">
        <f>$J$123-92</f>
        <v>2408</v>
      </c>
      <c r="J145" s="131">
        <f t="shared" si="6"/>
        <v>3</v>
      </c>
      <c r="N145" s="98"/>
    </row>
    <row r="146" spans="1:14" s="1" customFormat="1" ht="18" customHeight="1">
      <c r="A146" s="143">
        <f t="shared" si="3"/>
        <v>14</v>
      </c>
      <c r="B146" s="140" t="s">
        <v>116</v>
      </c>
      <c r="C146" s="140" t="s">
        <v>99</v>
      </c>
      <c r="D146" s="139" t="s">
        <v>50</v>
      </c>
      <c r="E146" s="143">
        <v>1.1060000000000001</v>
      </c>
      <c r="F146" s="139" t="s">
        <v>507</v>
      </c>
      <c r="G146" s="143">
        <v>1</v>
      </c>
      <c r="H146" s="143" t="s">
        <v>63</v>
      </c>
      <c r="I146" s="130">
        <f>$J$123-92</f>
        <v>2408</v>
      </c>
      <c r="J146" s="131">
        <f t="shared" si="6"/>
        <v>1</v>
      </c>
      <c r="N146" s="98"/>
    </row>
    <row r="147" spans="1:14" s="1" customFormat="1" ht="18" customHeight="1">
      <c r="A147" s="143">
        <f t="shared" si="3"/>
        <v>15</v>
      </c>
      <c r="B147" s="140" t="str">
        <f t="shared" ref="B147:I147" si="7">IF($D$127=5,O133,IF($D$127=6,O133,IF($D$127=8,O134,IF($D$127=10,O134,IF($D$127=12,O134,IF($D$127=14,O135,IF($D$127=18,O135,IF($D$127=20,O135,IF($D$127=22,O135,)))))))))</f>
        <v>8-12mm คิ้วตบกระจกแนวนอน</v>
      </c>
      <c r="C147" s="140" t="str">
        <f t="shared" si="7"/>
        <v>8-12mm GLAZING BEAD HORIZONTAL</v>
      </c>
      <c r="D147" s="140" t="str">
        <f t="shared" si="7"/>
        <v>B24016</v>
      </c>
      <c r="E147" s="140">
        <f t="shared" si="7"/>
        <v>0.215</v>
      </c>
      <c r="F147" s="140" t="str">
        <f t="shared" si="7"/>
        <v>B24016-001</v>
      </c>
      <c r="G147" s="143">
        <f t="shared" si="7"/>
        <v>18</v>
      </c>
      <c r="H147" s="129" t="str">
        <f t="shared" si="7"/>
        <v>(W-185-(113.25 × 8))/9</v>
      </c>
      <c r="I147" s="178">
        <f t="shared" si="7"/>
        <v>101</v>
      </c>
      <c r="J147" s="131">
        <f t="shared" si="6"/>
        <v>18</v>
      </c>
      <c r="N147" s="98"/>
    </row>
    <row r="148" spans="1:14" s="1" customFormat="1" ht="18" customHeight="1">
      <c r="A148" s="143">
        <f t="shared" si="3"/>
        <v>16</v>
      </c>
      <c r="B148" s="140" t="str">
        <f t="shared" ref="B148:I148" si="8">IF($D$127=5,O136,IF($D$127=6,O136,IF($D$127=8,O137,IF($D$127=10,O137,IF($D$127=12,O137,IF($D$127=14,O138,IF($D$127=18,O138,IF($D$127=20,O138,IF($D$127=22,O138,)))))))))</f>
        <v>8-12mm คิ้วตบกระจกแนวตั้ง</v>
      </c>
      <c r="C148" s="140" t="str">
        <f t="shared" si="8"/>
        <v>8-12mm GLAZING BEAD VERTICAL</v>
      </c>
      <c r="D148" s="140" t="str">
        <f t="shared" si="8"/>
        <v>B24016</v>
      </c>
      <c r="E148" s="140">
        <f t="shared" si="8"/>
        <v>0.215</v>
      </c>
      <c r="F148" s="140" t="str">
        <f t="shared" si="8"/>
        <v>B24016-002</v>
      </c>
      <c r="G148" s="143">
        <f t="shared" si="8"/>
        <v>18</v>
      </c>
      <c r="H148" s="129" t="str">
        <f t="shared" si="8"/>
        <v>H-242</v>
      </c>
      <c r="I148" s="144">
        <f t="shared" si="8"/>
        <v>2258</v>
      </c>
      <c r="J148" s="131">
        <f t="shared" si="6"/>
        <v>18</v>
      </c>
      <c r="N148" s="98"/>
    </row>
    <row r="149" spans="1:14" s="1" customFormat="1" ht="18" customHeight="1">
      <c r="A149" s="143">
        <f t="shared" si="3"/>
        <v>17</v>
      </c>
      <c r="B149" s="140" t="s">
        <v>125</v>
      </c>
      <c r="C149" s="140" t="s">
        <v>124</v>
      </c>
      <c r="D149" s="139" t="s">
        <v>123</v>
      </c>
      <c r="E149" s="143"/>
      <c r="F149" s="139" t="s">
        <v>362</v>
      </c>
      <c r="G149" s="143">
        <v>1</v>
      </c>
      <c r="H149" s="143" t="s">
        <v>63</v>
      </c>
      <c r="I149" s="130">
        <f>$J$123-92</f>
        <v>2408</v>
      </c>
      <c r="J149" s="131">
        <f t="shared" si="6"/>
        <v>1</v>
      </c>
      <c r="N149" s="98"/>
    </row>
    <row r="150" spans="1:14" s="1" customFormat="1" ht="18" customHeight="1">
      <c r="A150" s="143">
        <f t="shared" si="3"/>
        <v>18</v>
      </c>
      <c r="B150" s="140" t="s">
        <v>125</v>
      </c>
      <c r="C150" s="140" t="s">
        <v>124</v>
      </c>
      <c r="D150" s="139" t="s">
        <v>123</v>
      </c>
      <c r="E150" s="143"/>
      <c r="F150" s="139" t="s">
        <v>363</v>
      </c>
      <c r="G150" s="143">
        <v>1</v>
      </c>
      <c r="H150" s="143" t="s">
        <v>63</v>
      </c>
      <c r="I150" s="130">
        <f>$J$123-92</f>
        <v>2408</v>
      </c>
      <c r="J150" s="131">
        <f t="shared" si="6"/>
        <v>1</v>
      </c>
      <c r="N150" s="98"/>
    </row>
    <row r="151" spans="1:14" s="1" customFormat="1" ht="18" customHeight="1" thickBot="1">
      <c r="A151" s="143" t="str">
        <f>IF(B151="","",+A140+1)</f>
        <v/>
      </c>
      <c r="B151" s="167"/>
      <c r="C151" s="167"/>
      <c r="D151" s="168"/>
      <c r="E151" s="166"/>
      <c r="F151" s="168"/>
      <c r="G151" s="166"/>
      <c r="H151" s="166"/>
      <c r="I151" s="171"/>
      <c r="J151" s="172">
        <f t="shared" si="0"/>
        <v>0</v>
      </c>
    </row>
    <row r="152" spans="1:14" s="1" customFormat="1" ht="27" outlineLevel="1" thickBot="1">
      <c r="A152" s="169" t="s">
        <v>2</v>
      </c>
      <c r="B152" s="169" t="s">
        <v>29</v>
      </c>
      <c r="C152" s="169" t="s">
        <v>3</v>
      </c>
      <c r="D152" s="169" t="s">
        <v>4</v>
      </c>
      <c r="E152" s="169" t="s">
        <v>5</v>
      </c>
      <c r="F152" s="177" t="s">
        <v>85</v>
      </c>
      <c r="G152" s="169" t="s">
        <v>22</v>
      </c>
      <c r="H152" s="170" t="s">
        <v>23</v>
      </c>
      <c r="I152" s="540"/>
      <c r="J152" s="541"/>
    </row>
    <row r="153" spans="1:14" s="1" customFormat="1" ht="15" customHeight="1" outlineLevel="1">
      <c r="A153" s="21">
        <f>IF(B153="","",1)</f>
        <v>1</v>
      </c>
      <c r="B153" s="173" t="str">
        <f t="shared" ref="B153:C159" si="9">B133</f>
        <v>เฟรมบน</v>
      </c>
      <c r="C153" s="173" t="str">
        <f t="shared" si="9"/>
        <v>HEAD</v>
      </c>
      <c r="D153" s="174" t="str">
        <f>VLOOKUP(C153,$C$133:$H$151,2,0)</f>
        <v>B24001</v>
      </c>
      <c r="E153" s="175">
        <f t="shared" ref="E153:E159" si="10">VLOOKUP(C153,$C$133:$H$151,3,0)</f>
        <v>1.603</v>
      </c>
      <c r="F153" s="353">
        <f>VLOOKUP(C153,$C$133:$J$151,7,0)</f>
        <v>1940</v>
      </c>
      <c r="G153" s="175">
        <f t="shared" ref="G153:G159" si="11">VLOOKUP(C153,$C$133:$J$151,8,0)</f>
        <v>1</v>
      </c>
      <c r="H153" s="191">
        <f>ROUNDUP((F153*G153)/6400,0)</f>
        <v>1</v>
      </c>
      <c r="I153" s="501"/>
      <c r="J153" s="501"/>
    </row>
    <row r="154" spans="1:14" s="1" customFormat="1" ht="15" customHeight="1" outlineLevel="1">
      <c r="A154" s="18">
        <f t="shared" ref="A154" si="12">IF(B154="","",+A153+1)</f>
        <v>2</v>
      </c>
      <c r="B154" s="173" t="str">
        <f t="shared" si="9"/>
        <v>บังใบบน</v>
      </c>
      <c r="C154" s="173" t="str">
        <f t="shared" si="9"/>
        <v>DOOR STOP HEAD</v>
      </c>
      <c r="D154" s="174" t="str">
        <f>VLOOKUP(C154,$C$133:$H$151,2,0)</f>
        <v>B24002</v>
      </c>
      <c r="E154" s="175">
        <f t="shared" si="10"/>
        <v>0.27800000000000002</v>
      </c>
      <c r="F154" s="353">
        <f t="shared" ref="F154:F159" si="13">VLOOKUP(C154,$C$133:$I$151,7,0)</f>
        <v>1914</v>
      </c>
      <c r="G154" s="175">
        <f t="shared" si="11"/>
        <v>1</v>
      </c>
      <c r="H154" s="192">
        <f>ROUNDUP((F154*G154)/6400,0)</f>
        <v>1</v>
      </c>
      <c r="I154" s="501"/>
      <c r="J154" s="501"/>
    </row>
    <row r="155" spans="1:14" s="1" customFormat="1" ht="15" customHeight="1" outlineLevel="1">
      <c r="A155" s="18">
        <f>IF(B155="","",+A154+1)</f>
        <v>3</v>
      </c>
      <c r="B155" s="173" t="str">
        <f t="shared" si="9"/>
        <v xml:space="preserve">เฟรมล่าง </v>
      </c>
      <c r="C155" s="173" t="str">
        <f t="shared" si="9"/>
        <v>SILL</v>
      </c>
      <c r="D155" s="174" t="str">
        <f>VLOOKUP(C155,$C$133:$H$151,2,0)</f>
        <v>B24003</v>
      </c>
      <c r="E155" s="175">
        <f t="shared" si="10"/>
        <v>1.603</v>
      </c>
      <c r="F155" s="353">
        <f t="shared" si="13"/>
        <v>1940</v>
      </c>
      <c r="G155" s="175">
        <f t="shared" si="11"/>
        <v>1</v>
      </c>
      <c r="H155" s="192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ref="A156:A159" si="14">IF(B156="","",+A155+1)</f>
        <v>4</v>
      </c>
      <c r="B156" s="173" t="str">
        <f t="shared" si="9"/>
        <v>ตัวตับธรณี</v>
      </c>
      <c r="C156" s="173" t="str">
        <f t="shared" si="9"/>
        <v>DOOR STOP SILL</v>
      </c>
      <c r="D156" s="174" t="str">
        <f>VLOOKUP(C156,$C$133:$H$151,2,0)</f>
        <v>B24004</v>
      </c>
      <c r="E156" s="175">
        <f t="shared" si="10"/>
        <v>0.51600000000000001</v>
      </c>
      <c r="F156" s="353">
        <f t="shared" si="13"/>
        <v>1940</v>
      </c>
      <c r="G156" s="175">
        <f t="shared" si="11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si="14"/>
        <v>5</v>
      </c>
      <c r="B157" s="173" t="str">
        <f t="shared" si="9"/>
        <v>เฟรมข้าง (ซ้าย)</v>
      </c>
      <c r="C157" s="173" t="str">
        <f t="shared" si="9"/>
        <v>JAMB (L)</v>
      </c>
      <c r="D157" s="508" t="str">
        <f>VLOOKUP(C157,$C$133:$H$151,2,0)</f>
        <v>B24005</v>
      </c>
      <c r="E157" s="175">
        <f t="shared" si="10"/>
        <v>0.89300000000000002</v>
      </c>
      <c r="F157" s="353">
        <f t="shared" si="13"/>
        <v>2500</v>
      </c>
      <c r="G157" s="175">
        <f t="shared" si="11"/>
        <v>1</v>
      </c>
      <c r="H157" s="516">
        <f>ROUNDUP(((F157*G157)+(F158*G158))/6400,0)</f>
        <v>1</v>
      </c>
      <c r="I157" s="506"/>
      <c r="J157" s="506"/>
    </row>
    <row r="158" spans="1:14" s="1" customFormat="1" ht="15" customHeight="1" outlineLevel="1">
      <c r="A158" s="18">
        <f t="shared" si="14"/>
        <v>6</v>
      </c>
      <c r="B158" s="173" t="str">
        <f t="shared" si="9"/>
        <v>เฟรมข้าง (ขวา)</v>
      </c>
      <c r="C158" s="173" t="str">
        <f t="shared" si="9"/>
        <v>JAMB (R)</v>
      </c>
      <c r="D158" s="509"/>
      <c r="E158" s="175">
        <f t="shared" si="10"/>
        <v>0.89300000000000002</v>
      </c>
      <c r="F158" s="353">
        <f t="shared" si="13"/>
        <v>2500</v>
      </c>
      <c r="G158" s="175">
        <f t="shared" si="11"/>
        <v>1</v>
      </c>
      <c r="H158" s="516"/>
      <c r="I158" s="506"/>
      <c r="J158" s="506"/>
    </row>
    <row r="159" spans="1:14" s="1" customFormat="1" ht="15" customHeight="1" outlineLevel="1">
      <c r="A159" s="18">
        <f t="shared" si="14"/>
        <v>7</v>
      </c>
      <c r="B159" s="173" t="str">
        <f t="shared" si="9"/>
        <v>บังใบข้าง (ซ้าย)</v>
      </c>
      <c r="C159" s="173" t="str">
        <f t="shared" si="9"/>
        <v>DOOR STOP JAMB (L)</v>
      </c>
      <c r="D159" s="508" t="str">
        <f>VLOOKUP(C159,$C$133:$H$151,2,0)</f>
        <v>B24006</v>
      </c>
      <c r="E159" s="175">
        <f t="shared" si="10"/>
        <v>0.23499999999999999</v>
      </c>
      <c r="F159" s="353">
        <f t="shared" si="13"/>
        <v>2404</v>
      </c>
      <c r="G159" s="175">
        <f t="shared" si="11"/>
        <v>1</v>
      </c>
      <c r="H159" s="516">
        <f>ROUNDUP(((F159*G159)+(F160*G160))/6400,0)</f>
        <v>1</v>
      </c>
      <c r="I159" s="501"/>
      <c r="J159" s="501"/>
    </row>
    <row r="160" spans="1:14" s="1" customFormat="1" ht="15" customHeight="1" outlineLevel="1">
      <c r="A160" s="18">
        <f t="shared" ref="A160:A170" si="15">IF(B160="","",+A159+1)</f>
        <v>8</v>
      </c>
      <c r="B160" s="173" t="str">
        <f t="shared" ref="B160:C160" si="16">B140</f>
        <v>บังใบข้าง (ขวา)</v>
      </c>
      <c r="C160" s="173" t="str">
        <f t="shared" si="16"/>
        <v>DOOR STOP JAMB (R)</v>
      </c>
      <c r="D160" s="509"/>
      <c r="E160" s="175">
        <f t="shared" ref="E160:E170" si="17">VLOOKUP(C160,$C$133:$H$151,3,0)</f>
        <v>0.23499999999999999</v>
      </c>
      <c r="F160" s="353">
        <f t="shared" ref="F160:F170" si="18">VLOOKUP(C160,$C$133:$I$151,7,0)</f>
        <v>2404</v>
      </c>
      <c r="G160" s="175">
        <f t="shared" ref="G160:G170" si="19">VLOOKUP(C160,$C$133:$J$151,8,0)</f>
        <v>1</v>
      </c>
      <c r="H160" s="516"/>
      <c r="I160" s="506"/>
      <c r="J160" s="506"/>
    </row>
    <row r="161" spans="1:23" s="1" customFormat="1" ht="13.8" outlineLevel="1">
      <c r="A161" s="18">
        <f t="shared" si="15"/>
        <v>9</v>
      </c>
      <c r="B161" s="173" t="str">
        <f t="shared" ref="B161:C161" si="20">B141</f>
        <v>ขวางบน</v>
      </c>
      <c r="C161" s="173" t="str">
        <f t="shared" si="20"/>
        <v>SASH (Hor) (T)</v>
      </c>
      <c r="D161" s="508" t="str">
        <f t="shared" ref="D161:D169" si="21">VLOOKUP(C161,$C$133:$H$151,2,0)</f>
        <v>B24007</v>
      </c>
      <c r="E161" s="175">
        <f t="shared" si="17"/>
        <v>1.1060000000000001</v>
      </c>
      <c r="F161" s="353">
        <f t="shared" si="18"/>
        <v>101</v>
      </c>
      <c r="G161" s="175">
        <f t="shared" si="19"/>
        <v>9</v>
      </c>
      <c r="H161" s="512">
        <f>ROUNDUP(((F161*G161)+(F162*G162)+(F163*G163)+(F164*G164)+(F165*G165)+(F166*G166))/6400,0)</f>
        <v>8</v>
      </c>
      <c r="I161" s="506"/>
      <c r="J161" s="506"/>
    </row>
    <row r="162" spans="1:23" s="1" customFormat="1" ht="13.8" outlineLevel="1">
      <c r="A162" s="18">
        <f t="shared" si="15"/>
        <v>10</v>
      </c>
      <c r="B162" s="173" t="str">
        <f t="shared" ref="B162:C162" si="22">B142</f>
        <v>ขวางล่าง</v>
      </c>
      <c r="C162" s="173" t="str">
        <f t="shared" si="22"/>
        <v>SASH (Hor) (B)</v>
      </c>
      <c r="D162" s="510"/>
      <c r="E162" s="175">
        <f t="shared" si="17"/>
        <v>1.1060000000000001</v>
      </c>
      <c r="F162" s="353">
        <f t="shared" si="18"/>
        <v>101</v>
      </c>
      <c r="G162" s="175">
        <f t="shared" si="19"/>
        <v>9</v>
      </c>
      <c r="H162" s="514"/>
      <c r="I162" s="506"/>
      <c r="J162" s="506"/>
    </row>
    <row r="163" spans="1:23" s="1" customFormat="1" ht="13.8" outlineLevel="1">
      <c r="A163" s="18">
        <f t="shared" si="15"/>
        <v>11</v>
      </c>
      <c r="B163" s="173" t="str">
        <f t="shared" ref="B163:C163" si="23">B143</f>
        <v>เสา</v>
      </c>
      <c r="C163" s="173" t="str">
        <f t="shared" si="23"/>
        <v xml:space="preserve">SASH (Ver) </v>
      </c>
      <c r="D163" s="510"/>
      <c r="E163" s="175">
        <f t="shared" si="17"/>
        <v>1.1060000000000001</v>
      </c>
      <c r="F163" s="353">
        <f t="shared" si="18"/>
        <v>2408</v>
      </c>
      <c r="G163" s="175">
        <f t="shared" si="19"/>
        <v>13</v>
      </c>
      <c r="H163" s="514"/>
      <c r="I163" s="506"/>
      <c r="J163" s="506"/>
    </row>
    <row r="164" spans="1:23" s="1" customFormat="1" ht="13.8" outlineLevel="1">
      <c r="A164" s="18">
        <f t="shared" si="15"/>
        <v>12</v>
      </c>
      <c r="B164" s="173" t="str">
        <f t="shared" ref="B164:C164" si="24">B144</f>
        <v>เสากุญแจ</v>
      </c>
      <c r="C164" s="173" t="str">
        <f t="shared" si="24"/>
        <v xml:space="preserve">SASH (Ver) LOCK </v>
      </c>
      <c r="D164" s="510"/>
      <c r="E164" s="175">
        <f t="shared" si="17"/>
        <v>1.1060000000000001</v>
      </c>
      <c r="F164" s="353">
        <f t="shared" si="18"/>
        <v>2408</v>
      </c>
      <c r="G164" s="175">
        <f t="shared" si="19"/>
        <v>1</v>
      </c>
      <c r="H164" s="514"/>
      <c r="I164" s="506"/>
      <c r="J164" s="506"/>
    </row>
    <row r="165" spans="1:23" s="1" customFormat="1" ht="13.8" outlineLevel="1">
      <c r="A165" s="18">
        <f t="shared" si="15"/>
        <v>13</v>
      </c>
      <c r="B165" s="173" t="str">
        <f t="shared" ref="B165:C165" si="25">B145</f>
        <v>เสากุญแจ</v>
      </c>
      <c r="C165" s="173" t="str">
        <f t="shared" si="25"/>
        <v xml:space="preserve">SASH (Ver) LOCK  </v>
      </c>
      <c r="D165" s="510"/>
      <c r="E165" s="175">
        <f t="shared" si="17"/>
        <v>1.1060000000000001</v>
      </c>
      <c r="F165" s="353">
        <f t="shared" si="18"/>
        <v>2408</v>
      </c>
      <c r="G165" s="175">
        <f t="shared" si="19"/>
        <v>3</v>
      </c>
      <c r="H165" s="514"/>
      <c r="I165" s="506"/>
      <c r="J165" s="506"/>
    </row>
    <row r="166" spans="1:23" s="1" customFormat="1" ht="15" customHeight="1" outlineLevel="1">
      <c r="A166" s="18">
        <f t="shared" si="15"/>
        <v>14</v>
      </c>
      <c r="B166" s="173" t="str">
        <f t="shared" ref="B166:C166" si="26">B146</f>
        <v>เสากุญแจมือจับ</v>
      </c>
      <c r="C166" s="173" t="str">
        <f t="shared" si="26"/>
        <v>SASH (Ver) LOCK HANDLE</v>
      </c>
      <c r="D166" s="509"/>
      <c r="E166" s="175">
        <f t="shared" si="17"/>
        <v>1.1060000000000001</v>
      </c>
      <c r="F166" s="353">
        <f t="shared" si="18"/>
        <v>2408</v>
      </c>
      <c r="G166" s="175">
        <f t="shared" si="19"/>
        <v>1</v>
      </c>
      <c r="H166" s="515"/>
      <c r="I166" s="501"/>
      <c r="J166" s="501"/>
    </row>
    <row r="167" spans="1:23" s="1" customFormat="1" ht="15" customHeight="1" outlineLevel="1">
      <c r="A167" s="18">
        <f t="shared" si="15"/>
        <v>15</v>
      </c>
      <c r="B167" s="173" t="str">
        <f t="shared" ref="B167:C167" si="27">B147</f>
        <v>8-12mm คิ้วตบกระจกแนวนอน</v>
      </c>
      <c r="C167" s="173" t="str">
        <f t="shared" si="27"/>
        <v>8-12mm GLAZING BEAD HORIZONTAL</v>
      </c>
      <c r="D167" s="508" t="str">
        <f t="shared" si="21"/>
        <v>B24016</v>
      </c>
      <c r="E167" s="175">
        <f t="shared" si="17"/>
        <v>0.215</v>
      </c>
      <c r="F167" s="353">
        <f t="shared" si="18"/>
        <v>101</v>
      </c>
      <c r="G167" s="175">
        <f t="shared" si="19"/>
        <v>18</v>
      </c>
      <c r="H167" s="516">
        <f>ROUNDUP(((F167*G167)+(F168*G168))/6400,0)</f>
        <v>7</v>
      </c>
      <c r="I167" s="253"/>
      <c r="J167" s="253"/>
    </row>
    <row r="168" spans="1:23" s="1" customFormat="1" ht="15" customHeight="1" outlineLevel="1">
      <c r="A168" s="18">
        <f t="shared" si="15"/>
        <v>16</v>
      </c>
      <c r="B168" s="173" t="str">
        <f t="shared" ref="B168:C168" si="28">B148</f>
        <v>8-12mm คิ้วตบกระจกแนวตั้ง</v>
      </c>
      <c r="C168" s="173" t="str">
        <f t="shared" si="28"/>
        <v>8-12mm GLAZING BEAD VERTICAL</v>
      </c>
      <c r="D168" s="509"/>
      <c r="E168" s="175">
        <f t="shared" si="17"/>
        <v>0.215</v>
      </c>
      <c r="F168" s="353">
        <f t="shared" si="18"/>
        <v>2258</v>
      </c>
      <c r="G168" s="175">
        <f t="shared" si="19"/>
        <v>18</v>
      </c>
      <c r="H168" s="516"/>
      <c r="I168" s="253"/>
      <c r="J168" s="253"/>
    </row>
    <row r="169" spans="1:23" s="1" customFormat="1" ht="13.8" outlineLevel="1">
      <c r="A169" s="18">
        <f t="shared" si="15"/>
        <v>17</v>
      </c>
      <c r="B169" s="173" t="str">
        <f t="shared" ref="B169:C169" si="29">B149</f>
        <v>บังใบ</v>
      </c>
      <c r="C169" s="173" t="str">
        <f t="shared" si="29"/>
        <v>SASH STOP</v>
      </c>
      <c r="D169" s="508" t="str">
        <f t="shared" si="21"/>
        <v>B24009</v>
      </c>
      <c r="E169" s="175">
        <f t="shared" si="17"/>
        <v>0</v>
      </c>
      <c r="F169" s="353">
        <f t="shared" si="18"/>
        <v>2408</v>
      </c>
      <c r="G169" s="175">
        <f t="shared" si="19"/>
        <v>1</v>
      </c>
      <c r="H169" s="516">
        <f>ROUNDUP(((F169*G169)+(F170*G170))/6400,0)</f>
        <v>1</v>
      </c>
      <c r="I169" s="253"/>
      <c r="J169" s="253"/>
    </row>
    <row r="170" spans="1:23" s="1" customFormat="1" outlineLevel="1" thickBot="1">
      <c r="A170" s="18">
        <f t="shared" si="15"/>
        <v>18</v>
      </c>
      <c r="B170" s="173" t="str">
        <f t="shared" ref="B170:C170" si="30">B150</f>
        <v>บังใบ</v>
      </c>
      <c r="C170" s="173" t="str">
        <f t="shared" si="30"/>
        <v>SASH STOP</v>
      </c>
      <c r="D170" s="511"/>
      <c r="E170" s="175">
        <f t="shared" si="17"/>
        <v>0</v>
      </c>
      <c r="F170" s="353">
        <f t="shared" si="18"/>
        <v>2408</v>
      </c>
      <c r="G170" s="175">
        <f t="shared" si="19"/>
        <v>1</v>
      </c>
      <c r="H170" s="516"/>
      <c r="I170" s="253"/>
      <c r="J170" s="253"/>
    </row>
    <row r="171" spans="1:23" s="1" customFormat="1" ht="24.9" customHeight="1" thickBot="1">
      <c r="A171" s="529" t="s">
        <v>9</v>
      </c>
      <c r="B171" s="530"/>
      <c r="C171" s="530"/>
      <c r="D171" s="530"/>
      <c r="E171" s="530"/>
      <c r="F171" s="530"/>
      <c r="G171" s="530"/>
      <c r="H171" s="530"/>
      <c r="I171" s="530"/>
      <c r="J171" s="531"/>
    </row>
    <row r="172" spans="1:23" s="1" customFormat="1" ht="35.1" customHeight="1" thickBot="1">
      <c r="A172" s="102" t="s">
        <v>2</v>
      </c>
      <c r="B172" s="103" t="s">
        <v>29</v>
      </c>
      <c r="C172" s="103" t="s">
        <v>3</v>
      </c>
      <c r="D172" s="103" t="s">
        <v>199</v>
      </c>
      <c r="E172" s="103" t="s">
        <v>5</v>
      </c>
      <c r="F172" s="104" t="s">
        <v>28</v>
      </c>
      <c r="G172" s="103" t="s">
        <v>19</v>
      </c>
      <c r="H172" s="104" t="s">
        <v>200</v>
      </c>
      <c r="I172" s="104" t="s">
        <v>20</v>
      </c>
      <c r="J172" s="115" t="s">
        <v>201</v>
      </c>
      <c r="N172" s="101" t="s">
        <v>191</v>
      </c>
      <c r="O172" s="246" t="s">
        <v>29</v>
      </c>
      <c r="P172" s="246" t="s">
        <v>3</v>
      </c>
      <c r="Q172" s="246" t="s">
        <v>199</v>
      </c>
      <c r="R172" s="246" t="s">
        <v>5</v>
      </c>
      <c r="S172" s="246" t="s">
        <v>28</v>
      </c>
      <c r="T172" s="246" t="s">
        <v>19</v>
      </c>
      <c r="U172" s="246" t="s">
        <v>200</v>
      </c>
      <c r="V172" s="246" t="s">
        <v>20</v>
      </c>
      <c r="W172" s="246" t="s">
        <v>201</v>
      </c>
    </row>
    <row r="173" spans="1:23" s="1" customFormat="1" ht="18" customHeight="1">
      <c r="A173" s="200">
        <f>IF(B173="","",1)</f>
        <v>1</v>
      </c>
      <c r="B173" s="140" t="s">
        <v>111</v>
      </c>
      <c r="C173" s="140" t="s">
        <v>67</v>
      </c>
      <c r="D173" s="139" t="s">
        <v>74</v>
      </c>
      <c r="E173" s="143"/>
      <c r="F173" s="143" t="s">
        <v>74</v>
      </c>
      <c r="G173" s="143" t="s">
        <v>202</v>
      </c>
      <c r="H173" s="143">
        <v>18</v>
      </c>
      <c r="I173" s="130"/>
      <c r="J173" s="131">
        <f t="shared" ref="J173:J189" si="31">$J$120*H173</f>
        <v>18</v>
      </c>
      <c r="N173" s="101" t="s">
        <v>226</v>
      </c>
      <c r="O173" s="280" t="s">
        <v>252</v>
      </c>
      <c r="P173" s="290" t="s">
        <v>248</v>
      </c>
      <c r="Q173" s="280" t="s">
        <v>69</v>
      </c>
      <c r="R173" s="213"/>
      <c r="S173" s="213" t="s">
        <v>69</v>
      </c>
      <c r="T173" s="213" t="s">
        <v>198</v>
      </c>
      <c r="U173" s="291">
        <f>((($I$141*$G$141)+($I$142*$G$142)+($I$143*$G$143)+($I$144*$G$144)+($I$145*$G$145)+($I$146*$G$146))/1000)*$J$120</f>
        <v>45.161999999999999</v>
      </c>
      <c r="V173" s="291">
        <v>100</v>
      </c>
      <c r="W173" s="292">
        <f>ROUNDUP((U173)/100,0)</f>
        <v>1</v>
      </c>
    </row>
    <row r="174" spans="1:23" s="1" customFormat="1" ht="18" customHeight="1">
      <c r="A174" s="201">
        <f>IF(B174="","",+A173+1)</f>
        <v>2</v>
      </c>
      <c r="B174" s="140" t="s">
        <v>106</v>
      </c>
      <c r="C174" s="140" t="s">
        <v>503</v>
      </c>
      <c r="D174" s="139" t="s">
        <v>75</v>
      </c>
      <c r="E174" s="143"/>
      <c r="F174" s="143" t="s">
        <v>75</v>
      </c>
      <c r="G174" s="143" t="s">
        <v>202</v>
      </c>
      <c r="H174" s="143">
        <v>2</v>
      </c>
      <c r="I174" s="130"/>
      <c r="J174" s="131">
        <f t="shared" si="31"/>
        <v>2</v>
      </c>
      <c r="N174" s="101" t="s">
        <v>230</v>
      </c>
      <c r="O174" s="280" t="s">
        <v>253</v>
      </c>
      <c r="P174" s="290" t="s">
        <v>249</v>
      </c>
      <c r="Q174" s="280" t="s">
        <v>188</v>
      </c>
      <c r="R174" s="213"/>
      <c r="S174" s="213" t="s">
        <v>188</v>
      </c>
      <c r="T174" s="213" t="s">
        <v>198</v>
      </c>
      <c r="U174" s="291">
        <f>((($I$141*$G$141)+($I$142*$G$142)+($I$143*$G$143)+($I$144*$G$144)+($I$145*$G$145)+($I$146*$G$146))/1000)*$J$120</f>
        <v>45.161999999999999</v>
      </c>
      <c r="V174" s="291">
        <v>100</v>
      </c>
      <c r="W174" s="292">
        <f t="shared" ref="W174:W176" si="32">ROUNDUP((U174)/100,0)</f>
        <v>1</v>
      </c>
    </row>
    <row r="175" spans="1:23" s="1" customFormat="1" ht="18" customHeight="1">
      <c r="A175" s="201">
        <f t="shared" ref="A175:A204" si="33">IF(B175="","",+A174+1)</f>
        <v>3</v>
      </c>
      <c r="B175" s="140" t="s">
        <v>107</v>
      </c>
      <c r="C175" s="140" t="s">
        <v>504</v>
      </c>
      <c r="D175" s="139" t="s">
        <v>76</v>
      </c>
      <c r="E175" s="143"/>
      <c r="F175" s="143" t="s">
        <v>76</v>
      </c>
      <c r="G175" s="143" t="s">
        <v>202</v>
      </c>
      <c r="H175" s="143">
        <v>2</v>
      </c>
      <c r="I175" s="130"/>
      <c r="J175" s="131">
        <f t="shared" si="31"/>
        <v>2</v>
      </c>
      <c r="N175" s="101" t="s">
        <v>229</v>
      </c>
      <c r="O175" s="290" t="s">
        <v>254</v>
      </c>
      <c r="P175" s="290" t="s">
        <v>250</v>
      </c>
      <c r="Q175" s="280" t="s">
        <v>70</v>
      </c>
      <c r="R175" s="213"/>
      <c r="S175" s="213" t="s">
        <v>70</v>
      </c>
      <c r="T175" s="213" t="s">
        <v>198</v>
      </c>
      <c r="U175" s="291">
        <f>((($I$141*$G$141)+($I$142*$G$142)+($I$143*$G$143)+($I$144*$G$144)+($I$145*$G$145)+($I$146*$G$146))/1000)*$J$120</f>
        <v>45.161999999999999</v>
      </c>
      <c r="V175" s="291">
        <v>100</v>
      </c>
      <c r="W175" s="292">
        <f t="shared" si="32"/>
        <v>1</v>
      </c>
    </row>
    <row r="176" spans="1:23" s="1" customFormat="1" ht="18" customHeight="1">
      <c r="A176" s="201">
        <f t="shared" si="33"/>
        <v>4</v>
      </c>
      <c r="B176" s="140" t="s">
        <v>108</v>
      </c>
      <c r="C176" s="140" t="s">
        <v>10</v>
      </c>
      <c r="D176" s="139">
        <v>9</v>
      </c>
      <c r="E176" s="143"/>
      <c r="F176" s="143">
        <v>9</v>
      </c>
      <c r="G176" s="143" t="s">
        <v>202</v>
      </c>
      <c r="H176" s="143">
        <v>8</v>
      </c>
      <c r="I176" s="130"/>
      <c r="J176" s="131">
        <f t="shared" si="31"/>
        <v>8</v>
      </c>
      <c r="N176" s="101" t="s">
        <v>231</v>
      </c>
      <c r="O176" s="290" t="s">
        <v>255</v>
      </c>
      <c r="P176" s="290" t="s">
        <v>251</v>
      </c>
      <c r="Q176" s="280" t="s">
        <v>189</v>
      </c>
      <c r="R176" s="213"/>
      <c r="S176" s="213" t="s">
        <v>189</v>
      </c>
      <c r="T176" s="213" t="s">
        <v>198</v>
      </c>
      <c r="U176" s="291">
        <f>((($I$141*$G$141)+($I$142*$G$142)+($I$143*$G$143)+($I$144*$G$144)+($I$145*$G$145)+($I$146*$G$146))/1000)*$J$120</f>
        <v>45.161999999999999</v>
      </c>
      <c r="V176" s="291">
        <v>100</v>
      </c>
      <c r="W176" s="292">
        <f t="shared" si="32"/>
        <v>1</v>
      </c>
    </row>
    <row r="177" spans="1:23" s="1" customFormat="1" ht="18" customHeight="1">
      <c r="A177" s="201">
        <f t="shared" si="33"/>
        <v>5</v>
      </c>
      <c r="B177" s="140" t="s">
        <v>109</v>
      </c>
      <c r="C177" s="140" t="s">
        <v>68</v>
      </c>
      <c r="D177" s="139">
        <v>9</v>
      </c>
      <c r="E177" s="143"/>
      <c r="F177" s="143">
        <v>9</v>
      </c>
      <c r="G177" s="143" t="s">
        <v>202</v>
      </c>
      <c r="H177" s="143">
        <v>110</v>
      </c>
      <c r="I177" s="130"/>
      <c r="J177" s="131">
        <f t="shared" si="31"/>
        <v>110</v>
      </c>
      <c r="N177" s="101" t="s">
        <v>232</v>
      </c>
      <c r="O177" s="290" t="s">
        <v>256</v>
      </c>
      <c r="P177" s="290" t="s">
        <v>247</v>
      </c>
      <c r="Q177" s="280" t="s">
        <v>233</v>
      </c>
      <c r="R177" s="213"/>
      <c r="S177" s="213" t="s">
        <v>233</v>
      </c>
      <c r="T177" s="213" t="s">
        <v>198</v>
      </c>
      <c r="U177" s="291">
        <f>((($I$141*$G$141)+($I$142*$G$142)+($I$143*$G$143)+($I$144*$G$144)+($I$145*$G$145)+($I$146*$G$146))/1000)*$J$120</f>
        <v>45.161999999999999</v>
      </c>
      <c r="V177" s="291">
        <v>100</v>
      </c>
      <c r="W177" s="292">
        <f>ROUNDUP((U177)/100,0)</f>
        <v>1</v>
      </c>
    </row>
    <row r="178" spans="1:23" s="1" customFormat="1" ht="18" customHeight="1">
      <c r="A178" s="201">
        <f t="shared" si="33"/>
        <v>6</v>
      </c>
      <c r="B178" s="140" t="s">
        <v>132</v>
      </c>
      <c r="C178" s="140" t="s">
        <v>79</v>
      </c>
      <c r="D178" s="139" t="s">
        <v>82</v>
      </c>
      <c r="E178" s="143"/>
      <c r="F178" s="143" t="s">
        <v>82</v>
      </c>
      <c r="G178" s="143" t="s">
        <v>185</v>
      </c>
      <c r="H178" s="143">
        <v>1</v>
      </c>
      <c r="I178" s="130"/>
      <c r="J178" s="131">
        <f t="shared" si="31"/>
        <v>1</v>
      </c>
    </row>
    <row r="179" spans="1:23" s="1" customFormat="1" ht="18" customHeight="1">
      <c r="A179" s="201">
        <f t="shared" si="33"/>
        <v>7</v>
      </c>
      <c r="B179" s="140" t="s">
        <v>143</v>
      </c>
      <c r="C179" s="140" t="s">
        <v>121</v>
      </c>
      <c r="D179" s="139" t="s">
        <v>103</v>
      </c>
      <c r="E179" s="143"/>
      <c r="F179" s="143" t="s">
        <v>103</v>
      </c>
      <c r="G179" s="143" t="s">
        <v>185</v>
      </c>
      <c r="H179" s="143">
        <v>3</v>
      </c>
      <c r="I179" s="130"/>
      <c r="J179" s="131">
        <f t="shared" si="31"/>
        <v>3</v>
      </c>
    </row>
    <row r="180" spans="1:23" s="1" customFormat="1" ht="18" customHeight="1">
      <c r="A180" s="201">
        <f t="shared" si="33"/>
        <v>8</v>
      </c>
      <c r="B180" s="140" t="s">
        <v>118</v>
      </c>
      <c r="C180" s="140" t="s">
        <v>77</v>
      </c>
      <c r="D180" s="139" t="s">
        <v>80</v>
      </c>
      <c r="E180" s="143"/>
      <c r="F180" s="143" t="s">
        <v>80</v>
      </c>
      <c r="G180" s="143" t="s">
        <v>185</v>
      </c>
      <c r="H180" s="143">
        <v>1</v>
      </c>
      <c r="I180" s="130"/>
      <c r="J180" s="131">
        <f t="shared" si="31"/>
        <v>1</v>
      </c>
    </row>
    <row r="181" spans="1:23" s="1" customFormat="1" ht="18" customHeight="1">
      <c r="A181" s="201">
        <f t="shared" si="33"/>
        <v>9</v>
      </c>
      <c r="B181" s="140" t="s">
        <v>120</v>
      </c>
      <c r="C181" s="140" t="s">
        <v>94</v>
      </c>
      <c r="D181" s="139" t="s">
        <v>96</v>
      </c>
      <c r="E181" s="143"/>
      <c r="F181" s="143" t="s">
        <v>96</v>
      </c>
      <c r="G181" s="143" t="s">
        <v>185</v>
      </c>
      <c r="H181" s="143">
        <v>1</v>
      </c>
      <c r="I181" s="130"/>
      <c r="J181" s="131">
        <f t="shared" si="31"/>
        <v>1</v>
      </c>
    </row>
    <row r="182" spans="1:23" s="1" customFormat="1" ht="18" customHeight="1">
      <c r="A182" s="201">
        <f t="shared" si="33"/>
        <v>10</v>
      </c>
      <c r="B182" s="140" t="s">
        <v>119</v>
      </c>
      <c r="C182" s="140" t="s">
        <v>78</v>
      </c>
      <c r="D182" s="139" t="s">
        <v>81</v>
      </c>
      <c r="E182" s="143"/>
      <c r="F182" s="143" t="s">
        <v>81</v>
      </c>
      <c r="G182" s="143" t="s">
        <v>185</v>
      </c>
      <c r="H182" s="143">
        <v>1</v>
      </c>
      <c r="I182" s="130"/>
      <c r="J182" s="131">
        <f t="shared" si="31"/>
        <v>1</v>
      </c>
      <c r="N182" s="56"/>
      <c r="O182" s="56"/>
      <c r="P182" s="56"/>
      <c r="Q182" s="289"/>
      <c r="R182" s="289"/>
      <c r="S182" s="289"/>
      <c r="T182" s="17"/>
      <c r="U182" s="17"/>
      <c r="V182" s="17"/>
      <c r="W182" s="56"/>
    </row>
    <row r="183" spans="1:23" s="1" customFormat="1" ht="18" customHeight="1">
      <c r="A183" s="201">
        <f t="shared" si="33"/>
        <v>11</v>
      </c>
      <c r="B183" s="140" t="s">
        <v>131</v>
      </c>
      <c r="C183" s="140" t="s">
        <v>100</v>
      </c>
      <c r="D183" s="139" t="s">
        <v>102</v>
      </c>
      <c r="E183" s="143"/>
      <c r="F183" s="143" t="s">
        <v>102</v>
      </c>
      <c r="G183" s="143" t="s">
        <v>185</v>
      </c>
      <c r="H183" s="143">
        <v>3</v>
      </c>
      <c r="I183" s="144"/>
      <c r="J183" s="131">
        <f t="shared" si="31"/>
        <v>3</v>
      </c>
      <c r="N183" s="101" t="s">
        <v>227</v>
      </c>
      <c r="O183" s="246" t="s">
        <v>29</v>
      </c>
      <c r="P183" s="246" t="s">
        <v>3</v>
      </c>
      <c r="Q183" s="246" t="s">
        <v>199</v>
      </c>
      <c r="R183" s="246" t="s">
        <v>5</v>
      </c>
      <c r="S183" s="246" t="s">
        <v>28</v>
      </c>
      <c r="T183" s="246" t="s">
        <v>19</v>
      </c>
      <c r="U183" s="246" t="s">
        <v>200</v>
      </c>
      <c r="V183" s="246" t="s">
        <v>20</v>
      </c>
      <c r="W183" s="246" t="s">
        <v>201</v>
      </c>
    </row>
    <row r="184" spans="1:23" s="1" customFormat="1" ht="18" customHeight="1">
      <c r="A184" s="201">
        <f t="shared" si="33"/>
        <v>12</v>
      </c>
      <c r="B184" s="140" t="s">
        <v>113</v>
      </c>
      <c r="C184" s="140" t="s">
        <v>502</v>
      </c>
      <c r="D184" s="139" t="s">
        <v>83</v>
      </c>
      <c r="E184" s="143"/>
      <c r="F184" s="143" t="s">
        <v>83</v>
      </c>
      <c r="G184" s="143" t="s">
        <v>185</v>
      </c>
      <c r="H184" s="143">
        <v>4</v>
      </c>
      <c r="I184" s="144"/>
      <c r="J184" s="131">
        <f t="shared" si="31"/>
        <v>4</v>
      </c>
      <c r="N184" s="101" t="s">
        <v>240</v>
      </c>
      <c r="O184" s="290" t="s">
        <v>234</v>
      </c>
      <c r="P184" s="290" t="s">
        <v>236</v>
      </c>
      <c r="Q184" s="280" t="s">
        <v>190</v>
      </c>
      <c r="R184" s="213"/>
      <c r="S184" s="213" t="s">
        <v>190</v>
      </c>
      <c r="T184" s="213" t="s">
        <v>198</v>
      </c>
      <c r="U184" s="291">
        <f>((($I$134*$G$134)+($I$136*$G$136)+($I$139*$G$139))/1000)*$J$120</f>
        <v>6.258</v>
      </c>
      <c r="V184" s="291">
        <v>300</v>
      </c>
      <c r="W184" s="292">
        <f>ROUNDUP((U184)/V184,0)</f>
        <v>1</v>
      </c>
    </row>
    <row r="185" spans="1:23" s="1" customFormat="1" ht="18" customHeight="1">
      <c r="A185" s="201">
        <f t="shared" si="33"/>
        <v>13</v>
      </c>
      <c r="B185" s="140" t="s">
        <v>122</v>
      </c>
      <c r="C185" s="140" t="s">
        <v>101</v>
      </c>
      <c r="D185" s="139" t="s">
        <v>104</v>
      </c>
      <c r="E185" s="143"/>
      <c r="F185" s="143" t="s">
        <v>104</v>
      </c>
      <c r="G185" s="143" t="s">
        <v>185</v>
      </c>
      <c r="H185" s="143">
        <v>1</v>
      </c>
      <c r="I185" s="130"/>
      <c r="J185" s="131">
        <f t="shared" si="31"/>
        <v>1</v>
      </c>
      <c r="N185" s="101" t="s">
        <v>241</v>
      </c>
      <c r="O185" s="290" t="s">
        <v>235</v>
      </c>
      <c r="P185" s="290" t="s">
        <v>238</v>
      </c>
      <c r="Q185" s="280" t="s">
        <v>71</v>
      </c>
      <c r="R185" s="213"/>
      <c r="S185" s="213" t="s">
        <v>71</v>
      </c>
      <c r="T185" s="213" t="s">
        <v>198</v>
      </c>
      <c r="U185" s="291">
        <f>((($I$134*$G$134)+($I$136*$G$136)+($I$139*$G$139))/1000)*$J$120</f>
        <v>6.258</v>
      </c>
      <c r="V185" s="291">
        <v>100</v>
      </c>
      <c r="W185" s="292">
        <f t="shared" ref="W185:W187" si="34">ROUNDUP((U185)/V185,0)</f>
        <v>1</v>
      </c>
    </row>
    <row r="186" spans="1:23" s="1" customFormat="1" ht="18" customHeight="1">
      <c r="A186" s="201">
        <f t="shared" si="33"/>
        <v>14</v>
      </c>
      <c r="B186" s="140" t="s">
        <v>112</v>
      </c>
      <c r="C186" s="140" t="s">
        <v>114</v>
      </c>
      <c r="D186" s="128" t="s">
        <v>520</v>
      </c>
      <c r="E186" s="129"/>
      <c r="F186" s="129" t="s">
        <v>520</v>
      </c>
      <c r="G186" s="143" t="s">
        <v>202</v>
      </c>
      <c r="H186" s="143">
        <v>8</v>
      </c>
      <c r="I186" s="130"/>
      <c r="J186" s="131">
        <f t="shared" si="31"/>
        <v>8</v>
      </c>
      <c r="N186" s="101" t="s">
        <v>240</v>
      </c>
      <c r="O186" s="290" t="s">
        <v>245</v>
      </c>
      <c r="P186" s="290" t="s">
        <v>237</v>
      </c>
      <c r="Q186" s="280" t="s">
        <v>72</v>
      </c>
      <c r="R186" s="213"/>
      <c r="S186" s="213" t="s">
        <v>72</v>
      </c>
      <c r="T186" s="213" t="s">
        <v>198</v>
      </c>
      <c r="U186" s="291">
        <f>((($I$141*$G$141*2)+($I$143*$G$143*2)+($I$145*$G$145*2))/1000)*$J$120</f>
        <v>78.873999999999995</v>
      </c>
      <c r="V186" s="291">
        <v>350</v>
      </c>
      <c r="W186" s="292">
        <f t="shared" si="34"/>
        <v>1</v>
      </c>
    </row>
    <row r="187" spans="1:23" s="1" customFormat="1" ht="18" customHeight="1">
      <c r="A187" s="201">
        <f t="shared" si="33"/>
        <v>15</v>
      </c>
      <c r="B187" s="140" t="s">
        <v>115</v>
      </c>
      <c r="C187" s="140" t="s">
        <v>45</v>
      </c>
      <c r="D187" s="139" t="s">
        <v>84</v>
      </c>
      <c r="E187" s="143"/>
      <c r="F187" s="143" t="s">
        <v>84</v>
      </c>
      <c r="G187" s="143" t="s">
        <v>202</v>
      </c>
      <c r="H187" s="143">
        <v>1</v>
      </c>
      <c r="I187" s="130"/>
      <c r="J187" s="131">
        <f t="shared" si="31"/>
        <v>1</v>
      </c>
      <c r="N187" s="101" t="s">
        <v>241</v>
      </c>
      <c r="O187" s="290" t="s">
        <v>246</v>
      </c>
      <c r="P187" s="290" t="s">
        <v>239</v>
      </c>
      <c r="Q187" s="280" t="s">
        <v>193</v>
      </c>
      <c r="R187" s="213"/>
      <c r="S187" s="213" t="s">
        <v>193</v>
      </c>
      <c r="T187" s="213" t="s">
        <v>198</v>
      </c>
      <c r="U187" s="291">
        <f>((($I$141*$G$141*2)+($I$143*$G$143*2)+($I$145*$G$145*2))/1000)*$J$120</f>
        <v>78.873999999999995</v>
      </c>
      <c r="V187" s="291">
        <v>100</v>
      </c>
      <c r="W187" s="292">
        <f t="shared" si="34"/>
        <v>1</v>
      </c>
    </row>
    <row r="188" spans="1:23" s="1" customFormat="1" ht="18" customHeight="1">
      <c r="A188" s="201">
        <f t="shared" si="33"/>
        <v>16</v>
      </c>
      <c r="B188" s="140" t="s">
        <v>110</v>
      </c>
      <c r="C188" s="140" t="s">
        <v>66</v>
      </c>
      <c r="D188" s="139" t="s">
        <v>73</v>
      </c>
      <c r="E188" s="143"/>
      <c r="F188" s="143" t="s">
        <v>73</v>
      </c>
      <c r="G188" s="143" t="s">
        <v>202</v>
      </c>
      <c r="H188" s="143">
        <v>4</v>
      </c>
      <c r="I188" s="130"/>
      <c r="J188" s="131">
        <f t="shared" si="31"/>
        <v>4</v>
      </c>
    </row>
    <row r="189" spans="1:23" s="1" customFormat="1" ht="18" customHeight="1">
      <c r="A189" s="201">
        <f t="shared" si="33"/>
        <v>17</v>
      </c>
      <c r="B189" s="140" t="s">
        <v>491</v>
      </c>
      <c r="C189" s="140" t="s">
        <v>490</v>
      </c>
      <c r="D189" s="139" t="s">
        <v>493</v>
      </c>
      <c r="E189" s="143"/>
      <c r="F189" s="143" t="s">
        <v>493</v>
      </c>
      <c r="G189" s="143" t="s">
        <v>202</v>
      </c>
      <c r="H189" s="143">
        <v>1</v>
      </c>
      <c r="I189" s="130"/>
      <c r="J189" s="131">
        <f t="shared" si="31"/>
        <v>1</v>
      </c>
    </row>
    <row r="190" spans="1:23" s="1" customFormat="1" ht="18" customHeight="1">
      <c r="A190" s="201">
        <f t="shared" si="33"/>
        <v>18</v>
      </c>
      <c r="B190" s="140" t="s">
        <v>512</v>
      </c>
      <c r="C190" s="140" t="s">
        <v>135</v>
      </c>
      <c r="D190" s="139" t="s">
        <v>137</v>
      </c>
      <c r="E190" s="143"/>
      <c r="F190" s="143" t="s">
        <v>137</v>
      </c>
      <c r="G190" s="143" t="s">
        <v>198</v>
      </c>
      <c r="H190" s="261">
        <f>((($I$149*$G$149)+($I$150*$G$150))/1000)*$J$120</f>
        <v>4.8159999999999998</v>
      </c>
      <c r="I190" s="258">
        <v>100</v>
      </c>
      <c r="J190" s="260">
        <f>ROUNDUP((H190)/100,0)</f>
        <v>1</v>
      </c>
    </row>
    <row r="191" spans="1:23" s="1" customFormat="1" ht="18" customHeight="1">
      <c r="A191" s="201">
        <f t="shared" si="33"/>
        <v>19</v>
      </c>
      <c r="B191" s="140" t="s">
        <v>513</v>
      </c>
      <c r="C191" s="140" t="s">
        <v>136</v>
      </c>
      <c r="D191" s="139" t="s">
        <v>138</v>
      </c>
      <c r="E191" s="143"/>
      <c r="F191" s="143" t="s">
        <v>138</v>
      </c>
      <c r="G191" s="143" t="s">
        <v>198</v>
      </c>
      <c r="H191" s="261">
        <f>((($I$146*$G$146*2))/1000)*$J$120</f>
        <v>4.8159999999999998</v>
      </c>
      <c r="I191" s="258">
        <v>100</v>
      </c>
      <c r="J191" s="260">
        <f t="shared" ref="J191:J194" si="35">ROUNDUP((H191)/100,0)</f>
        <v>1</v>
      </c>
    </row>
    <row r="192" spans="1:23" s="1" customFormat="1" ht="18" customHeight="1">
      <c r="A192" s="201">
        <f t="shared" si="33"/>
        <v>20</v>
      </c>
      <c r="B192" s="139" t="str">
        <f>IF($D$129="Standard",$O$184,IF($D$129="Soumdproof",$O$185,))</f>
        <v>ยางเฟรมกันน้ำ (ธรรมดา)</v>
      </c>
      <c r="C192" s="139" t="str">
        <f>IF($D$129="Standard",$P$184,IF($D$129="Soumdproof",$P$185,))</f>
        <v>FRAME SEAL (Standard)</v>
      </c>
      <c r="D192" s="139" t="str">
        <f>IF($D$129="Standard",$Q$184,IF($D$129="Soumdproof",$Q$185,))</f>
        <v>02-026</v>
      </c>
      <c r="E192" s="143">
        <f t="shared" ref="E192" si="36">IF($D$129="Standard",R189,IF($D$129="Soumdproof",R190,))</f>
        <v>0</v>
      </c>
      <c r="F192" s="143" t="str">
        <f>IF($D$129="Standard",$S$184,IF($D$129="Soumdproof",$S$185,))</f>
        <v>02-026</v>
      </c>
      <c r="G192" s="143" t="str">
        <f>IF($D$129="Standard",$T$184,IF($D$129="Soumdproof",$T$185,))</f>
        <v>M</v>
      </c>
      <c r="H192" s="261">
        <f>IF($D$129="Standard",$U$184,IF($D$129="Soumdproof",$U$185,))</f>
        <v>6.258</v>
      </c>
      <c r="I192" s="258">
        <f>IF($D$129="Standard",$V$184,IF($D$129="Soumdproof",$V$185,))</f>
        <v>300</v>
      </c>
      <c r="J192" s="260">
        <f t="shared" si="35"/>
        <v>1</v>
      </c>
    </row>
    <row r="193" spans="1:25" ht="18" customHeight="1">
      <c r="A193" s="201">
        <f t="shared" si="33"/>
        <v>21</v>
      </c>
      <c r="B193" s="139" t="str">
        <f>IF($D$129="Standard",$O$186,IF($D$129="Soumdproof",$O$187,))</f>
        <v>ยางแซชกันน้ำ (ธรรมดา)</v>
      </c>
      <c r="C193" s="139" t="str">
        <f>IF($D$129="Standard",$P$186,IF($D$129="Soumdproof",$P$187,))</f>
        <v>SASH SEAL FOAM (Standard)</v>
      </c>
      <c r="D193" s="139" t="str">
        <f>IF($D$129="Standard",$Q$186,IF($D$129="Soumdproof",$Q$187,))</f>
        <v>02-031</v>
      </c>
      <c r="E193" s="143">
        <f t="shared" ref="E193" si="37">IF($D$129="Standard",R191,IF($D$129="Soumdproof",R192,))</f>
        <v>0</v>
      </c>
      <c r="F193" s="143" t="str">
        <f>IF($D$129="Standard",$S$186,IF($D$129="Soumdproof",$S$187,))</f>
        <v>02-031</v>
      </c>
      <c r="G193" s="143" t="str">
        <f>IF($D$129="Standard",$T$186,IF($D$129="Soumdproof",$T$187,))</f>
        <v>M</v>
      </c>
      <c r="H193" s="261">
        <f>IF($D$129="Standard",$U$186,IF($D$129="Soumdproof",$U$187,))</f>
        <v>78.873999999999995</v>
      </c>
      <c r="I193" s="258">
        <f>IF($D$129="Standard",$V$186,IF($D$129="Soumdproof",$V$187,))</f>
        <v>350</v>
      </c>
      <c r="J193" s="260">
        <f t="shared" si="35"/>
        <v>1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s="1" customFormat="1" ht="18" customHeight="1">
      <c r="A194" s="201">
        <f t="shared" si="33"/>
        <v>22</v>
      </c>
      <c r="B194" s="241" t="str">
        <f>IF($D$127=5,$O$175,IF($D$127=6,$O$176,IF($D$127=8,$O$177,IF($D$127=10,$O$175,IF($D$127=12,$O$175,IF($D$127=14,$O$177,IF($D$127=18,$O$175,IF($D$127=20,$O$176,IF($D$127=22,"")))))))))</f>
        <v>8,14 mm ยางอัดกระจก</v>
      </c>
      <c r="C194" s="241" t="str">
        <f>IF($D$127=5,$P$175,IF($D$127=6,$P$176,IF($D$127=8,$P$177,IF($D$127=10,$P$175,IF($D$127=12,$P$175,IF($D$127=14,$P$177,IF($D$127=18,$P$175,IF($D$127=20,$P$176,IF($D$127=22,"")))))))))</f>
        <v>8,14 mm ROLL IN WEDGE</v>
      </c>
      <c r="D194" s="241" t="str">
        <f>IF($D$127=5,$Q$175,IF($D$127=6,$Q$176,IF($D$127=8,$Q$177,IF($D$127=10,$Q$175,IF($D$127=12,$Q$175,IF($D$127=14,$Q$177,IF($D$127=18,$Q$175,IF($D$127=20,$Q$176,IF($D$127=22,"")))))))))</f>
        <v>02-045</v>
      </c>
      <c r="E194" s="241">
        <f t="shared" ref="E194" si="38">IF($D$127=5,R180,IF($D$127=6,R181,IF($D$127=8,R182,IF($D$127=10,R180,IF($D$127=12,R180,IF($D$127=14,R182,IF($D$127=18,R180,IF($D$127=20,R181,IF($D$127=22,"",)))))))))</f>
        <v>0</v>
      </c>
      <c r="F194" s="242" t="str">
        <f>IF($D$127=5,$S$175,IF($D$127=6,$S$176,IF($D$127=8,$S$177,IF($D$127=10,$S$175,IF($D$127=12,$S$175,IF($D$127=14,$S$177,IF($D$127=18,$S$175,IF($D$127=20,$S$176,IF($D$127=22,"")))))))))</f>
        <v>02-045</v>
      </c>
      <c r="G194" s="242" t="str">
        <f>IF($D$127=5,$T$175,IF($D$127=6,$T$176,IF($D$127=8,$T$177,IF($D$127=10,$T$175,IF($D$127=12,$T$175,IF($D$127=14,$T$177,IF($D$127=18,$T$175,IF($D$127=20,$T$176,IF($D$127=22,"")))))))))</f>
        <v>M</v>
      </c>
      <c r="H194" s="261">
        <f>IF($D$127=5,$U$175,IF($D$127=6,$U$176,IF($D$127=8,$U$177,IF($D$127=10,$U$175*2,IF($D$127=12,$U$175,IF($D$127=14,$U$177*2,IF($D$127=18,$U$175,IF($D$127=20,$U$176,IF($D$127=22,"")))))))))</f>
        <v>45.161999999999999</v>
      </c>
      <c r="I194" s="258">
        <f>IF($D$127=5,$V$175,IF($D$127=6,$V$176,IF($D$127=8,$V$177,IF($D$127=10,$V$175,IF($D$127=12,$V$175,IF($D$127=14,$V$177,IF($D$127=18,$V$175,IF($D$127=20,$V$176,IF($D$127=22,"")))))))))</f>
        <v>100</v>
      </c>
      <c r="J194" s="260">
        <f t="shared" si="35"/>
        <v>1</v>
      </c>
    </row>
    <row r="195" spans="1:25" s="1" customFormat="1" ht="18" customHeight="1">
      <c r="A195" s="201">
        <f t="shared" si="33"/>
        <v>23</v>
      </c>
      <c r="B195" s="241" t="str">
        <f>IF($D$127=5,$O$173,IF($D$127=6,$O$173,IF($D$127=8,$O$175,IF($D$127=10,"",IF($D$127=12,$O$174,IF($D$127=14,"",IF($D$127=18,$O$173,IF($D$127=20,$O$174,IF($D$127=22,"",)))))))))</f>
        <v>5,8,10,12,18 mmยางอัดกระจก</v>
      </c>
      <c r="C195" s="241" t="str">
        <f>IF($D$127=5,$P$173,IF($D$127=6,$P$173,IF($D$127=8,$P$175,IF($D$127=10,"",IF($D$127=12,$P$174,IF($D$127=14,"",IF($D$127=18,$P$173,IF($D$127=20,$P$174,IF($D$127=22,"",)))))))))</f>
        <v>5,8,10,12,18 mm ROLL IN WEDGE</v>
      </c>
      <c r="D195" s="241" t="str">
        <f>IF($D$127=5,$Q$173,IF($D$127=6,$Q$173,IF($D$127=8,$Q$175,IF($D$127=10,"",IF($D$127=12,$Q$174,IF($D$127=14,"",IF($D$127=18,$Q$173,IF($D$127=20,$Q$174,IF($D$127=22,"",)))))))))</f>
        <v>02-033</v>
      </c>
      <c r="E195" s="241">
        <f t="shared" ref="E195" si="39">IF($D$127=5,R178,IF($D$127=6,R178,IF($D$127=8,R180,IF($D$127=10,"",IF($D$127=12,R179,IF($D$127=14,"",IF($D$127=18,R178,IF($D$127=20,R179,IF($D$127=22,"",)))))))))</f>
        <v>0</v>
      </c>
      <c r="F195" s="242" t="str">
        <f>IF($D$127=5,$S$173,IF($D$127=6,$S$173,IF($D$127=8,$S$175,IF($D$127=10,"",IF($D$127=12,$S$174,IF($D$127=14,"",IF($D$127=18,$S$173,IF($D$127=20,$S$174,IF($D$127=22,"",)))))))))</f>
        <v>02-033</v>
      </c>
      <c r="G195" s="242" t="str">
        <f>IF($D$127=5,$T$173,IF($D$127=6,$T$173,IF($D$127=8,$T$175,IF($D$127=10,"",IF($D$127=12,$T$174,IF($D$127=14,"",IF($D$127=18,$T$173,IF($D$127=20,$T$174,IF($D$127=22,"",)))))))))</f>
        <v>M</v>
      </c>
      <c r="H195" s="261">
        <f>IF($D$127=5,$U$173,IF($D$127=6,$U$173,IF($D$127=8,$U$175,IF($D$127=10,"",IF($D$127=12,$U$174,IF($D$127=14,"",IF($D$127=18,$U$173,IF($D$127=20,$U$174,IF($D$127=22,"")))))))))</f>
        <v>45.161999999999999</v>
      </c>
      <c r="I195" s="258">
        <f>IF($D$127=5,$V$173,IF($D$127=6,$V$173,IF($D$127=8,$V$175,IF($D$127=10,"",IF($D$127=12,$V$174,IF($D$127=14,"",IF($D$127=18,$V$173,IF($D$127=20,$V$174,IF($D$127=22,"",)))))))))</f>
        <v>100</v>
      </c>
      <c r="J195" s="260">
        <f>ROUNDUP((H195)/100,0)</f>
        <v>1</v>
      </c>
    </row>
    <row r="196" spans="1:25" s="1" customFormat="1" ht="18" customHeight="1">
      <c r="A196" s="201" t="str">
        <f t="shared" si="33"/>
        <v/>
      </c>
      <c r="B196" s="140"/>
      <c r="C196" s="140"/>
      <c r="D196" s="139"/>
      <c r="E196" s="143"/>
      <c r="F196" s="143"/>
      <c r="G196" s="143"/>
      <c r="H196" s="143"/>
      <c r="I196" s="130"/>
      <c r="J196" s="131">
        <f t="shared" ref="J196:J205" si="40">$J$120*H196</f>
        <v>0</v>
      </c>
    </row>
    <row r="197" spans="1:25" s="1" customFormat="1" ht="18" customHeight="1">
      <c r="A197" s="201" t="str">
        <f t="shared" si="33"/>
        <v/>
      </c>
      <c r="B197" s="140"/>
      <c r="C197" s="140"/>
      <c r="D197" s="139"/>
      <c r="E197" s="143"/>
      <c r="F197" s="143"/>
      <c r="G197" s="143"/>
      <c r="H197" s="143"/>
      <c r="I197" s="130"/>
      <c r="J197" s="131">
        <f t="shared" si="40"/>
        <v>0</v>
      </c>
    </row>
    <row r="198" spans="1:25" s="1" customFormat="1" ht="18" customHeight="1">
      <c r="A198" s="201" t="str">
        <f t="shared" si="33"/>
        <v/>
      </c>
      <c r="B198" s="140"/>
      <c r="C198" s="140"/>
      <c r="D198" s="139"/>
      <c r="E198" s="143"/>
      <c r="F198" s="143"/>
      <c r="G198" s="143"/>
      <c r="H198" s="143"/>
      <c r="I198" s="130"/>
      <c r="J198" s="131">
        <f t="shared" si="40"/>
        <v>0</v>
      </c>
    </row>
    <row r="199" spans="1:25" s="1" customFormat="1" ht="18" customHeight="1">
      <c r="A199" s="201" t="str">
        <f t="shared" si="33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 t="shared" si="40"/>
        <v>0</v>
      </c>
    </row>
    <row r="200" spans="1:25" s="1" customFormat="1" ht="18" customHeight="1">
      <c r="A200" s="201" t="str">
        <f t="shared" si="33"/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ref="J200:J204" si="41">$J$120*H200</f>
        <v>0</v>
      </c>
    </row>
    <row r="201" spans="1:25" s="1" customFormat="1" ht="18" customHeight="1">
      <c r="A201" s="201" t="str">
        <f t="shared" si="33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si="41"/>
        <v>0</v>
      </c>
    </row>
    <row r="202" spans="1:25" s="1" customFormat="1" ht="18" customHeight="1">
      <c r="A202" s="201" t="str">
        <f t="shared" si="33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si="41"/>
        <v>0</v>
      </c>
    </row>
    <row r="203" spans="1:25" s="1" customFormat="1" ht="18" customHeight="1">
      <c r="A203" s="201" t="str">
        <f t="shared" si="33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si="41"/>
        <v>0</v>
      </c>
    </row>
    <row r="204" spans="1:25" s="1" customFormat="1" ht="18" customHeight="1">
      <c r="A204" s="201" t="str">
        <f t="shared" si="33"/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 t="shared" si="41"/>
        <v>0</v>
      </c>
    </row>
    <row r="205" spans="1:25" s="1" customFormat="1" ht="18" customHeight="1">
      <c r="A205" s="317" t="str">
        <f t="shared" ref="A205" si="42">IF(B205="","",+A204+1)</f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 t="shared" si="40"/>
        <v>0</v>
      </c>
    </row>
    <row r="206" spans="1:25" s="1" customFormat="1" ht="18" customHeight="1">
      <c r="A206" s="25"/>
      <c r="B206" s="161"/>
      <c r="C206" s="33"/>
      <c r="D206" s="30"/>
      <c r="E206" s="17"/>
      <c r="F206" s="30"/>
      <c r="G206" s="30"/>
      <c r="H206" s="161"/>
      <c r="I206" s="24"/>
      <c r="J206" s="24"/>
    </row>
    <row r="207" spans="1:25" ht="18" customHeight="1">
      <c r="A207" s="17"/>
      <c r="J207" s="99" t="str">
        <f>LEFT($J$111,13)&amp;"-02"</f>
        <v>FG-240-9P6L3R-02</v>
      </c>
    </row>
    <row r="208" spans="1:25" ht="12.75" customHeight="1">
      <c r="B208" s="56"/>
      <c r="C208" s="56"/>
      <c r="D208" s="30"/>
      <c r="E208" s="17"/>
      <c r="F208" s="17"/>
      <c r="G208" s="17"/>
      <c r="H208" s="17"/>
      <c r="K208" s="7"/>
      <c r="L208" s="7"/>
      <c r="M208" s="2"/>
      <c r="N208" s="2"/>
    </row>
    <row r="209" spans="1:14" ht="30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255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255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/>
      <c r="C215"/>
      <c r="D215" s="81"/>
      <c r="E215"/>
      <c r="F215"/>
      <c r="G215"/>
      <c r="H215"/>
      <c r="I215" s="160"/>
      <c r="J215" s="116"/>
    </row>
    <row r="216" spans="1:14" s="1" customFormat="1" ht="15" customHeight="1">
      <c r="A216" s="17"/>
      <c r="B216" s="93"/>
      <c r="C216" s="56"/>
      <c r="D216" s="30"/>
      <c r="E216" s="29"/>
      <c r="F216" s="160"/>
      <c r="G216" s="160"/>
      <c r="H216" s="16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s="1" customFormat="1" ht="15.6">
      <c r="A218" s="109"/>
      <c r="B218" s="33"/>
      <c r="C218" s="327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272</v>
      </c>
      <c r="D220" s="30"/>
      <c r="E220" s="29"/>
      <c r="F220" s="30"/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89"/>
      <c r="J221" s="12"/>
    </row>
    <row r="222" spans="1:14" s="1" customFormat="1" ht="15" customHeight="1">
      <c r="A222" s="109"/>
      <c r="B222" s="33"/>
      <c r="C222" s="327" t="s">
        <v>273</v>
      </c>
      <c r="D222" s="161"/>
      <c r="E222" s="109"/>
      <c r="F222" s="161"/>
      <c r="J222" s="12"/>
    </row>
    <row r="223" spans="1:14" s="1" customFormat="1" ht="15" customHeight="1">
      <c r="A223" s="109"/>
      <c r="B223" s="33"/>
      <c r="C223" s="374">
        <f>$I$133</f>
        <v>1940</v>
      </c>
      <c r="D223" s="161"/>
      <c r="E223" s="35"/>
      <c r="F223" s="161"/>
      <c r="G223" s="68"/>
      <c r="J223" s="12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326"/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326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327"/>
      <c r="D229" s="161"/>
      <c r="E229" s="109"/>
      <c r="F229" s="161"/>
      <c r="H229" s="109"/>
      <c r="I229" s="254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254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254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254"/>
      <c r="J232" s="117"/>
    </row>
    <row r="233" spans="1:10" s="1" customFormat="1" ht="15.9" customHeight="1">
      <c r="A233" s="44"/>
      <c r="B233" s="44"/>
      <c r="C233" s="89" t="s">
        <v>274</v>
      </c>
      <c r="D233" s="84"/>
      <c r="E233" s="44"/>
      <c r="F233" s="44"/>
      <c r="G233" s="109"/>
      <c r="H233" s="109"/>
      <c r="I233" s="254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1914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254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54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109"/>
      <c r="J242" s="24"/>
    </row>
    <row r="243" spans="1:10" s="1" customFormat="1" ht="15.9" customHeight="1">
      <c r="A243" s="109"/>
      <c r="B243" s="33"/>
      <c r="C243" s="89" t="s">
        <v>276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.9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" customHeight="1">
      <c r="A245" s="109"/>
      <c r="B245" s="33"/>
      <c r="C245" s="327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1940</v>
      </c>
      <c r="D246" s="161"/>
      <c r="E246" s="109"/>
      <c r="F246" s="161"/>
      <c r="G246" s="109"/>
      <c r="H246" s="109"/>
      <c r="I246" s="44"/>
      <c r="J246" s="119"/>
    </row>
    <row r="247" spans="1:10" s="1" customFormat="1" ht="15.9" customHeight="1">
      <c r="A247" s="109"/>
      <c r="B247" s="33"/>
      <c r="C247" s="363">
        <f>$J$135</f>
        <v>1</v>
      </c>
      <c r="D247" s="161"/>
      <c r="E247" s="109"/>
      <c r="F247" s="161"/>
      <c r="G247" s="109"/>
      <c r="H247" s="109"/>
      <c r="I247" s="32"/>
      <c r="J247" s="40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0"/>
      <c r="H251" s="109"/>
      <c r="I251" s="24"/>
      <c r="J251" s="24"/>
    </row>
    <row r="252" spans="1:10" s="1" customFormat="1" ht="15.9" customHeight="1">
      <c r="A252" s="109"/>
      <c r="B252" s="33"/>
      <c r="D252" s="161"/>
      <c r="E252" s="109"/>
      <c r="F252" s="109"/>
      <c r="G252" s="109"/>
      <c r="H252" s="109"/>
      <c r="I252" s="24"/>
      <c r="J252" s="24"/>
    </row>
    <row r="253" spans="1:10" s="1" customFormat="1" ht="15.9" customHeight="1">
      <c r="A253" s="44"/>
      <c r="B253" s="44"/>
      <c r="D253" s="84"/>
      <c r="E253" s="44"/>
      <c r="F253" s="44"/>
      <c r="G253" s="109"/>
      <c r="H253" s="109"/>
      <c r="I253" s="24"/>
      <c r="J253" s="24"/>
    </row>
    <row r="254" spans="1:10" s="1" customFormat="1" ht="15.9" customHeight="1">
      <c r="A254" s="40"/>
      <c r="B254" s="40"/>
      <c r="C254" s="89" t="s">
        <v>277</v>
      </c>
      <c r="D254" s="85"/>
      <c r="E254" s="40"/>
      <c r="F254" s="32"/>
      <c r="G254" s="109"/>
      <c r="I254" s="24"/>
      <c r="J254" s="24"/>
    </row>
    <row r="255" spans="1:10" s="1" customFormat="1" ht="15.9" customHeight="1">
      <c r="A255" s="27"/>
      <c r="B255" s="33"/>
      <c r="C255" s="328" t="s">
        <v>275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27" t="s">
        <v>273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74">
        <f>$I$136</f>
        <v>1940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63">
        <f>$J$136</f>
        <v>1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46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161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89" t="s">
        <v>278</v>
      </c>
      <c r="D264" s="161"/>
      <c r="E264" s="109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8" t="s">
        <v>379</v>
      </c>
      <c r="D265" s="328"/>
      <c r="E265" s="328"/>
      <c r="F265" s="109"/>
      <c r="G265" s="109"/>
      <c r="H265" s="109"/>
      <c r="I265" s="24"/>
      <c r="J265" s="24"/>
    </row>
    <row r="266" spans="1:10" s="1" customFormat="1" ht="15.9" customHeight="1">
      <c r="A266" s="27"/>
      <c r="B266" s="33"/>
      <c r="C266" s="327" t="s">
        <v>279</v>
      </c>
      <c r="D266" s="327"/>
      <c r="E266" s="327"/>
      <c r="F266" s="109"/>
      <c r="G266" s="109"/>
      <c r="H266" s="109"/>
      <c r="J266" s="12"/>
    </row>
    <row r="267" spans="1:10" s="1" customFormat="1" ht="15.9" customHeight="1">
      <c r="A267" s="27"/>
      <c r="B267" s="33"/>
      <c r="C267" s="374">
        <f>$I$137</f>
        <v>2500</v>
      </c>
      <c r="D267" s="161"/>
      <c r="E267" s="109"/>
      <c r="F267" s="109"/>
      <c r="G267" s="33"/>
      <c r="H267" s="33"/>
      <c r="J267" s="12"/>
    </row>
    <row r="268" spans="1:10" s="1" customFormat="1" ht="15.9" customHeight="1">
      <c r="A268" s="27"/>
      <c r="B268" s="33"/>
      <c r="C268" s="363">
        <f>$J$137+$J$138</f>
        <v>2</v>
      </c>
      <c r="D268" s="161"/>
      <c r="E268" s="10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D271" s="328"/>
      <c r="E271" s="328"/>
      <c r="F271" s="109"/>
      <c r="G271" s="109"/>
      <c r="H271" s="109"/>
      <c r="J271" s="12"/>
    </row>
    <row r="272" spans="1:10" s="1" customFormat="1" ht="15.9" customHeight="1">
      <c r="A272" s="27"/>
      <c r="B272" s="33"/>
      <c r="D272" s="328"/>
      <c r="E272" s="328"/>
      <c r="F272" s="109"/>
      <c r="G272" s="109"/>
      <c r="I272" s="24"/>
      <c r="J272" s="24"/>
    </row>
    <row r="273" spans="1:10" s="1" customFormat="1" ht="15.9" customHeight="1">
      <c r="A273" s="27"/>
      <c r="B273" s="33"/>
      <c r="C273" s="33"/>
      <c r="D273" s="161"/>
      <c r="E273" s="109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89" t="s">
        <v>280</v>
      </c>
      <c r="D274" s="162"/>
      <c r="E274" s="24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328" t="s">
        <v>649</v>
      </c>
      <c r="D275" s="328"/>
      <c r="E275" s="328"/>
      <c r="F275" s="109"/>
      <c r="G275" s="109"/>
      <c r="I275" s="109"/>
      <c r="J275" s="24"/>
    </row>
    <row r="276" spans="1:10" s="1" customFormat="1" ht="15.9" customHeight="1">
      <c r="A276" s="27"/>
      <c r="B276" s="33"/>
      <c r="C276" s="433" t="s">
        <v>650</v>
      </c>
      <c r="D276" s="327"/>
      <c r="E276" s="327"/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374">
        <f>$I$139</f>
        <v>2404</v>
      </c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363">
        <f>$J$139+$J$140</f>
        <v>2</v>
      </c>
      <c r="F278" s="109"/>
      <c r="G278" s="109"/>
      <c r="I278" s="109"/>
      <c r="J278" s="24"/>
    </row>
    <row r="279" spans="1:10" s="1" customFormat="1" ht="15.9" customHeight="1">
      <c r="A279" s="27"/>
      <c r="B279" s="33"/>
      <c r="F279" s="109"/>
      <c r="G279" s="109"/>
      <c r="H279" s="109"/>
      <c r="J279" s="12"/>
    </row>
    <row r="280" spans="1:10" s="1" customFormat="1" ht="15.9" customHeight="1">
      <c r="A280" s="27"/>
      <c r="B280" s="33"/>
      <c r="C280" s="33"/>
      <c r="D280" s="161"/>
      <c r="E280" s="109"/>
      <c r="F280" s="109"/>
      <c r="G280" s="109"/>
      <c r="H280" s="109"/>
      <c r="J280" s="12"/>
    </row>
    <row r="281" spans="1:10" s="1" customFormat="1" ht="15.9" customHeight="1">
      <c r="A281" s="27"/>
      <c r="B281" s="33"/>
      <c r="F281" s="109"/>
      <c r="G281" s="109"/>
      <c r="H281" s="109"/>
      <c r="J281" s="12"/>
    </row>
    <row r="282" spans="1:10" s="1" customFormat="1" ht="15.9" customHeight="1">
      <c r="A282" s="27"/>
      <c r="B282" s="33"/>
      <c r="F282" s="109"/>
      <c r="G282" s="109"/>
      <c r="H282" s="109"/>
      <c r="I282" s="162"/>
      <c r="J282" s="24"/>
    </row>
    <row r="283" spans="1:10" s="1" customFormat="1" ht="15.9" customHeight="1">
      <c r="A283" s="27"/>
      <c r="B283" s="33"/>
      <c r="C283" s="89" t="s">
        <v>283</v>
      </c>
      <c r="F283" s="109"/>
      <c r="G283" s="109"/>
      <c r="H283" s="109"/>
      <c r="I283" s="109"/>
      <c r="J283" s="24"/>
    </row>
    <row r="284" spans="1:10" s="1" customFormat="1" ht="15.9" customHeight="1">
      <c r="A284" s="27"/>
      <c r="B284" s="33"/>
      <c r="C284" s="94" t="s">
        <v>423</v>
      </c>
      <c r="D284" s="161"/>
      <c r="E284" s="109"/>
      <c r="F284" s="109"/>
      <c r="G284" s="109"/>
      <c r="H284" s="109"/>
      <c r="I284" s="24"/>
      <c r="J284" s="24"/>
    </row>
    <row r="285" spans="1:10" s="1" customFormat="1" ht="15.9" customHeight="1">
      <c r="A285" s="27"/>
      <c r="B285" s="33"/>
      <c r="C285" s="327" t="s">
        <v>424</v>
      </c>
      <c r="D285" s="161"/>
      <c r="E285" s="109"/>
      <c r="F285" s="109"/>
      <c r="G285" s="109"/>
      <c r="H285" s="109"/>
      <c r="I285" s="24"/>
      <c r="J285" s="24"/>
    </row>
    <row r="286" spans="1:10" s="1" customFormat="1" ht="15.9" customHeight="1">
      <c r="A286" s="27"/>
      <c r="B286" s="33"/>
      <c r="C286" s="328" t="s">
        <v>281</v>
      </c>
      <c r="D286" s="328"/>
      <c r="E286" s="328"/>
      <c r="F286" s="109"/>
      <c r="G286" s="109"/>
      <c r="I286" s="24"/>
      <c r="J286" s="24"/>
    </row>
    <row r="287" spans="1:10" s="23" customFormat="1" ht="15.9" customHeight="1">
      <c r="A287" s="27"/>
      <c r="B287" s="33"/>
      <c r="C287" s="327" t="s">
        <v>282</v>
      </c>
      <c r="D287" s="327"/>
      <c r="E287" s="327"/>
      <c r="F287" s="109"/>
      <c r="G287" s="109"/>
      <c r="H287" s="1"/>
      <c r="I287" s="109"/>
      <c r="J287" s="109"/>
    </row>
    <row r="288" spans="1:10" s="1" customFormat="1" ht="15.9" customHeight="1">
      <c r="A288" s="27"/>
      <c r="B288" s="33"/>
      <c r="C288" s="374">
        <f>$I$141</f>
        <v>101</v>
      </c>
      <c r="F288" s="109"/>
      <c r="G288" s="109"/>
      <c r="I288" s="44"/>
      <c r="J288" s="119"/>
    </row>
    <row r="289" spans="1:10" s="1" customFormat="1" ht="15.9" customHeight="1">
      <c r="A289" s="27"/>
      <c r="B289" s="33"/>
      <c r="C289" s="363">
        <f>$J$141+$J$142</f>
        <v>18</v>
      </c>
      <c r="D289" s="161"/>
      <c r="E289" s="109"/>
      <c r="F289" s="109"/>
      <c r="G289" s="109"/>
      <c r="H289" s="161"/>
      <c r="I289" s="32"/>
      <c r="J289" s="40"/>
    </row>
    <row r="290" spans="1:10" s="1" customFormat="1" ht="15.9" customHeight="1">
      <c r="A290" s="27"/>
      <c r="B290" s="33"/>
      <c r="C290" s="374">
        <f>$I$143</f>
        <v>2408</v>
      </c>
      <c r="D290" s="161"/>
      <c r="E290" s="109"/>
      <c r="F290" s="109"/>
      <c r="G290" s="109"/>
      <c r="H290" s="109"/>
      <c r="I290" s="24"/>
      <c r="J290" s="24"/>
    </row>
    <row r="291" spans="1:10" s="1" customFormat="1" ht="15.9" customHeight="1">
      <c r="A291" s="27"/>
      <c r="B291" s="33"/>
      <c r="C291" s="363">
        <f>$J$143+$J$144+$J$145+$J$146</f>
        <v>18</v>
      </c>
      <c r="D291" s="161"/>
      <c r="E291" s="109"/>
      <c r="F291" s="109"/>
      <c r="G291" s="109"/>
      <c r="H291" s="109"/>
      <c r="I291" s="24"/>
      <c r="J291" s="24"/>
    </row>
    <row r="292" spans="1:10" s="1" customFormat="1" ht="15.9" customHeight="1">
      <c r="A292" s="27"/>
      <c r="B292" s="33"/>
      <c r="C292" s="33"/>
      <c r="D292" s="161"/>
      <c r="E292" s="109"/>
      <c r="F292" s="109"/>
      <c r="G292" s="109"/>
      <c r="H292" s="109"/>
      <c r="I292" s="109"/>
      <c r="J292" s="24"/>
    </row>
    <row r="293" spans="1:10" s="1" customFormat="1" ht="15.9" customHeight="1">
      <c r="A293" s="27"/>
      <c r="B293" s="33"/>
      <c r="C293" s="23"/>
      <c r="D293" s="161"/>
      <c r="E293" s="109"/>
      <c r="F293" s="109"/>
      <c r="G293" s="109"/>
      <c r="H293" s="109"/>
      <c r="I293" s="109"/>
      <c r="J293" s="24"/>
    </row>
    <row r="294" spans="1:10" s="1" customFormat="1" ht="15.9" customHeight="1">
      <c r="A294" s="27"/>
      <c r="B294" s="33"/>
      <c r="C294" s="89" t="s">
        <v>284</v>
      </c>
      <c r="D294" s="161"/>
      <c r="E294" s="109"/>
      <c r="F294" s="109"/>
      <c r="G294" s="109"/>
      <c r="H294" s="109"/>
      <c r="I294" s="109"/>
      <c r="J294" s="24"/>
    </row>
    <row r="295" spans="1:10" s="1" customFormat="1" ht="15.9" customHeight="1">
      <c r="A295" s="27"/>
      <c r="B295" s="33"/>
      <c r="C295" s="94" t="s">
        <v>423</v>
      </c>
      <c r="D295" s="161"/>
      <c r="E295" s="109"/>
      <c r="F295" s="109"/>
      <c r="G295" s="44"/>
      <c r="H295" s="44"/>
      <c r="I295" s="109"/>
      <c r="J295" s="24"/>
    </row>
    <row r="296" spans="1:10" s="1" customFormat="1" ht="15.9" customHeight="1">
      <c r="A296" s="27"/>
      <c r="B296" s="33"/>
      <c r="C296" s="327" t="s">
        <v>424</v>
      </c>
      <c r="D296" s="328"/>
      <c r="E296" s="328"/>
      <c r="F296" s="109"/>
      <c r="G296" s="40"/>
      <c r="H296" s="32"/>
      <c r="I296" s="109"/>
      <c r="J296" s="24"/>
    </row>
    <row r="297" spans="1:10" s="1" customFormat="1" ht="15.9" customHeight="1">
      <c r="A297" s="41"/>
      <c r="B297" s="33"/>
      <c r="C297" s="328" t="s">
        <v>286</v>
      </c>
      <c r="D297" s="327"/>
      <c r="E297" s="327"/>
      <c r="F297" s="109"/>
      <c r="G297" s="109"/>
      <c r="H297" s="109"/>
      <c r="I297" s="109"/>
      <c r="J297" s="24"/>
    </row>
    <row r="298" spans="1:10" s="1" customFormat="1" ht="15.9" customHeight="1">
      <c r="A298" s="44"/>
      <c r="B298" s="44"/>
      <c r="C298" s="327" t="s">
        <v>285</v>
      </c>
      <c r="D298" s="86"/>
      <c r="E298" s="79"/>
      <c r="F298" s="44"/>
      <c r="G298" s="109"/>
      <c r="H298" s="109"/>
      <c r="I298" s="109"/>
      <c r="J298" s="24"/>
    </row>
    <row r="299" spans="1:10" s="1" customFormat="1" ht="15.9" customHeight="1">
      <c r="A299" s="40"/>
      <c r="B299" s="40"/>
      <c r="C299" s="374">
        <f>$I$147</f>
        <v>101</v>
      </c>
      <c r="D299" s="87"/>
      <c r="E299" s="80"/>
      <c r="F299" s="32"/>
      <c r="G299" s="109"/>
      <c r="H299" s="109"/>
      <c r="I299" s="109"/>
      <c r="J299" s="24"/>
    </row>
    <row r="300" spans="1:10" s="1" customFormat="1" ht="15.9" customHeight="1">
      <c r="A300" s="109"/>
      <c r="B300" s="33"/>
      <c r="C300" s="363">
        <f>$J$147</f>
        <v>18</v>
      </c>
      <c r="D300" s="15"/>
      <c r="F300" s="109"/>
      <c r="G300" s="109"/>
      <c r="H300" s="109"/>
      <c r="I300" s="109"/>
      <c r="J300" s="24"/>
    </row>
    <row r="301" spans="1:10" s="1" customFormat="1" ht="15.9" customHeight="1">
      <c r="A301" s="109"/>
      <c r="B301" s="33"/>
      <c r="C301" s="374">
        <f>$I$148</f>
        <v>2258</v>
      </c>
      <c r="D301" s="15"/>
      <c r="F301" s="109"/>
      <c r="G301" s="109"/>
      <c r="H301" s="109"/>
      <c r="I301" s="109"/>
      <c r="J301" s="24"/>
    </row>
    <row r="302" spans="1:10" s="1" customFormat="1" ht="15.9" customHeight="1">
      <c r="A302" s="109"/>
      <c r="B302" s="33"/>
      <c r="C302" s="363">
        <f>$J$148</f>
        <v>18</v>
      </c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C306" s="89" t="s">
        <v>288</v>
      </c>
      <c r="D306" s="161"/>
      <c r="E306" s="109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328" t="s">
        <v>281</v>
      </c>
      <c r="D307" s="328"/>
      <c r="E307" s="328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542" t="s">
        <v>282</v>
      </c>
      <c r="D308" s="542"/>
      <c r="E308" s="542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74">
        <f>$I$149</f>
        <v>2408</v>
      </c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63">
        <f>$J$149+$J$150</f>
        <v>2</v>
      </c>
      <c r="D310" s="328"/>
      <c r="E310" s="328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C311" s="328"/>
      <c r="D311" s="328"/>
      <c r="E311" s="328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C312" s="328"/>
      <c r="D312" s="328"/>
      <c r="E312" s="328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33"/>
      <c r="D314" s="162"/>
      <c r="E314" s="24"/>
      <c r="F314" s="109"/>
      <c r="G314" s="109"/>
      <c r="H314" s="109"/>
      <c r="I314" s="27"/>
      <c r="J314" s="99" t="str">
        <f>LEFT($J$111,13)&amp;"-03"</f>
        <v>FG-240-9P6L3R-03</v>
      </c>
    </row>
    <row r="315" spans="1:14" ht="12.75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30" customHeight="1">
      <c r="I316" s="95"/>
      <c r="J316" s="90" t="str">
        <f>$J$2</f>
        <v>HOMELIFE</v>
      </c>
      <c r="K316" s="11"/>
      <c r="L316" s="11"/>
      <c r="M316" s="2"/>
      <c r="N316" s="2"/>
    </row>
    <row r="317" spans="1:14" ht="24.9" customHeight="1">
      <c r="B317" s="255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255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s="1" customFormat="1" ht="15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  <c r="K320" s="4"/>
      <c r="L320" s="4"/>
      <c r="M320" s="4"/>
      <c r="N320" s="4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256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256"/>
      <c r="I331" s="161"/>
      <c r="J331" s="109"/>
    </row>
    <row r="332" spans="1:10" s="1" customFormat="1" ht="15" customHeight="1">
      <c r="A332" s="64" t="str">
        <f>A18</f>
        <v>240-9 Panel (6L3R)</v>
      </c>
      <c r="B332" s="92"/>
      <c r="C332" s="161"/>
      <c r="D332" s="161"/>
      <c r="E332" s="109"/>
      <c r="F332" s="256"/>
      <c r="G332" s="256"/>
      <c r="H332" s="256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92"/>
      <c r="C333" s="161"/>
      <c r="D333" s="161"/>
      <c r="E333" s="109"/>
      <c r="F333" s="256"/>
      <c r="G333" s="256"/>
      <c r="H333" s="256"/>
      <c r="I333" s="109"/>
      <c r="J333" s="109"/>
    </row>
    <row r="334" spans="1:10" s="1" customFormat="1" ht="15.9" customHeight="1">
      <c r="A334" s="109"/>
      <c r="B334" s="45"/>
      <c r="C334" s="42"/>
      <c r="D334" s="161"/>
      <c r="E334" s="109"/>
      <c r="F334" s="507"/>
      <c r="G334" s="507"/>
      <c r="H334" s="256"/>
      <c r="I334" s="109"/>
      <c r="J334" s="109"/>
    </row>
    <row r="335" spans="1:10" s="1" customFormat="1" ht="15.9" customHeight="1">
      <c r="A335" s="39"/>
      <c r="B335" s="109"/>
      <c r="C335" s="161"/>
      <c r="D335" s="161"/>
      <c r="E335" s="109"/>
      <c r="F335" s="37"/>
      <c r="G335" s="38"/>
      <c r="H335" s="109"/>
      <c r="I335" s="109"/>
      <c r="J335" s="109"/>
    </row>
    <row r="336" spans="1:10" s="1" customFormat="1" ht="15.9" customHeight="1">
      <c r="A336" s="44"/>
      <c r="C336" s="43"/>
      <c r="D336" s="161"/>
      <c r="E336" s="109"/>
      <c r="F336" s="109"/>
      <c r="G336" s="109"/>
      <c r="H336" s="109"/>
      <c r="I336" s="44"/>
      <c r="J336" s="119"/>
    </row>
    <row r="337" spans="1:10" s="1" customFormat="1" ht="15.9" customHeight="1">
      <c r="A337" s="40"/>
      <c r="C337" s="44"/>
      <c r="D337" s="84"/>
      <c r="E337" s="44"/>
      <c r="F337" s="44"/>
      <c r="G337" s="44"/>
      <c r="H337" s="44"/>
      <c r="I337" s="32"/>
      <c r="J337" s="40"/>
    </row>
    <row r="338" spans="1:10" s="1" customFormat="1" ht="15.9" customHeight="1">
      <c r="A338" s="109"/>
      <c r="C338" s="161"/>
      <c r="D338" s="85"/>
      <c r="E338" s="40"/>
      <c r="F338" s="32"/>
      <c r="G338" s="40"/>
      <c r="H338" s="32"/>
      <c r="I338" s="24"/>
      <c r="J338" s="24"/>
    </row>
    <row r="339" spans="1:10" s="1" customFormat="1" ht="15.9" customHeight="1">
      <c r="A339" s="109"/>
      <c r="C339" s="163"/>
      <c r="D339" s="161"/>
      <c r="E339" s="109"/>
      <c r="F339" s="161"/>
      <c r="G339" s="109"/>
      <c r="H339" s="109"/>
      <c r="I339" s="24"/>
      <c r="J339" s="24"/>
    </row>
    <row r="340" spans="1:10" s="1" customFormat="1" ht="15.9" customHeight="1">
      <c r="A340" s="109"/>
      <c r="B340" s="33"/>
      <c r="C340" s="161"/>
      <c r="D340" s="161"/>
      <c r="E340" s="109"/>
      <c r="F340" s="161"/>
      <c r="G340" s="109"/>
      <c r="H340" s="109"/>
      <c r="I340" s="162"/>
      <c r="J340" s="162"/>
    </row>
    <row r="341" spans="1:10" s="1" customFormat="1" ht="15.9" customHeight="1">
      <c r="A341" s="109"/>
      <c r="B341" s="33"/>
      <c r="C341" s="44"/>
      <c r="D341" s="161"/>
      <c r="E341" s="109"/>
      <c r="F341" s="161"/>
      <c r="G341" s="109"/>
      <c r="H341" s="162"/>
      <c r="I341" s="161"/>
      <c r="J341" s="161"/>
    </row>
    <row r="342" spans="1:10" s="1" customFormat="1" ht="15.9" customHeight="1">
      <c r="A342" s="109"/>
      <c r="B342" s="33"/>
      <c r="C342" s="42"/>
      <c r="D342" s="161"/>
      <c r="E342" s="109"/>
      <c r="F342" s="161"/>
      <c r="G342" s="109"/>
      <c r="H342" s="161"/>
      <c r="I342" s="161"/>
      <c r="J342" s="161"/>
    </row>
    <row r="343" spans="1:10" s="1" customFormat="1" ht="15.9" customHeight="1">
      <c r="A343" s="109"/>
      <c r="B343" s="33"/>
      <c r="C343" s="163"/>
      <c r="D343" s="161"/>
      <c r="E343" s="109"/>
      <c r="F343" s="161"/>
      <c r="G343" s="109"/>
      <c r="H343" s="161"/>
      <c r="I343" s="109"/>
      <c r="J343" s="24"/>
    </row>
    <row r="344" spans="1:10" s="1" customFormat="1" ht="15.9" customHeight="1">
      <c r="A344" s="109"/>
      <c r="B344" s="33"/>
      <c r="C344" s="161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44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3"/>
      <c r="D350" s="161"/>
      <c r="E350" s="109"/>
      <c r="F350" s="161"/>
      <c r="G350" s="109"/>
      <c r="H350" s="109"/>
      <c r="I350" s="109"/>
      <c r="J350" s="24"/>
    </row>
    <row r="351" spans="1:10" s="1" customFormat="1" ht="15.9" customHeight="1">
      <c r="A351" s="109"/>
      <c r="B351" s="33"/>
      <c r="C351" s="161"/>
      <c r="D351" s="161"/>
      <c r="E351" s="109"/>
      <c r="F351" s="161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1" customFormat="1" ht="15" customHeight="1">
      <c r="A353" s="109"/>
      <c r="B353" s="33"/>
      <c r="C353" s="33"/>
      <c r="D353" s="161"/>
      <c r="E353" s="109"/>
      <c r="F353" s="109"/>
      <c r="G353" s="109"/>
      <c r="H353" s="107"/>
      <c r="I353" s="24"/>
      <c r="J353" s="24"/>
    </row>
    <row r="354" spans="1:10" s="23" customFormat="1" ht="15.9" customHeight="1">
      <c r="A354" s="109"/>
      <c r="B354" s="33"/>
      <c r="C354" s="33"/>
      <c r="D354" s="161"/>
      <c r="E354" s="109"/>
      <c r="F354" s="109"/>
      <c r="G354" s="109"/>
      <c r="H354" s="109"/>
      <c r="I354" s="109"/>
      <c r="J354" s="109"/>
    </row>
    <row r="355" spans="1:10" s="1" customFormat="1" ht="15.9" customHeight="1">
      <c r="A355" s="44"/>
      <c r="B355" s="33"/>
      <c r="C355" s="33"/>
      <c r="D355" s="161"/>
      <c r="E355" s="109"/>
      <c r="F355" s="109"/>
      <c r="G355" s="109"/>
      <c r="H355" s="109"/>
      <c r="I355" s="44"/>
      <c r="J355" s="119"/>
    </row>
    <row r="356" spans="1:10" s="1" customFormat="1" ht="15.9" customHeight="1">
      <c r="A356" s="40"/>
      <c r="B356" s="44"/>
      <c r="C356" s="44"/>
      <c r="D356" s="84"/>
      <c r="E356" s="44"/>
      <c r="F356" s="44"/>
      <c r="G356" s="44"/>
      <c r="H356" s="44"/>
      <c r="I356" s="32"/>
      <c r="J356" s="40"/>
    </row>
    <row r="357" spans="1:10" s="1" customFormat="1" ht="15.9" customHeight="1">
      <c r="A357" s="27"/>
      <c r="B357" s="40"/>
      <c r="C357" s="44"/>
      <c r="D357" s="85"/>
      <c r="E357" s="40"/>
      <c r="F357" s="32"/>
      <c r="G357" s="40"/>
      <c r="H357" s="32"/>
      <c r="I357" s="24"/>
      <c r="J357" s="24"/>
    </row>
    <row r="358" spans="1:10" s="1" customFormat="1" ht="15.9" customHeight="1">
      <c r="A358" s="27"/>
      <c r="B358" s="33"/>
      <c r="C358" s="42"/>
      <c r="D358" s="161"/>
      <c r="E358" s="109"/>
      <c r="F358" s="109"/>
      <c r="G358" s="109"/>
      <c r="H358" s="42"/>
      <c r="I358" s="163"/>
      <c r="J358" s="163"/>
    </row>
    <row r="359" spans="1:10" s="1" customFormat="1" ht="15.9" customHeight="1">
      <c r="A359" s="27"/>
      <c r="B359" s="33"/>
      <c r="C359" s="163"/>
      <c r="D359" s="161"/>
      <c r="E359" s="109"/>
      <c r="F359" s="109"/>
      <c r="G359" s="109"/>
      <c r="H359" s="163"/>
      <c r="I359" s="161"/>
      <c r="J359" s="161"/>
    </row>
    <row r="360" spans="1:10" s="1" customFormat="1" ht="15.9" customHeight="1">
      <c r="A360" s="27"/>
      <c r="B360" s="33"/>
      <c r="C360" s="161"/>
      <c r="D360" s="161"/>
      <c r="E360" s="109"/>
      <c r="F360" s="109"/>
      <c r="G360" s="109"/>
      <c r="H360" s="161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46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161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D372" s="161"/>
      <c r="E372" s="109"/>
      <c r="F372" s="109"/>
      <c r="G372" s="33"/>
      <c r="H372" s="33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42"/>
      <c r="I376" s="163"/>
      <c r="J376" s="163"/>
    </row>
    <row r="377" spans="1:10" s="1" customFormat="1" ht="15.9" customHeight="1">
      <c r="A377" s="27"/>
      <c r="B377" s="33"/>
      <c r="C377" s="47"/>
      <c r="D377" s="161"/>
      <c r="E377" s="109"/>
      <c r="F377" s="109"/>
      <c r="G377" s="109"/>
      <c r="H377" s="163"/>
      <c r="I377" s="161"/>
      <c r="J377" s="161"/>
    </row>
    <row r="378" spans="1:10" s="1" customFormat="1" ht="15.9" customHeight="1">
      <c r="A378" s="27"/>
      <c r="B378" s="33"/>
      <c r="C378" s="46"/>
      <c r="D378" s="161"/>
      <c r="E378" s="109"/>
      <c r="F378" s="109"/>
      <c r="G378" s="109"/>
      <c r="H378" s="161"/>
      <c r="I378" s="24"/>
      <c r="J378" s="24"/>
    </row>
    <row r="379" spans="1:10" s="1" customFormat="1" ht="15.9" customHeight="1">
      <c r="A379" s="27"/>
      <c r="B379" s="33"/>
      <c r="C379" s="161"/>
      <c r="D379" s="161"/>
      <c r="E379" s="109"/>
      <c r="F379" s="109"/>
      <c r="G379" s="109"/>
      <c r="H379" s="42"/>
      <c r="I379" s="163"/>
      <c r="J379" s="163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3"/>
      <c r="I380" s="161"/>
      <c r="J380" s="161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1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64"/>
      <c r="J388" s="16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4"/>
      <c r="I389" s="165"/>
      <c r="J389" s="165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5"/>
      <c r="I390" s="161"/>
      <c r="J390" s="161"/>
    </row>
    <row r="391" spans="1:10" s="1" customFormat="1" ht="15.9" customHeight="1">
      <c r="A391" s="27"/>
      <c r="B391" s="33"/>
      <c r="C391" s="47"/>
      <c r="D391" s="161"/>
      <c r="E391" s="109"/>
      <c r="F391" s="109"/>
      <c r="G391" s="109"/>
      <c r="H391" s="161"/>
      <c r="I391" s="24"/>
      <c r="J391" s="24"/>
    </row>
    <row r="392" spans="1:10" s="1" customFormat="1" ht="15.9" customHeight="1">
      <c r="A392" s="27"/>
      <c r="B392" s="33"/>
      <c r="C392" s="46"/>
      <c r="D392" s="161"/>
      <c r="E392" s="109"/>
      <c r="F392" s="109"/>
      <c r="G392" s="109"/>
      <c r="H392" s="109"/>
      <c r="I392" s="109"/>
      <c r="J392" s="24"/>
    </row>
    <row r="393" spans="1:10" s="1" customFormat="1" ht="15.9" customHeight="1">
      <c r="A393" s="27"/>
      <c r="B393" s="33"/>
      <c r="C393" s="161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1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23" customFormat="1" ht="15.9" customHeight="1">
      <c r="A405" s="41"/>
      <c r="B405" s="33"/>
      <c r="C405" s="33"/>
      <c r="D405" s="161"/>
      <c r="E405" s="109"/>
      <c r="F405" s="109"/>
      <c r="G405" s="109"/>
      <c r="H405" s="109"/>
      <c r="I405" s="109"/>
      <c r="J405" s="109"/>
    </row>
    <row r="406" spans="1:10" s="1" customFormat="1" ht="15.9" customHeight="1">
      <c r="A406" s="44"/>
      <c r="B406" s="33"/>
      <c r="C406" s="33"/>
      <c r="D406" s="161"/>
      <c r="E406" s="109"/>
      <c r="F406" s="109"/>
      <c r="G406" s="109"/>
      <c r="H406" s="109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109"/>
      <c r="B419" s="44"/>
      <c r="C419" s="44"/>
      <c r="D419" s="84"/>
      <c r="E419" s="44"/>
      <c r="F419" s="44"/>
      <c r="G419" s="44"/>
      <c r="H419" s="44"/>
      <c r="I419" s="24"/>
      <c r="J419" s="24"/>
      <c r="K419" s="71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LEFT($J$111,13)&amp;"-04"</f>
        <v>FG-240-9P6L3R-04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B423" s="33"/>
      <c r="C423" s="33"/>
      <c r="D423" s="161"/>
      <c r="E423" s="109"/>
      <c r="F423" s="109"/>
      <c r="G423" s="109"/>
      <c r="H423" s="109"/>
      <c r="I423" s="95"/>
      <c r="J423" s="90" t="str">
        <f>J2</f>
        <v>HOMELIFE</v>
      </c>
      <c r="K423" s="11"/>
      <c r="L423" s="11"/>
      <c r="M423" s="2"/>
      <c r="N423" s="2"/>
    </row>
    <row r="424" spans="1:14" ht="24.9" customHeight="1">
      <c r="B424" s="255"/>
      <c r="C424" s="5"/>
      <c r="D424" s="95"/>
      <c r="E424" s="95"/>
      <c r="F424" s="95"/>
      <c r="G424" s="95"/>
      <c r="H424" s="95"/>
      <c r="I424" s="28"/>
      <c r="J424" s="91" t="str">
        <f>J3</f>
        <v>Fabricators Guide</v>
      </c>
      <c r="K424" s="11"/>
      <c r="L424" s="11"/>
      <c r="M424" s="2"/>
      <c r="N424" s="2"/>
    </row>
    <row r="425" spans="1:14" ht="24.9" customHeight="1">
      <c r="B425" s="255"/>
      <c r="C425" s="28"/>
      <c r="D425" s="28"/>
      <c r="E425" s="28"/>
      <c r="F425" s="28"/>
      <c r="G425" s="28"/>
      <c r="H425" s="28"/>
      <c r="I425" s="28"/>
      <c r="J425" s="91" t="str">
        <f>J4</f>
        <v xml:space="preserve">240 Series Bi Fold Door </v>
      </c>
      <c r="K425" s="48"/>
      <c r="L425" s="48"/>
      <c r="M425" s="4"/>
      <c r="N425" s="4"/>
    </row>
    <row r="426" spans="1:14" s="1" customFormat="1" ht="15" customHeight="1" thickBot="1">
      <c r="A426" s="78"/>
      <c r="B426" s="8"/>
      <c r="C426" s="28"/>
      <c r="D426" s="28"/>
      <c r="E426" s="28"/>
      <c r="F426" s="28"/>
      <c r="G426" s="28"/>
      <c r="H426" s="2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  <c r="K427" s="4"/>
      <c r="L427" s="4"/>
      <c r="M427" s="4"/>
      <c r="N427" s="4"/>
    </row>
    <row r="428" spans="1:14" s="1" customFormat="1" ht="15" customHeight="1">
      <c r="A428" s="193"/>
      <c r="B428" s="194"/>
      <c r="C428" s="194"/>
      <c r="D428" s="194"/>
      <c r="E428" s="194"/>
      <c r="F428" s="194"/>
      <c r="G428" s="194"/>
      <c r="H428" s="194"/>
      <c r="I428" s="193"/>
      <c r="K428" s="56"/>
      <c r="L428" s="56"/>
      <c r="M428" s="56"/>
      <c r="N428" s="56"/>
    </row>
    <row r="429" spans="1:14" s="1" customFormat="1" ht="15" customHeight="1">
      <c r="A429" s="45"/>
      <c r="B429" s="193"/>
      <c r="C429" s="193"/>
      <c r="D429" s="193"/>
      <c r="E429" s="193"/>
      <c r="F429" s="193"/>
      <c r="G429" s="193"/>
      <c r="H429" s="193"/>
      <c r="I429" s="44"/>
      <c r="J429" s="119"/>
    </row>
    <row r="430" spans="1:14" s="1" customFormat="1" ht="15" customHeight="1">
      <c r="A430" s="109"/>
      <c r="B430" s="39"/>
      <c r="C430" s="33"/>
      <c r="D430" s="161"/>
      <c r="E430" s="35"/>
      <c r="F430" s="39"/>
      <c r="G430" s="193"/>
      <c r="H430" s="44"/>
      <c r="I430" s="44"/>
      <c r="J430" s="119"/>
    </row>
    <row r="431" spans="1:14" s="1" customFormat="1" ht="15" customHeight="1">
      <c r="A431" s="109"/>
      <c r="B431" s="33"/>
      <c r="C431" s="33"/>
      <c r="D431" s="161"/>
      <c r="E431" s="35"/>
      <c r="F431" s="161"/>
      <c r="G431" s="193"/>
      <c r="H431" s="44"/>
      <c r="I431" s="44"/>
      <c r="J431" s="119"/>
    </row>
    <row r="432" spans="1:14" s="1" customFormat="1" ht="15" customHeight="1">
      <c r="A432" s="109"/>
      <c r="B432" s="56"/>
      <c r="C432" s="56"/>
      <c r="D432" s="30"/>
      <c r="E432" s="29"/>
      <c r="F432" s="30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109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3"/>
      <c r="H434" s="44"/>
      <c r="I434" s="44"/>
      <c r="J434" s="119"/>
    </row>
    <row r="435" spans="1:10" s="1" customFormat="1" ht="15" customHeight="1">
      <c r="A435" s="109"/>
      <c r="B435" s="33"/>
      <c r="C435" s="161"/>
      <c r="D435" s="161"/>
      <c r="E435" s="35"/>
      <c r="F435" s="161"/>
      <c r="H435" s="44"/>
      <c r="I435" s="44"/>
      <c r="J435" s="119"/>
    </row>
    <row r="436" spans="1:10" s="1" customFormat="1" ht="15" customHeight="1">
      <c r="A436" s="39"/>
      <c r="B436" s="33"/>
      <c r="C436" s="42"/>
      <c r="D436" s="161"/>
      <c r="E436" s="109"/>
      <c r="F436" s="69"/>
      <c r="H436" s="44"/>
      <c r="I436" s="44"/>
      <c r="J436" s="119"/>
    </row>
    <row r="437" spans="1:10" s="1" customFormat="1" ht="15" customHeight="1">
      <c r="A437" s="92"/>
      <c r="B437" s="39"/>
      <c r="C437" s="163"/>
      <c r="D437" s="161"/>
      <c r="E437" s="109"/>
      <c r="F437" s="68"/>
      <c r="H437" s="44"/>
      <c r="I437" s="44"/>
      <c r="J437" s="119"/>
    </row>
    <row r="438" spans="1:10" s="1" customFormat="1" ht="15" customHeight="1">
      <c r="B438" s="92"/>
      <c r="C438" s="161"/>
      <c r="D438" s="161"/>
      <c r="E438" s="109"/>
      <c r="F438" s="256"/>
      <c r="H438" s="44"/>
      <c r="I438" s="44"/>
      <c r="J438" s="119"/>
    </row>
    <row r="439" spans="1:10" s="1" customFormat="1" ht="15" customHeight="1">
      <c r="A439" s="64" t="str">
        <f>A18</f>
        <v>240-9 Panel (6L3R)</v>
      </c>
      <c r="B439" s="92"/>
      <c r="C439" s="161"/>
      <c r="D439" s="161"/>
      <c r="E439" s="109"/>
      <c r="F439" s="256"/>
      <c r="H439" s="44"/>
      <c r="I439" s="44"/>
      <c r="J439" s="119"/>
    </row>
    <row r="440" spans="1:10" s="1" customFormat="1" ht="15.9" customHeight="1">
      <c r="A440" s="76" t="str">
        <f>A19</f>
        <v xml:space="preserve">Outside Bi Fold Door </v>
      </c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44"/>
      <c r="B442" s="38"/>
      <c r="C442" s="43"/>
      <c r="D442" s="161"/>
      <c r="E442" s="109"/>
      <c r="F442" s="109"/>
      <c r="H442" s="44"/>
      <c r="I442" s="44"/>
      <c r="J442" s="119"/>
    </row>
    <row r="443" spans="1:10" s="1" customFormat="1" ht="15.9" customHeight="1">
      <c r="A443" s="40"/>
      <c r="C443" s="44"/>
      <c r="D443" s="84"/>
      <c r="E443" s="44"/>
      <c r="F443" s="44"/>
      <c r="H443" s="44"/>
      <c r="I443" s="44"/>
      <c r="J443" s="119"/>
    </row>
    <row r="444" spans="1:10" s="1" customFormat="1" ht="35.1" customHeight="1">
      <c r="A444" s="109"/>
      <c r="C444" s="161"/>
      <c r="D444" s="85"/>
      <c r="E444" s="40"/>
      <c r="F444" s="32"/>
      <c r="H444" s="44"/>
      <c r="I444" s="24"/>
      <c r="J444" s="24"/>
    </row>
    <row r="445" spans="1:10" ht="15.6">
      <c r="B445" s="64"/>
      <c r="C445" s="163"/>
      <c r="D445" s="161"/>
      <c r="E445" s="109"/>
      <c r="F445" s="161"/>
      <c r="G445" s="109"/>
      <c r="H445" s="109"/>
    </row>
    <row r="450" spans="1:10" s="1" customFormat="1" ht="15.9" customHeight="1">
      <c r="A450" s="109"/>
      <c r="B450"/>
      <c r="C450"/>
      <c r="D450" s="81"/>
      <c r="E450"/>
      <c r="F450"/>
      <c r="G450"/>
      <c r="H450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44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1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163"/>
      <c r="D456" s="161"/>
      <c r="E456" s="109"/>
      <c r="F456" s="161"/>
      <c r="G456" s="109"/>
      <c r="H456" s="109"/>
      <c r="I456" s="109"/>
      <c r="J456" s="24"/>
    </row>
    <row r="457" spans="1:10" s="1" customFormat="1" ht="15.9" customHeight="1">
      <c r="A457" s="109"/>
      <c r="B457" s="33"/>
      <c r="C457" s="161"/>
      <c r="D457" s="161"/>
      <c r="E457" s="109"/>
      <c r="F457" s="161"/>
      <c r="G457" s="109"/>
      <c r="H457" s="109"/>
      <c r="I457" s="24"/>
      <c r="J457" s="24"/>
    </row>
    <row r="458" spans="1:10" s="1" customFormat="1" ht="15.9" customHeight="1">
      <c r="A458" s="109"/>
      <c r="B458" s="33"/>
      <c r="C458" s="33"/>
      <c r="D458" s="161"/>
      <c r="E458" s="109"/>
      <c r="F458" s="109"/>
      <c r="G458" s="109"/>
      <c r="H458" s="109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7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" customHeight="1">
      <c r="A476" s="109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23" customFormat="1" ht="15.9" customHeight="1">
      <c r="A477" s="109"/>
      <c r="B477" s="33"/>
      <c r="C477" s="33"/>
      <c r="D477" s="161"/>
      <c r="E477" s="109"/>
      <c r="F477" s="109"/>
      <c r="G477" s="109"/>
      <c r="H477" s="109"/>
      <c r="I477" s="109"/>
      <c r="J477" s="109"/>
    </row>
    <row r="478" spans="1:10" s="1" customFormat="1" ht="15.9" customHeight="1">
      <c r="A478" s="44"/>
      <c r="B478" s="33"/>
      <c r="C478" s="33"/>
      <c r="D478" s="161"/>
      <c r="E478" s="109"/>
      <c r="F478" s="109"/>
      <c r="G478" s="109"/>
      <c r="H478" s="109"/>
      <c r="I478" s="44"/>
      <c r="J478" s="119"/>
    </row>
    <row r="479" spans="1:10" s="1" customFormat="1" ht="15.9" customHeight="1">
      <c r="A479" s="40"/>
      <c r="B479" s="44"/>
      <c r="C479" s="44"/>
      <c r="D479" s="84"/>
      <c r="E479" s="44"/>
      <c r="F479" s="44"/>
      <c r="G479" s="44"/>
      <c r="H479" s="44"/>
      <c r="I479" s="32"/>
      <c r="J479" s="40"/>
    </row>
    <row r="480" spans="1:10" s="1" customFormat="1" ht="15.9" customHeight="1">
      <c r="A480" s="27"/>
      <c r="B480" s="40"/>
      <c r="C480" s="44"/>
      <c r="D480" s="85"/>
      <c r="E480" s="40"/>
      <c r="F480" s="32"/>
      <c r="G480" s="40"/>
      <c r="H480" s="32"/>
      <c r="I480" s="24"/>
      <c r="J480" s="24"/>
    </row>
    <row r="481" spans="1:10" s="1" customFormat="1" ht="15.9" customHeight="1">
      <c r="A481" s="27"/>
      <c r="B481" s="33"/>
      <c r="C481" s="42"/>
      <c r="D481" s="161"/>
      <c r="E481" s="109"/>
      <c r="F481" s="109"/>
      <c r="G481" s="109"/>
      <c r="H481" s="42"/>
      <c r="I481" s="67"/>
      <c r="J481" s="165"/>
    </row>
    <row r="482" spans="1:10" s="1" customFormat="1" ht="15.9" customHeight="1">
      <c r="A482" s="27"/>
      <c r="B482" s="33"/>
      <c r="C482" s="163"/>
      <c r="D482" s="161"/>
      <c r="E482" s="109"/>
      <c r="F482" s="109"/>
      <c r="G482" s="109"/>
      <c r="H482" s="67"/>
      <c r="I482" s="38"/>
      <c r="J482" s="109"/>
    </row>
    <row r="483" spans="1:10" s="1" customFormat="1" ht="15.9" customHeight="1">
      <c r="A483" s="27"/>
      <c r="B483" s="33"/>
      <c r="C483" s="161"/>
      <c r="D483" s="161"/>
      <c r="E483" s="109"/>
      <c r="F483" s="109"/>
      <c r="G483" s="109"/>
      <c r="H483" s="38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46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161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D495" s="161"/>
      <c r="E495" s="109"/>
      <c r="F495" s="109"/>
      <c r="G495" s="33"/>
      <c r="H495" s="33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42"/>
      <c r="I499" s="67"/>
      <c r="J499" s="165"/>
    </row>
    <row r="500" spans="1:10" s="1" customFormat="1" ht="15.9" customHeight="1">
      <c r="A500" s="27"/>
      <c r="B500" s="33"/>
      <c r="C500" s="47"/>
      <c r="D500" s="161"/>
      <c r="E500" s="109"/>
      <c r="F500" s="109"/>
      <c r="G500" s="109"/>
      <c r="H500" s="67"/>
      <c r="I500" s="38"/>
      <c r="J500" s="109"/>
    </row>
    <row r="501" spans="1:10" s="1" customFormat="1" ht="15.9" customHeight="1">
      <c r="A501" s="27"/>
      <c r="B501" s="33"/>
      <c r="C501" s="46"/>
      <c r="D501" s="161"/>
      <c r="E501" s="109"/>
      <c r="F501" s="109"/>
      <c r="G501" s="109"/>
      <c r="H501" s="38"/>
      <c r="I501" s="24"/>
      <c r="J501" s="24"/>
    </row>
    <row r="502" spans="1:10" s="1" customFormat="1" ht="15.9" customHeight="1">
      <c r="A502" s="27"/>
      <c r="B502" s="33"/>
      <c r="C502" s="161"/>
      <c r="D502" s="161"/>
      <c r="E502" s="109"/>
      <c r="F502" s="109"/>
      <c r="G502" s="109"/>
      <c r="H502" s="42"/>
      <c r="I502" s="67"/>
      <c r="J502" s="165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67"/>
      <c r="I503" s="38"/>
      <c r="J503" s="109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38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38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38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38"/>
      <c r="I507" s="24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38"/>
      <c r="I508" s="24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24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24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109"/>
      <c r="J512" s="24"/>
    </row>
    <row r="513" spans="1:15" s="1" customFormat="1" ht="15.9" customHeight="1">
      <c r="A513" s="27"/>
      <c r="B513" s="33"/>
      <c r="C513" s="33"/>
      <c r="D513" s="161"/>
      <c r="E513" s="109"/>
      <c r="F513" s="109"/>
      <c r="G513" s="109"/>
      <c r="H513" s="109"/>
      <c r="I513" s="43"/>
      <c r="J513" s="107"/>
    </row>
    <row r="514" spans="1:15" s="1" customFormat="1" ht="15.9" customHeight="1">
      <c r="A514" s="44"/>
      <c r="B514" s="44"/>
      <c r="C514" s="44"/>
      <c r="D514" s="84"/>
      <c r="E514" s="44"/>
      <c r="F514" s="44"/>
      <c r="G514" s="44"/>
      <c r="H514" s="44"/>
      <c r="I514" s="44"/>
      <c r="J514" s="119"/>
    </row>
    <row r="515" spans="1:15" s="1" customFormat="1" ht="15.9" customHeight="1">
      <c r="A515" s="44"/>
      <c r="B515" s="44"/>
      <c r="C515" s="44"/>
      <c r="D515" s="84"/>
      <c r="E515" s="44"/>
      <c r="F515" s="44"/>
      <c r="G515" s="44"/>
      <c r="H515" s="44"/>
      <c r="I515" s="44"/>
      <c r="J515" s="119"/>
    </row>
    <row r="516" spans="1:15" s="1" customFormat="1" ht="15.9" customHeight="1">
      <c r="B516" s="44"/>
      <c r="C516" s="44"/>
      <c r="D516" s="84"/>
      <c r="E516" s="44"/>
      <c r="F516" s="44"/>
      <c r="G516" s="44"/>
      <c r="H516" s="44"/>
    </row>
    <row r="517" spans="1:15" s="1" customFormat="1" ht="15.9" customHeight="1" thickBot="1"/>
    <row r="518" spans="1:15" s="1" customFormat="1" ht="24.9" customHeight="1" thickBot="1">
      <c r="A518" s="502" t="s">
        <v>401</v>
      </c>
      <c r="B518" s="503"/>
      <c r="C518" s="503"/>
      <c r="D518" s="503"/>
      <c r="E518" s="503"/>
      <c r="F518" s="503"/>
      <c r="G518" s="503"/>
      <c r="H518" s="503"/>
      <c r="I518" s="503"/>
      <c r="J518" s="504"/>
    </row>
    <row r="519" spans="1:15" s="1" customFormat="1" ht="35.1" customHeight="1" thickBot="1">
      <c r="A519" s="146" t="s">
        <v>2</v>
      </c>
      <c r="B519" s="147" t="s">
        <v>3</v>
      </c>
      <c r="C519" s="147" t="s">
        <v>3</v>
      </c>
      <c r="D519" s="148" t="s">
        <v>35</v>
      </c>
      <c r="E519" s="147" t="s">
        <v>5</v>
      </c>
      <c r="F519" s="320" t="s">
        <v>27</v>
      </c>
      <c r="G519" s="154"/>
      <c r="H519" s="148" t="s">
        <v>27</v>
      </c>
      <c r="I519" s="148" t="s">
        <v>26</v>
      </c>
      <c r="J519" s="149" t="s">
        <v>6</v>
      </c>
      <c r="N519" s="249" t="s">
        <v>3</v>
      </c>
      <c r="O519" s="249" t="s">
        <v>3</v>
      </c>
    </row>
    <row r="520" spans="1:15" s="1" customFormat="1" ht="15.9" customHeight="1">
      <c r="A520" s="150">
        <f>IF(C520="","",1)</f>
        <v>1</v>
      </c>
      <c r="B520" s="121" t="str">
        <f>IF($D$127=5,N520,IF($D$127=6,N521,IF($D$127=8,N522,IF($D$127=10,N523,IF($D$127=12,N524,IF($D$127=14,N525,IF($D$127=18,N526,IF($D$127=20,N527,IF($D$127=22,N528,)))))))))</f>
        <v>กระจก 8 mm (สูง) (กว้าง)</v>
      </c>
      <c r="C520" s="121" t="str">
        <f>IF($D$127=5,O520,IF($D$127=6,O521,IF($D$127=8,O522,IF($D$127=10,O523,IF($D$127=12,O524,IF($D$127=14,O525,IF($D$127=18,O526,IF($D$127=20,O527,IF($D$127=22,O528,)))))))))</f>
        <v>GLASS thk.8 mm (H) (W)</v>
      </c>
      <c r="D520" s="124">
        <f>$J$123-215</f>
        <v>2285</v>
      </c>
      <c r="E520" s="123" t="s">
        <v>11</v>
      </c>
      <c r="F520" s="527" t="s">
        <v>271</v>
      </c>
      <c r="G520" s="528"/>
      <c r="H520" s="123" t="s">
        <v>303</v>
      </c>
      <c r="I520" s="124">
        <f>(($J$126-185-(113.25*8))/9)-13</f>
        <v>88</v>
      </c>
      <c r="J520" s="151">
        <f>$J$120*9</f>
        <v>9</v>
      </c>
      <c r="N520" s="19" t="s">
        <v>194</v>
      </c>
      <c r="O520" s="19" t="s">
        <v>195</v>
      </c>
    </row>
    <row r="521" spans="1:15" s="1" customFormat="1" ht="15.75" customHeight="1">
      <c r="A521" s="152"/>
      <c r="B521" s="127"/>
      <c r="C521" s="127"/>
      <c r="D521" s="128" t="s">
        <v>0</v>
      </c>
      <c r="E521" s="129"/>
      <c r="F521" s="155"/>
      <c r="G521" s="156"/>
      <c r="H521" s="127"/>
      <c r="I521" s="130"/>
      <c r="J521" s="153"/>
      <c r="N521" s="19" t="s">
        <v>53</v>
      </c>
      <c r="O521" s="19" t="s">
        <v>54</v>
      </c>
    </row>
    <row r="522" spans="1:15" s="1" customFormat="1" ht="15.9" customHeight="1">
      <c r="A522" s="152"/>
      <c r="B522" s="127"/>
      <c r="C522" s="127"/>
      <c r="D522" s="128"/>
      <c r="E522" s="129"/>
      <c r="F522" s="155"/>
      <c r="G522" s="156"/>
      <c r="H522" s="129"/>
      <c r="I522" s="130"/>
      <c r="J522" s="153"/>
      <c r="N522" s="19" t="s">
        <v>257</v>
      </c>
      <c r="O522" s="19" t="s">
        <v>258</v>
      </c>
    </row>
    <row r="523" spans="1:15" s="1" customFormat="1" ht="15.9" customHeight="1">
      <c r="A523" s="129" t="str">
        <f>IF(B523="","",+A521+1)</f>
        <v/>
      </c>
      <c r="B523" s="127"/>
      <c r="C523" s="127"/>
      <c r="D523" s="128"/>
      <c r="E523" s="129"/>
      <c r="F523" s="155"/>
      <c r="G523" s="157"/>
      <c r="H523" s="129"/>
      <c r="I523" s="144"/>
      <c r="J523" s="130"/>
      <c r="N523" s="19" t="s">
        <v>259</v>
      </c>
      <c r="O523" s="19" t="s">
        <v>265</v>
      </c>
    </row>
    <row r="524" spans="1:15" s="1" customFormat="1" ht="15.9" customHeight="1">
      <c r="A524" s="135" t="str">
        <f>IF(B524="","",+A523+1)</f>
        <v/>
      </c>
      <c r="B524" s="133"/>
      <c r="C524" s="133"/>
      <c r="D524" s="134"/>
      <c r="E524" s="135"/>
      <c r="F524" s="158"/>
      <c r="G524" s="159"/>
      <c r="H524" s="135"/>
      <c r="I524" s="145"/>
      <c r="J524" s="136"/>
      <c r="N524" s="19" t="s">
        <v>260</v>
      </c>
      <c r="O524" s="19" t="s">
        <v>266</v>
      </c>
    </row>
    <row r="525" spans="1:15" s="1" customFormat="1" ht="15.9" customHeight="1">
      <c r="A525" s="17"/>
      <c r="B525" s="56"/>
      <c r="C525" s="56"/>
      <c r="D525" s="30"/>
      <c r="E525" s="17"/>
      <c r="F525" s="17"/>
      <c r="G525" s="17"/>
      <c r="H525" s="109"/>
      <c r="I525" s="109"/>
      <c r="J525" s="24"/>
      <c r="N525" s="19" t="s">
        <v>261</v>
      </c>
      <c r="O525" s="19" t="s">
        <v>267</v>
      </c>
    </row>
    <row r="526" spans="1:15">
      <c r="H526" s="294"/>
      <c r="I526" s="294"/>
      <c r="J526" s="99" t="str">
        <f>LEFT($J$111,13)&amp;"-05"</f>
        <v>FG-240-9P6L3R-05</v>
      </c>
      <c r="N526" s="19" t="s">
        <v>262</v>
      </c>
      <c r="O526" s="19" t="s">
        <v>268</v>
      </c>
    </row>
    <row r="527" spans="1:15">
      <c r="N527" s="19" t="s">
        <v>263</v>
      </c>
      <c r="O527" s="19" t="s">
        <v>269</v>
      </c>
    </row>
    <row r="528" spans="1:15">
      <c r="N528" s="19" t="s">
        <v>264</v>
      </c>
      <c r="O528" s="19" t="s">
        <v>270</v>
      </c>
    </row>
  </sheetData>
  <sheetProtection selectLockedCells="1" selectUnlockedCells="1"/>
  <dataConsolidate function="product">
    <dataRefs count="1">
      <dataRef ref="N129:N131" sheet="240_7Panel(6L1R)" r:id="rId1"/>
    </dataRefs>
  </dataConsolidate>
  <mergeCells count="46">
    <mergeCell ref="H169:H170"/>
    <mergeCell ref="I152:J152"/>
    <mergeCell ref="I153:J153"/>
    <mergeCell ref="I154:J154"/>
    <mergeCell ref="D123:G123"/>
    <mergeCell ref="D125:G125"/>
    <mergeCell ref="D129:G129"/>
    <mergeCell ref="D127:G127"/>
    <mergeCell ref="A131:J131"/>
    <mergeCell ref="A171:J171"/>
    <mergeCell ref="I156:J156"/>
    <mergeCell ref="D157:D158"/>
    <mergeCell ref="H157:H158"/>
    <mergeCell ref="I157:J158"/>
    <mergeCell ref="I159:J159"/>
    <mergeCell ref="I160:J163"/>
    <mergeCell ref="I164:J165"/>
    <mergeCell ref="I166:J166"/>
    <mergeCell ref="D161:D166"/>
    <mergeCell ref="D167:D168"/>
    <mergeCell ref="D169:D170"/>
    <mergeCell ref="D159:D160"/>
    <mergeCell ref="H161:H166"/>
    <mergeCell ref="H159:H160"/>
    <mergeCell ref="H167:H168"/>
    <mergeCell ref="A213:J213"/>
    <mergeCell ref="F334:G334"/>
    <mergeCell ref="F330:G330"/>
    <mergeCell ref="F331:G331"/>
    <mergeCell ref="A6:J6"/>
    <mergeCell ref="H120:I121"/>
    <mergeCell ref="J120:J121"/>
    <mergeCell ref="A117:J117"/>
    <mergeCell ref="D119:G119"/>
    <mergeCell ref="D121:G121"/>
    <mergeCell ref="I155:J155"/>
    <mergeCell ref="H123:I124"/>
    <mergeCell ref="J123:J124"/>
    <mergeCell ref="A125:B125"/>
    <mergeCell ref="H126:I127"/>
    <mergeCell ref="J126:J127"/>
    <mergeCell ref="C308:E308"/>
    <mergeCell ref="F520:G520"/>
    <mergeCell ref="A518:J518"/>
    <mergeCell ref="A427:J427"/>
    <mergeCell ref="A320:J320"/>
  </mergeCells>
  <dataValidations count="4">
    <dataValidation type="list" allowBlank="1" showInputMessage="1" showErrorMessage="1" sqref="C206">
      <formula1>$O$173:$O$191</formula1>
    </dataValidation>
    <dataValidation type="list" allowBlank="1" showInputMessage="1" showErrorMessage="1" sqref="D123:G123">
      <formula1>$P$118:$P$127</formula1>
    </dataValidation>
    <dataValidation type="list" allowBlank="1" showInputMessage="1" showErrorMessage="1" sqref="D127:G127">
      <formula1>$N$119:$N$127</formula1>
    </dataValidation>
    <dataValidation type="list" allowBlank="1" showInputMessage="1" showErrorMessage="1" sqref="D129:G129">
      <formula1>$O$119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16383" man="1"/>
    <brk id="421" max="9" man="1"/>
  </rowBreaks>
  <drawing r:id="rId3"/>
  <legacyDrawing r:id="rId4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4">
    <tabColor theme="5" tint="-0.249977111117893"/>
  </sheetPr>
  <dimension ref="A1:X528"/>
  <sheetViews>
    <sheetView showGridLines="0" view="pageBreakPreview" topLeftCell="A115" zoomScale="75" zoomScaleNormal="75" zoomScaleSheetLayoutView="75" workbookViewId="0">
      <selection activeCell="H126" sqref="H126:I127"/>
    </sheetView>
  </sheetViews>
  <sheetFormatPr defaultRowHeight="14.4" outlineLevelRow="1" outlineLevelCol="1"/>
  <cols>
    <col min="1" max="1" width="7" customWidth="1"/>
    <col min="2" max="2" width="40.6640625" customWidth="1"/>
    <col min="3" max="3" width="56.664062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7.88671875" bestFit="1" customWidth="1"/>
    <col min="9" max="9" width="15.109375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19.8867187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65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65"/>
      <c r="E3" s="265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206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/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>
      <c r="G55" s="10"/>
    </row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356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65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65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8">
      <c r="A118" s="12"/>
      <c r="C118" s="8"/>
      <c r="D118" s="15"/>
      <c r="E118" s="13"/>
      <c r="J118" s="264"/>
      <c r="K118" s="11"/>
      <c r="L118" s="56"/>
      <c r="M118" s="56"/>
      <c r="N118" s="243" t="s">
        <v>191</v>
      </c>
      <c r="O118" s="12" t="s">
        <v>227</v>
      </c>
      <c r="P118" s="247" t="s">
        <v>16</v>
      </c>
    </row>
    <row r="119" spans="1:16" s="1" customFormat="1" ht="15" customHeight="1">
      <c r="A119" s="12"/>
      <c r="C119" s="110" t="s">
        <v>635</v>
      </c>
      <c r="D119" s="524" t="s">
        <v>674</v>
      </c>
      <c r="E119" s="525"/>
      <c r="F119" s="525"/>
      <c r="G119" s="526"/>
      <c r="I119" s="16"/>
      <c r="J119" s="12"/>
      <c r="N119" s="244">
        <v>5</v>
      </c>
      <c r="O119" s="12" t="s">
        <v>243</v>
      </c>
      <c r="P119" s="335" t="s">
        <v>389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30</v>
      </c>
      <c r="N120" s="245">
        <v>6</v>
      </c>
      <c r="O120" s="12" t="s">
        <v>244</v>
      </c>
      <c r="P120" s="336" t="s">
        <v>390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8</v>
      </c>
      <c r="P121" s="336" t="s">
        <v>391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10</v>
      </c>
      <c r="P122" s="336" t="s">
        <v>392</v>
      </c>
    </row>
    <row r="123" spans="1:16" s="1" customFormat="1" ht="15" customHeight="1">
      <c r="A123" s="12"/>
      <c r="C123" s="110" t="s">
        <v>629</v>
      </c>
      <c r="D123" s="524" t="s">
        <v>15</v>
      </c>
      <c r="E123" s="525"/>
      <c r="F123" s="525"/>
      <c r="G123" s="526"/>
      <c r="H123" s="519" t="s">
        <v>638</v>
      </c>
      <c r="I123" s="520"/>
      <c r="J123" s="517">
        <v>2340</v>
      </c>
      <c r="N123" s="245">
        <v>12</v>
      </c>
      <c r="P123" s="335" t="s">
        <v>393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14</v>
      </c>
      <c r="P124" s="335" t="s">
        <v>394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262"/>
      <c r="L125" s="77"/>
      <c r="N125" s="245">
        <v>18</v>
      </c>
      <c r="P125" s="335" t="s">
        <v>395</v>
      </c>
    </row>
    <row r="126" spans="1:16" s="1" customFormat="1" ht="15" customHeight="1">
      <c r="A126" s="264"/>
      <c r="B126" s="264"/>
      <c r="C126" s="423" t="s">
        <v>631</v>
      </c>
      <c r="D126" s="15"/>
      <c r="H126" s="519" t="s">
        <v>639</v>
      </c>
      <c r="I126" s="520"/>
      <c r="J126" s="517">
        <v>3721</v>
      </c>
      <c r="K126" s="262"/>
      <c r="L126" s="77"/>
      <c r="N126" s="245">
        <v>20</v>
      </c>
      <c r="P126" s="335" t="s">
        <v>396</v>
      </c>
    </row>
    <row r="127" spans="1:16" s="1" customFormat="1" ht="15" customHeight="1">
      <c r="A127" s="264"/>
      <c r="B127" s="264"/>
      <c r="C127" s="110" t="s">
        <v>633</v>
      </c>
      <c r="D127" s="534">
        <v>6</v>
      </c>
      <c r="E127" s="535"/>
      <c r="F127" s="535"/>
      <c r="G127" s="536"/>
      <c r="H127" s="520"/>
      <c r="I127" s="520"/>
      <c r="J127" s="518"/>
      <c r="N127" s="245">
        <v>22</v>
      </c>
      <c r="P127" s="335" t="s">
        <v>397</v>
      </c>
    </row>
    <row r="128" spans="1:16" s="1" customFormat="1" ht="18.75" customHeight="1">
      <c r="C128" s="423" t="s">
        <v>632</v>
      </c>
      <c r="I128" s="12"/>
      <c r="J128" s="12"/>
    </row>
    <row r="129" spans="1:23" s="1" customFormat="1" ht="15" customHeight="1">
      <c r="A129" s="88" t="str">
        <f>A18</f>
        <v>240-10 Panel (5L5R)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3661</v>
      </c>
      <c r="J133" s="125">
        <f t="shared" ref="J133:J151" si="0">$J$120*G133</f>
        <v>30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20</v>
      </c>
      <c r="U133" s="283" t="s">
        <v>304</v>
      </c>
      <c r="V133" s="285">
        <f>($J$126-185-(113.25*9))/10</f>
        <v>251.67500000000001</v>
      </c>
      <c r="W133" s="286">
        <f>$J$120*T133</f>
        <v>600</v>
      </c>
    </row>
    <row r="134" spans="1:23" s="1" customFormat="1" ht="18" customHeight="1">
      <c r="A134" s="143">
        <f t="shared" ref="A134:A150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3635</v>
      </c>
      <c r="J134" s="131">
        <f t="shared" ref="J134:J139" si="2">$J$120*G134</f>
        <v>30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20</v>
      </c>
      <c r="U134" s="129" t="s">
        <v>304</v>
      </c>
      <c r="V134" s="144">
        <f>($J$126-185-(113.25*9))/10</f>
        <v>251.67500000000001</v>
      </c>
      <c r="W134" s="131">
        <f t="shared" ref="W134:W135" si="3">$J$120*T134</f>
        <v>600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3661</v>
      </c>
      <c r="J135" s="131">
        <f t="shared" si="2"/>
        <v>30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20</v>
      </c>
      <c r="U135" s="135" t="s">
        <v>304</v>
      </c>
      <c r="V135" s="145">
        <f>($J$126-185-(113.25*9))/10</f>
        <v>251.67500000000001</v>
      </c>
      <c r="W135" s="293">
        <f t="shared" si="3"/>
        <v>600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3661</v>
      </c>
      <c r="J136" s="131">
        <f t="shared" si="2"/>
        <v>30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20</v>
      </c>
      <c r="U136" s="283" t="s">
        <v>64</v>
      </c>
      <c r="V136" s="288">
        <f>$J$123-242</f>
        <v>2098</v>
      </c>
      <c r="W136" s="286">
        <f>$J$120*T136</f>
        <v>600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2340</v>
      </c>
      <c r="J137" s="131">
        <f t="shared" si="2"/>
        <v>30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20</v>
      </c>
      <c r="U137" s="129" t="s">
        <v>64</v>
      </c>
      <c r="V137" s="130">
        <f>$J$123-242</f>
        <v>2098</v>
      </c>
      <c r="W137" s="131">
        <f t="shared" ref="W137:W138" si="4">$J$120*T137</f>
        <v>600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2340</v>
      </c>
      <c r="J138" s="131">
        <f t="shared" si="2"/>
        <v>30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20</v>
      </c>
      <c r="U138" s="135" t="s">
        <v>64</v>
      </c>
      <c r="V138" s="136">
        <f>$J$123-242</f>
        <v>2098</v>
      </c>
      <c r="W138" s="293">
        <f t="shared" si="4"/>
        <v>600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2244</v>
      </c>
      <c r="J139" s="131">
        <f t="shared" si="2"/>
        <v>30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2244</v>
      </c>
      <c r="J140" s="131">
        <f t="shared" ref="J140" si="5">$J$120*G140</f>
        <v>30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10</v>
      </c>
      <c r="H141" s="268" t="s">
        <v>304</v>
      </c>
      <c r="I141" s="178">
        <f>($J$126-185-(113.25*9))/10</f>
        <v>251.67500000000001</v>
      </c>
      <c r="J141" s="131">
        <f t="shared" ref="J141:J150" si="6">$J$120*G141</f>
        <v>300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10</v>
      </c>
      <c r="H142" s="268" t="s">
        <v>304</v>
      </c>
      <c r="I142" s="178">
        <f>($J$126-185-(113.25*9))/10</f>
        <v>251.67500000000001</v>
      </c>
      <c r="J142" s="131">
        <f t="shared" si="6"/>
        <v>300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15</v>
      </c>
      <c r="H143" s="143" t="s">
        <v>63</v>
      </c>
      <c r="I143" s="130">
        <f>$J$123-92</f>
        <v>2248</v>
      </c>
      <c r="J143" s="131">
        <f t="shared" si="6"/>
        <v>450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2</v>
      </c>
      <c r="H144" s="143" t="s">
        <v>63</v>
      </c>
      <c r="I144" s="130">
        <f>$J$123-92</f>
        <v>2248</v>
      </c>
      <c r="J144" s="131">
        <f t="shared" si="6"/>
        <v>60</v>
      </c>
      <c r="N144" s="98"/>
    </row>
    <row r="145" spans="1:14" s="1" customFormat="1" ht="18" customHeight="1">
      <c r="A145" s="143">
        <f t="shared" si="1"/>
        <v>13</v>
      </c>
      <c r="B145" s="140" t="s">
        <v>8</v>
      </c>
      <c r="C145" s="140" t="s">
        <v>151</v>
      </c>
      <c r="D145" s="139" t="s">
        <v>50</v>
      </c>
      <c r="E145" s="143">
        <v>1.1060000000000001</v>
      </c>
      <c r="F145" s="139" t="s">
        <v>496</v>
      </c>
      <c r="G145" s="143">
        <v>2</v>
      </c>
      <c r="H145" s="143" t="s">
        <v>63</v>
      </c>
      <c r="I145" s="130">
        <f>$J$123-92</f>
        <v>2248</v>
      </c>
      <c r="J145" s="131">
        <f t="shared" si="6"/>
        <v>60</v>
      </c>
      <c r="N145" s="98"/>
    </row>
    <row r="146" spans="1:14" s="1" customFormat="1" ht="18" customHeight="1">
      <c r="A146" s="143">
        <f t="shared" si="1"/>
        <v>14</v>
      </c>
      <c r="B146" s="140" t="s">
        <v>116</v>
      </c>
      <c r="C146" s="140" t="s">
        <v>99</v>
      </c>
      <c r="D146" s="139" t="s">
        <v>50</v>
      </c>
      <c r="E146" s="143">
        <v>1.1060000000000001</v>
      </c>
      <c r="F146" s="139" t="s">
        <v>506</v>
      </c>
      <c r="G146" s="143">
        <v>1</v>
      </c>
      <c r="H146" s="143" t="s">
        <v>63</v>
      </c>
      <c r="I146" s="130">
        <f>$J$123-92</f>
        <v>2248</v>
      </c>
      <c r="J146" s="131">
        <f t="shared" si="6"/>
        <v>30</v>
      </c>
      <c r="N146" s="98"/>
    </row>
    <row r="147" spans="1:14" s="1" customFormat="1" ht="18" customHeight="1">
      <c r="A147" s="143">
        <f t="shared" si="1"/>
        <v>15</v>
      </c>
      <c r="B147" s="140" t="str">
        <f t="shared" ref="B147:I147" si="7">IF($D$127=5,O133,IF($D$127=6,O133,IF($D$127=8,O134,IF($D$127=10,O134,IF($D$127=12,O134,IF($D$127=14,O135,IF($D$127=18,O135,IF($D$127=20,O135,IF($D$127=22,O135,)))))))))</f>
        <v>5-6mm คิ้วตบกระจกแนวนอน</v>
      </c>
      <c r="C147" s="140" t="str">
        <f t="shared" si="7"/>
        <v>5-6mm GLAZING BEAD HORIZONTAL</v>
      </c>
      <c r="D147" s="140" t="str">
        <f t="shared" si="7"/>
        <v>B24008</v>
      </c>
      <c r="E147" s="140">
        <f t="shared" si="7"/>
        <v>0.23100000000000001</v>
      </c>
      <c r="F147" s="140" t="str">
        <f t="shared" si="7"/>
        <v>B24008-001</v>
      </c>
      <c r="G147" s="143">
        <f t="shared" si="7"/>
        <v>20</v>
      </c>
      <c r="H147" s="129" t="str">
        <f t="shared" si="7"/>
        <v>(W-185-(113.25 × 9))/10</v>
      </c>
      <c r="I147" s="178">
        <f t="shared" si="7"/>
        <v>251.67500000000001</v>
      </c>
      <c r="J147" s="131">
        <f t="shared" si="6"/>
        <v>600</v>
      </c>
      <c r="N147" s="98"/>
    </row>
    <row r="148" spans="1:14" s="1" customFormat="1" ht="18" customHeight="1">
      <c r="A148" s="143">
        <f t="shared" si="1"/>
        <v>16</v>
      </c>
      <c r="B148" s="140" t="str">
        <f t="shared" ref="B148:I148" si="8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40" t="str">
        <f t="shared" si="8"/>
        <v>5-6mm GLAZING BEAD VERTICAL</v>
      </c>
      <c r="D148" s="140" t="str">
        <f t="shared" si="8"/>
        <v>B24008</v>
      </c>
      <c r="E148" s="140">
        <f t="shared" si="8"/>
        <v>0.23100000000000001</v>
      </c>
      <c r="F148" s="140" t="str">
        <f t="shared" si="8"/>
        <v>B24008-002</v>
      </c>
      <c r="G148" s="143">
        <f t="shared" si="8"/>
        <v>20</v>
      </c>
      <c r="H148" s="129" t="str">
        <f t="shared" si="8"/>
        <v>H-242</v>
      </c>
      <c r="I148" s="144">
        <f t="shared" si="8"/>
        <v>2098</v>
      </c>
      <c r="J148" s="131">
        <f t="shared" si="6"/>
        <v>600</v>
      </c>
      <c r="N148" s="98"/>
    </row>
    <row r="149" spans="1:14" s="1" customFormat="1" ht="18" customHeight="1">
      <c r="A149" s="143">
        <f t="shared" si="1"/>
        <v>17</v>
      </c>
      <c r="B149" s="140" t="s">
        <v>125</v>
      </c>
      <c r="C149" s="140" t="s">
        <v>124</v>
      </c>
      <c r="D149" s="139" t="s">
        <v>123</v>
      </c>
      <c r="E149" s="143"/>
      <c r="F149" s="139" t="s">
        <v>362</v>
      </c>
      <c r="G149" s="143">
        <v>1</v>
      </c>
      <c r="H149" s="143" t="s">
        <v>63</v>
      </c>
      <c r="I149" s="130">
        <f>$J$123-92</f>
        <v>2248</v>
      </c>
      <c r="J149" s="131">
        <f t="shared" si="6"/>
        <v>30</v>
      </c>
      <c r="N149" s="98"/>
    </row>
    <row r="150" spans="1:14" s="1" customFormat="1" ht="18" customHeight="1">
      <c r="A150" s="143">
        <f t="shared" si="1"/>
        <v>18</v>
      </c>
      <c r="B150" s="140" t="s">
        <v>125</v>
      </c>
      <c r="C150" s="140" t="s">
        <v>124</v>
      </c>
      <c r="D150" s="139" t="s">
        <v>123</v>
      </c>
      <c r="E150" s="143"/>
      <c r="F150" s="139" t="s">
        <v>363</v>
      </c>
      <c r="G150" s="143">
        <v>1</v>
      </c>
      <c r="H150" s="143" t="s">
        <v>63</v>
      </c>
      <c r="I150" s="130">
        <f>$J$123-92</f>
        <v>2248</v>
      </c>
      <c r="J150" s="131">
        <f t="shared" si="6"/>
        <v>30</v>
      </c>
      <c r="N150" s="98"/>
    </row>
    <row r="151" spans="1:14" s="1" customFormat="1" ht="18" customHeight="1" thickBot="1">
      <c r="A151" s="143" t="str">
        <f>IF(B151="","",+A140+1)</f>
        <v/>
      </c>
      <c r="B151" s="167"/>
      <c r="C151" s="167"/>
      <c r="D151" s="168"/>
      <c r="E151" s="166"/>
      <c r="F151" s="168"/>
      <c r="G151" s="166"/>
      <c r="H151" s="166"/>
      <c r="I151" s="171"/>
      <c r="J151" s="172">
        <f t="shared" si="0"/>
        <v>0</v>
      </c>
    </row>
    <row r="152" spans="1:14" s="1" customFormat="1" ht="27" outlineLevel="1" thickBot="1">
      <c r="A152" s="169" t="s">
        <v>2</v>
      </c>
      <c r="B152" s="169" t="s">
        <v>29</v>
      </c>
      <c r="C152" s="169" t="s">
        <v>3</v>
      </c>
      <c r="D152" s="169" t="s">
        <v>4</v>
      </c>
      <c r="E152" s="169" t="s">
        <v>5</v>
      </c>
      <c r="F152" s="177" t="s">
        <v>85</v>
      </c>
      <c r="G152" s="169" t="s">
        <v>22</v>
      </c>
      <c r="H152" s="170" t="s">
        <v>23</v>
      </c>
      <c r="I152" s="540"/>
      <c r="J152" s="541"/>
    </row>
    <row r="153" spans="1:14" s="1" customFormat="1" ht="15" customHeight="1" outlineLevel="1">
      <c r="A153" s="21">
        <f>IF(B153="","",1)</f>
        <v>1</v>
      </c>
      <c r="B153" s="173" t="str">
        <f t="shared" ref="B153:C159" si="9">B133</f>
        <v>เฟรมบน</v>
      </c>
      <c r="C153" s="173" t="str">
        <f t="shared" si="9"/>
        <v>HEAD</v>
      </c>
      <c r="D153" s="174" t="str">
        <f>VLOOKUP(C153,$C$133:$H$151,2,0)</f>
        <v>B24001</v>
      </c>
      <c r="E153" s="175">
        <f t="shared" ref="E153:E159" si="10">VLOOKUP(C153,$C$133:$H$151,3,0)</f>
        <v>1.603</v>
      </c>
      <c r="F153" s="353">
        <f>VLOOKUP(C153,$C$133:$J$151,7,0)</f>
        <v>3661</v>
      </c>
      <c r="G153" s="175">
        <f t="shared" ref="G153:G159" si="11">VLOOKUP(C153,$C$133:$J$151,8,0)</f>
        <v>30</v>
      </c>
      <c r="H153" s="191">
        <f>ROUNDUP((F153*G153)/6400,0)</f>
        <v>18</v>
      </c>
      <c r="I153" s="501"/>
      <c r="J153" s="501"/>
    </row>
    <row r="154" spans="1:14" s="1" customFormat="1" ht="15" customHeight="1" outlineLevel="1">
      <c r="A154" s="18">
        <f t="shared" ref="A154" si="12">IF(B154="","",+A153+1)</f>
        <v>2</v>
      </c>
      <c r="B154" s="173" t="str">
        <f t="shared" si="9"/>
        <v>บังใบบน</v>
      </c>
      <c r="C154" s="173" t="str">
        <f t="shared" si="9"/>
        <v>DOOR STOP HEAD</v>
      </c>
      <c r="D154" s="174" t="str">
        <f>VLOOKUP(C154,$C$133:$H$151,2,0)</f>
        <v>B24002</v>
      </c>
      <c r="E154" s="175">
        <f t="shared" si="10"/>
        <v>0.27800000000000002</v>
      </c>
      <c r="F154" s="353">
        <f t="shared" ref="F154:F159" si="13">VLOOKUP(C154,$C$133:$I$151,7,0)</f>
        <v>3635</v>
      </c>
      <c r="G154" s="175">
        <f t="shared" si="11"/>
        <v>30</v>
      </c>
      <c r="H154" s="192">
        <f>ROUNDUP((F154*G154)/6400,0)</f>
        <v>18</v>
      </c>
      <c r="I154" s="501"/>
      <c r="J154" s="501"/>
    </row>
    <row r="155" spans="1:14" s="1" customFormat="1" ht="15" customHeight="1" outlineLevel="1">
      <c r="A155" s="18">
        <f t="shared" ref="A155:A159" si="14">IF(B155="","",+A154+1)</f>
        <v>3</v>
      </c>
      <c r="B155" s="173" t="str">
        <f t="shared" si="9"/>
        <v xml:space="preserve">เฟรมล่าง </v>
      </c>
      <c r="C155" s="173" t="str">
        <f t="shared" si="9"/>
        <v>SILL</v>
      </c>
      <c r="D155" s="174" t="str">
        <f>VLOOKUP(C155,$C$133:$H$151,2,0)</f>
        <v>B24003</v>
      </c>
      <c r="E155" s="175">
        <f t="shared" si="10"/>
        <v>1.603</v>
      </c>
      <c r="F155" s="353">
        <f t="shared" si="13"/>
        <v>3661</v>
      </c>
      <c r="G155" s="175">
        <f t="shared" si="11"/>
        <v>30</v>
      </c>
      <c r="H155" s="192">
        <f>ROUNDUP((F155*G155)/6400,0)</f>
        <v>18</v>
      </c>
      <c r="I155" s="501"/>
      <c r="J155" s="501"/>
    </row>
    <row r="156" spans="1:14" s="1" customFormat="1" ht="15" customHeight="1" outlineLevel="1">
      <c r="A156" s="18">
        <f t="shared" si="14"/>
        <v>4</v>
      </c>
      <c r="B156" s="173" t="str">
        <f t="shared" si="9"/>
        <v>ตัวตับธรณี</v>
      </c>
      <c r="C156" s="173" t="str">
        <f t="shared" si="9"/>
        <v>DOOR STOP SILL</v>
      </c>
      <c r="D156" s="174" t="str">
        <f>VLOOKUP(C156,$C$133:$H$151,2,0)</f>
        <v>B24004</v>
      </c>
      <c r="E156" s="175">
        <f t="shared" si="10"/>
        <v>0.51600000000000001</v>
      </c>
      <c r="F156" s="353">
        <f t="shared" si="13"/>
        <v>3661</v>
      </c>
      <c r="G156" s="175">
        <f t="shared" si="11"/>
        <v>30</v>
      </c>
      <c r="H156" s="192">
        <f>ROUNDUP((F156*G156)/6400,0)</f>
        <v>18</v>
      </c>
      <c r="I156" s="501"/>
      <c r="J156" s="501"/>
    </row>
    <row r="157" spans="1:14" s="1" customFormat="1" ht="15" customHeight="1" outlineLevel="1">
      <c r="A157" s="18">
        <f t="shared" si="14"/>
        <v>5</v>
      </c>
      <c r="B157" s="173" t="str">
        <f t="shared" si="9"/>
        <v>เฟรมข้าง (ซ้าย)</v>
      </c>
      <c r="C157" s="173" t="str">
        <f t="shared" si="9"/>
        <v>JAMB (L)</v>
      </c>
      <c r="D157" s="508" t="str">
        <f>VLOOKUP(C157,$C$133:$H$151,2,0)</f>
        <v>B24005</v>
      </c>
      <c r="E157" s="175">
        <f t="shared" si="10"/>
        <v>0.89300000000000002</v>
      </c>
      <c r="F157" s="353">
        <f t="shared" si="13"/>
        <v>2340</v>
      </c>
      <c r="G157" s="175">
        <f t="shared" si="11"/>
        <v>30</v>
      </c>
      <c r="H157" s="516">
        <f>ROUNDUP(((F157*G157)+(F158*G158))/6400,0)</f>
        <v>22</v>
      </c>
      <c r="I157" s="506"/>
      <c r="J157" s="506"/>
    </row>
    <row r="158" spans="1:14" s="1" customFormat="1" ht="15" customHeight="1" outlineLevel="1">
      <c r="A158" s="18">
        <f t="shared" si="14"/>
        <v>6</v>
      </c>
      <c r="B158" s="173" t="str">
        <f t="shared" si="9"/>
        <v>เฟรมข้าง (ขวา)</v>
      </c>
      <c r="C158" s="173" t="str">
        <f t="shared" si="9"/>
        <v>JAMB (R)</v>
      </c>
      <c r="D158" s="509"/>
      <c r="E158" s="175">
        <f t="shared" si="10"/>
        <v>0.89300000000000002</v>
      </c>
      <c r="F158" s="353">
        <f t="shared" si="13"/>
        <v>2340</v>
      </c>
      <c r="G158" s="175">
        <f t="shared" si="11"/>
        <v>30</v>
      </c>
      <c r="H158" s="516"/>
      <c r="I158" s="506"/>
      <c r="J158" s="506"/>
    </row>
    <row r="159" spans="1:14" s="1" customFormat="1" ht="15" customHeight="1" outlineLevel="1">
      <c r="A159" s="18">
        <f t="shared" si="14"/>
        <v>7</v>
      </c>
      <c r="B159" s="173" t="str">
        <f t="shared" si="9"/>
        <v>บังใบข้าง (ซ้าย)</v>
      </c>
      <c r="C159" s="173" t="str">
        <f t="shared" si="9"/>
        <v>DOOR STOP JAMB (L)</v>
      </c>
      <c r="D159" s="508" t="str">
        <f>VLOOKUP(C159,$C$133:$H$151,2,0)</f>
        <v>B24006</v>
      </c>
      <c r="E159" s="175">
        <f t="shared" si="10"/>
        <v>0.23499999999999999</v>
      </c>
      <c r="F159" s="353">
        <f t="shared" si="13"/>
        <v>2244</v>
      </c>
      <c r="G159" s="175">
        <f t="shared" si="11"/>
        <v>30</v>
      </c>
      <c r="H159" s="516">
        <f>ROUNDUP(((F159*G159)+(F160*G160))/6400,0)</f>
        <v>22</v>
      </c>
      <c r="I159" s="501"/>
      <c r="J159" s="501"/>
    </row>
    <row r="160" spans="1:14" s="1" customFormat="1" ht="15" customHeight="1" outlineLevel="1">
      <c r="A160" s="18">
        <f t="shared" ref="A160:A170" si="15">IF(B160="","",+A159+1)</f>
        <v>8</v>
      </c>
      <c r="B160" s="173" t="str">
        <f t="shared" ref="B160:C160" si="16">B140</f>
        <v>บังใบข้าง (ขวา)</v>
      </c>
      <c r="C160" s="173" t="str">
        <f t="shared" si="16"/>
        <v>DOOR STOP JAMB (R)</v>
      </c>
      <c r="D160" s="509"/>
      <c r="E160" s="175">
        <f t="shared" ref="E160:E170" si="17">VLOOKUP(C160,$C$133:$H$151,3,0)</f>
        <v>0.23499999999999999</v>
      </c>
      <c r="F160" s="353">
        <f t="shared" ref="F160:F170" si="18">VLOOKUP(C160,$C$133:$I$151,7,0)</f>
        <v>2244</v>
      </c>
      <c r="G160" s="175">
        <f t="shared" ref="G160:G170" si="19">VLOOKUP(C160,$C$133:$J$151,8,0)</f>
        <v>30</v>
      </c>
      <c r="H160" s="516"/>
      <c r="I160" s="506"/>
      <c r="J160" s="506"/>
    </row>
    <row r="161" spans="1:23" s="1" customFormat="1" ht="13.8" outlineLevel="1">
      <c r="A161" s="18">
        <f t="shared" si="15"/>
        <v>9</v>
      </c>
      <c r="B161" s="173" t="str">
        <f t="shared" ref="B161:C161" si="20">B141</f>
        <v>ขวางบน</v>
      </c>
      <c r="C161" s="173" t="str">
        <f t="shared" si="20"/>
        <v>SASH (Hor) (T)</v>
      </c>
      <c r="D161" s="508" t="str">
        <f t="shared" ref="D161:D169" si="21">VLOOKUP(C161,$C$133:$H$151,2,0)</f>
        <v>B24007</v>
      </c>
      <c r="E161" s="175">
        <f t="shared" si="17"/>
        <v>1.1060000000000001</v>
      </c>
      <c r="F161" s="353">
        <f t="shared" si="18"/>
        <v>251.67500000000001</v>
      </c>
      <c r="G161" s="175">
        <f t="shared" si="19"/>
        <v>300</v>
      </c>
      <c r="H161" s="512">
        <f>ROUNDUP(((F161*G161)+(F162*G162)+(F163*G163)+(F164*G164)+(F165*G165)+(F166*G166))/6400,0)</f>
        <v>235</v>
      </c>
      <c r="I161" s="506"/>
      <c r="J161" s="506"/>
    </row>
    <row r="162" spans="1:23" s="1" customFormat="1" ht="13.8" outlineLevel="1">
      <c r="A162" s="18">
        <f t="shared" si="15"/>
        <v>10</v>
      </c>
      <c r="B162" s="173" t="str">
        <f t="shared" ref="B162:C162" si="22">B142</f>
        <v>ขวางล่าง</v>
      </c>
      <c r="C162" s="173" t="str">
        <f t="shared" si="22"/>
        <v>SASH (Hor) (B)</v>
      </c>
      <c r="D162" s="510"/>
      <c r="E162" s="175">
        <f t="shared" si="17"/>
        <v>1.1060000000000001</v>
      </c>
      <c r="F162" s="353">
        <f t="shared" si="18"/>
        <v>251.67500000000001</v>
      </c>
      <c r="G162" s="175">
        <f t="shared" si="19"/>
        <v>300</v>
      </c>
      <c r="H162" s="514"/>
      <c r="I162" s="506"/>
      <c r="J162" s="506"/>
    </row>
    <row r="163" spans="1:23" s="1" customFormat="1" ht="13.8" outlineLevel="1">
      <c r="A163" s="18">
        <f t="shared" si="15"/>
        <v>11</v>
      </c>
      <c r="B163" s="173" t="str">
        <f t="shared" ref="B163:C163" si="23">B143</f>
        <v>เสา</v>
      </c>
      <c r="C163" s="173" t="str">
        <f t="shared" si="23"/>
        <v xml:space="preserve">SASH (Ver) </v>
      </c>
      <c r="D163" s="510"/>
      <c r="E163" s="175">
        <f t="shared" si="17"/>
        <v>1.1060000000000001</v>
      </c>
      <c r="F163" s="353">
        <f t="shared" si="18"/>
        <v>2248</v>
      </c>
      <c r="G163" s="175">
        <f t="shared" si="19"/>
        <v>450</v>
      </c>
      <c r="H163" s="514"/>
      <c r="I163" s="506"/>
      <c r="J163" s="506"/>
    </row>
    <row r="164" spans="1:23" s="1" customFormat="1" ht="13.8" outlineLevel="1">
      <c r="A164" s="18">
        <f t="shared" si="15"/>
        <v>12</v>
      </c>
      <c r="B164" s="173" t="str">
        <f t="shared" ref="B164:C164" si="24">B144</f>
        <v>เสากุญแจ</v>
      </c>
      <c r="C164" s="173" t="str">
        <f t="shared" si="24"/>
        <v xml:space="preserve">SASH (Ver) LOCK </v>
      </c>
      <c r="D164" s="510"/>
      <c r="E164" s="175">
        <f t="shared" si="17"/>
        <v>1.1060000000000001</v>
      </c>
      <c r="F164" s="353">
        <f t="shared" si="18"/>
        <v>2248</v>
      </c>
      <c r="G164" s="175">
        <f t="shared" si="19"/>
        <v>60</v>
      </c>
      <c r="H164" s="514"/>
      <c r="I164" s="506"/>
      <c r="J164" s="506"/>
    </row>
    <row r="165" spans="1:23" s="1" customFormat="1" ht="13.8" outlineLevel="1">
      <c r="A165" s="18">
        <f t="shared" si="15"/>
        <v>13</v>
      </c>
      <c r="B165" s="173" t="str">
        <f t="shared" ref="B165:C165" si="25">B145</f>
        <v>เสากุญแจ</v>
      </c>
      <c r="C165" s="173" t="str">
        <f t="shared" si="25"/>
        <v xml:space="preserve">SASH (Ver) LOCK  </v>
      </c>
      <c r="D165" s="510"/>
      <c r="E165" s="175">
        <f t="shared" si="17"/>
        <v>1.1060000000000001</v>
      </c>
      <c r="F165" s="353">
        <f t="shared" si="18"/>
        <v>2248</v>
      </c>
      <c r="G165" s="175">
        <f t="shared" si="19"/>
        <v>60</v>
      </c>
      <c r="H165" s="514"/>
      <c r="I165" s="506"/>
      <c r="J165" s="506"/>
    </row>
    <row r="166" spans="1:23" s="1" customFormat="1" ht="15" customHeight="1" outlineLevel="1">
      <c r="A166" s="18">
        <f t="shared" si="15"/>
        <v>14</v>
      </c>
      <c r="B166" s="173" t="str">
        <f t="shared" ref="B166:C166" si="26">B146</f>
        <v>เสากุญแจมือจับ</v>
      </c>
      <c r="C166" s="173" t="str">
        <f t="shared" si="26"/>
        <v>SASH (Ver) LOCK HANDLE</v>
      </c>
      <c r="D166" s="509"/>
      <c r="E166" s="175">
        <f t="shared" si="17"/>
        <v>1.1060000000000001</v>
      </c>
      <c r="F166" s="353">
        <f t="shared" si="18"/>
        <v>2248</v>
      </c>
      <c r="G166" s="175">
        <f t="shared" si="19"/>
        <v>30</v>
      </c>
      <c r="H166" s="515"/>
      <c r="I166" s="501"/>
      <c r="J166" s="501"/>
    </row>
    <row r="167" spans="1:23" s="1" customFormat="1" ht="15" customHeight="1" outlineLevel="1">
      <c r="A167" s="18">
        <f t="shared" si="15"/>
        <v>15</v>
      </c>
      <c r="B167" s="173" t="str">
        <f t="shared" ref="B167:C167" si="27">B147</f>
        <v>5-6mm คิ้วตบกระจกแนวนอน</v>
      </c>
      <c r="C167" s="173" t="str">
        <f t="shared" si="27"/>
        <v>5-6mm GLAZING BEAD HORIZONTAL</v>
      </c>
      <c r="D167" s="508" t="str">
        <f t="shared" si="21"/>
        <v>B24008</v>
      </c>
      <c r="E167" s="175">
        <f t="shared" si="17"/>
        <v>0.23100000000000001</v>
      </c>
      <c r="F167" s="353">
        <f t="shared" si="18"/>
        <v>251.67500000000001</v>
      </c>
      <c r="G167" s="175">
        <f t="shared" si="19"/>
        <v>600</v>
      </c>
      <c r="H167" s="516">
        <f>ROUNDUP(((F167*G167)+(F168*G168))/6400,0)</f>
        <v>221</v>
      </c>
      <c r="I167" s="266"/>
      <c r="J167" s="266"/>
    </row>
    <row r="168" spans="1:23" s="1" customFormat="1" ht="15" customHeight="1" outlineLevel="1">
      <c r="A168" s="18">
        <f t="shared" si="15"/>
        <v>16</v>
      </c>
      <c r="B168" s="173" t="str">
        <f t="shared" ref="B168:C168" si="28">B148</f>
        <v>5-6mm คิ้วตบกระจกแนวตั้ง</v>
      </c>
      <c r="C168" s="173" t="str">
        <f t="shared" si="28"/>
        <v>5-6mm GLAZING BEAD VERTICAL</v>
      </c>
      <c r="D168" s="509"/>
      <c r="E168" s="175">
        <f t="shared" si="17"/>
        <v>0.23100000000000001</v>
      </c>
      <c r="F168" s="353">
        <f t="shared" si="18"/>
        <v>2098</v>
      </c>
      <c r="G168" s="175">
        <f t="shared" si="19"/>
        <v>600</v>
      </c>
      <c r="H168" s="516"/>
      <c r="I168" s="266"/>
      <c r="J168" s="266"/>
    </row>
    <row r="169" spans="1:23" s="1" customFormat="1" ht="13.8" outlineLevel="1">
      <c r="A169" s="18">
        <f t="shared" si="15"/>
        <v>17</v>
      </c>
      <c r="B169" s="173" t="str">
        <f t="shared" ref="B169:C169" si="29">B149</f>
        <v>บังใบ</v>
      </c>
      <c r="C169" s="173" t="str">
        <f t="shared" si="29"/>
        <v>SASH STOP</v>
      </c>
      <c r="D169" s="508" t="str">
        <f t="shared" si="21"/>
        <v>B24009</v>
      </c>
      <c r="E169" s="175">
        <f t="shared" si="17"/>
        <v>0</v>
      </c>
      <c r="F169" s="353">
        <f t="shared" si="18"/>
        <v>2248</v>
      </c>
      <c r="G169" s="175">
        <f t="shared" si="19"/>
        <v>30</v>
      </c>
      <c r="H169" s="516">
        <f>ROUNDUP(((F169*G169)+(F170*G170))/6400,0)</f>
        <v>22</v>
      </c>
      <c r="I169" s="266"/>
      <c r="J169" s="266"/>
    </row>
    <row r="170" spans="1:23" s="1" customFormat="1" outlineLevel="1" thickBot="1">
      <c r="A170" s="18">
        <f t="shared" si="15"/>
        <v>18</v>
      </c>
      <c r="B170" s="173" t="str">
        <f t="shared" ref="B170:C170" si="30">B150</f>
        <v>บังใบ</v>
      </c>
      <c r="C170" s="173" t="str">
        <f t="shared" si="30"/>
        <v>SASH STOP</v>
      </c>
      <c r="D170" s="511"/>
      <c r="E170" s="175">
        <f t="shared" si="17"/>
        <v>0</v>
      </c>
      <c r="F170" s="353">
        <f t="shared" si="18"/>
        <v>2248</v>
      </c>
      <c r="G170" s="175">
        <f t="shared" si="19"/>
        <v>30</v>
      </c>
      <c r="H170" s="516"/>
      <c r="I170" s="266"/>
      <c r="J170" s="266"/>
    </row>
    <row r="171" spans="1:23" s="1" customFormat="1" ht="24.9" customHeight="1" thickBot="1">
      <c r="A171" s="529" t="s">
        <v>9</v>
      </c>
      <c r="B171" s="530"/>
      <c r="C171" s="530"/>
      <c r="D171" s="530"/>
      <c r="E171" s="530"/>
      <c r="F171" s="530"/>
      <c r="G171" s="530"/>
      <c r="H171" s="530"/>
      <c r="I171" s="530"/>
      <c r="J171" s="531"/>
    </row>
    <row r="172" spans="1:23" s="1" customFormat="1" ht="35.1" customHeight="1" thickBot="1">
      <c r="A172" s="102" t="s">
        <v>2</v>
      </c>
      <c r="B172" s="103" t="s">
        <v>29</v>
      </c>
      <c r="C172" s="103" t="s">
        <v>3</v>
      </c>
      <c r="D172" s="103" t="s">
        <v>199</v>
      </c>
      <c r="E172" s="103" t="s">
        <v>5</v>
      </c>
      <c r="F172" s="104" t="s">
        <v>28</v>
      </c>
      <c r="G172" s="103" t="s">
        <v>19</v>
      </c>
      <c r="H172" s="104" t="s">
        <v>200</v>
      </c>
      <c r="I172" s="104" t="s">
        <v>20</v>
      </c>
      <c r="J172" s="115" t="s">
        <v>201</v>
      </c>
      <c r="N172" s="101" t="s">
        <v>191</v>
      </c>
      <c r="O172" s="246" t="s">
        <v>29</v>
      </c>
      <c r="P172" s="246" t="s">
        <v>3</v>
      </c>
      <c r="Q172" s="246" t="s">
        <v>199</v>
      </c>
      <c r="R172" s="246" t="s">
        <v>5</v>
      </c>
      <c r="S172" s="246" t="s">
        <v>28</v>
      </c>
      <c r="T172" s="246" t="s">
        <v>19</v>
      </c>
      <c r="U172" s="246" t="s">
        <v>200</v>
      </c>
      <c r="V172" s="246" t="s">
        <v>20</v>
      </c>
      <c r="W172" s="246" t="s">
        <v>201</v>
      </c>
    </row>
    <row r="173" spans="1:23" s="1" customFormat="1" ht="18" customHeight="1">
      <c r="A173" s="200">
        <f>IF(B173="","",1)</f>
        <v>1</v>
      </c>
      <c r="B173" s="140" t="s">
        <v>111</v>
      </c>
      <c r="C173" s="140" t="s">
        <v>67</v>
      </c>
      <c r="D173" s="139" t="s">
        <v>74</v>
      </c>
      <c r="E173" s="143"/>
      <c r="F173" s="143" t="s">
        <v>74</v>
      </c>
      <c r="G173" s="143" t="s">
        <v>202</v>
      </c>
      <c r="H173" s="143">
        <v>20</v>
      </c>
      <c r="I173" s="130"/>
      <c r="J173" s="131">
        <f>$J$120*H173</f>
        <v>600</v>
      </c>
      <c r="N173" s="101" t="s">
        <v>226</v>
      </c>
      <c r="O173" s="280" t="s">
        <v>252</v>
      </c>
      <c r="P173" s="290" t="s">
        <v>248</v>
      </c>
      <c r="Q173" s="280" t="s">
        <v>69</v>
      </c>
      <c r="R173" s="213"/>
      <c r="S173" s="213" t="s">
        <v>69</v>
      </c>
      <c r="T173" s="213" t="s">
        <v>198</v>
      </c>
      <c r="U173" s="291">
        <f>((($I$141*$G$141)+($I$142*$G$142)+($I$143*$G$143)+($I$144*$G$144)+($I$145*$G$145)+($I$146*$G$146))/1000)*$J$120</f>
        <v>1499.8049999999998</v>
      </c>
      <c r="V173" s="291">
        <v>100</v>
      </c>
      <c r="W173" s="292">
        <f>ROUNDUP((U173)/100,0)</f>
        <v>15</v>
      </c>
    </row>
    <row r="174" spans="1:23" s="1" customFormat="1" ht="18" customHeight="1">
      <c r="A174" s="201">
        <f>IF(B174="","",+A173+1)</f>
        <v>2</v>
      </c>
      <c r="B174" s="140" t="s">
        <v>106</v>
      </c>
      <c r="C174" s="140" t="s">
        <v>503</v>
      </c>
      <c r="D174" s="139" t="s">
        <v>75</v>
      </c>
      <c r="E174" s="143"/>
      <c r="F174" s="143" t="s">
        <v>75</v>
      </c>
      <c r="G174" s="143" t="s">
        <v>202</v>
      </c>
      <c r="H174" s="143">
        <v>2</v>
      </c>
      <c r="I174" s="130"/>
      <c r="J174" s="131">
        <f t="shared" ref="J174:J201" si="31">$J$120*H174</f>
        <v>60</v>
      </c>
      <c r="N174" s="101" t="s">
        <v>230</v>
      </c>
      <c r="O174" s="280" t="s">
        <v>253</v>
      </c>
      <c r="P174" s="290" t="s">
        <v>249</v>
      </c>
      <c r="Q174" s="280" t="s">
        <v>188</v>
      </c>
      <c r="R174" s="213"/>
      <c r="S174" s="213" t="s">
        <v>188</v>
      </c>
      <c r="T174" s="213" t="s">
        <v>198</v>
      </c>
      <c r="U174" s="291">
        <f>((($I$141*$G$141)+($I$142*$G$142)+($I$143*$G$143)+($I$144*$G$144)+($I$145*$G$145)+($I$146*$G$146))/1000)*$J$120</f>
        <v>1499.8049999999998</v>
      </c>
      <c r="V174" s="291">
        <v>100</v>
      </c>
      <c r="W174" s="292">
        <f t="shared" ref="W174:W176" si="32">ROUNDUP((U174)/100,0)</f>
        <v>15</v>
      </c>
    </row>
    <row r="175" spans="1:23" s="1" customFormat="1" ht="18" customHeight="1">
      <c r="A175" s="201">
        <f t="shared" ref="A175:A204" si="33">IF(B175="","",+A174+1)</f>
        <v>3</v>
      </c>
      <c r="B175" s="140" t="s">
        <v>107</v>
      </c>
      <c r="C175" s="140" t="s">
        <v>504</v>
      </c>
      <c r="D175" s="139" t="s">
        <v>76</v>
      </c>
      <c r="E175" s="143"/>
      <c r="F175" s="143" t="s">
        <v>76</v>
      </c>
      <c r="G175" s="143" t="s">
        <v>202</v>
      </c>
      <c r="H175" s="143">
        <v>2</v>
      </c>
      <c r="I175" s="130"/>
      <c r="J175" s="131">
        <f t="shared" si="31"/>
        <v>60</v>
      </c>
      <c r="N175" s="101" t="s">
        <v>229</v>
      </c>
      <c r="O175" s="290" t="s">
        <v>254</v>
      </c>
      <c r="P175" s="290" t="s">
        <v>250</v>
      </c>
      <c r="Q175" s="280" t="s">
        <v>70</v>
      </c>
      <c r="R175" s="213"/>
      <c r="S175" s="213" t="s">
        <v>70</v>
      </c>
      <c r="T175" s="213" t="s">
        <v>198</v>
      </c>
      <c r="U175" s="291">
        <f>((($I$141*$G$141)+($I$142*$G$142)+($I$143*$G$143)+($I$144*$G$144)+($I$145*$G$145)+($I$146*$G$146))/1000)*$J$120</f>
        <v>1499.8049999999998</v>
      </c>
      <c r="V175" s="291">
        <v>100</v>
      </c>
      <c r="W175" s="292">
        <f t="shared" si="32"/>
        <v>15</v>
      </c>
    </row>
    <row r="176" spans="1:23" s="1" customFormat="1" ht="18" customHeight="1">
      <c r="A176" s="201">
        <f t="shared" si="33"/>
        <v>4</v>
      </c>
      <c r="B176" s="140" t="s">
        <v>108</v>
      </c>
      <c r="C176" s="140" t="s">
        <v>10</v>
      </c>
      <c r="D176" s="139">
        <v>9</v>
      </c>
      <c r="E176" s="143"/>
      <c r="F176" s="143">
        <v>9</v>
      </c>
      <c r="G176" s="143" t="s">
        <v>202</v>
      </c>
      <c r="H176" s="143">
        <v>8</v>
      </c>
      <c r="I176" s="130"/>
      <c r="J176" s="131">
        <f t="shared" si="31"/>
        <v>240</v>
      </c>
      <c r="N176" s="101" t="s">
        <v>231</v>
      </c>
      <c r="O176" s="290" t="s">
        <v>255</v>
      </c>
      <c r="P176" s="290" t="s">
        <v>251</v>
      </c>
      <c r="Q176" s="280" t="s">
        <v>189</v>
      </c>
      <c r="R176" s="213"/>
      <c r="S176" s="213" t="s">
        <v>189</v>
      </c>
      <c r="T176" s="213" t="s">
        <v>198</v>
      </c>
      <c r="U176" s="291">
        <f>((($I$141*$G$141)+($I$142*$G$142)+($I$143*$G$143)+($I$144*$G$144)+($I$145*$G$145)+($I$146*$G$146))/1000)*$J$120</f>
        <v>1499.8049999999998</v>
      </c>
      <c r="V176" s="291">
        <v>100</v>
      </c>
      <c r="W176" s="292">
        <f t="shared" si="32"/>
        <v>15</v>
      </c>
    </row>
    <row r="177" spans="1:23" s="1" customFormat="1" ht="18" customHeight="1">
      <c r="A177" s="201">
        <f t="shared" si="33"/>
        <v>5</v>
      </c>
      <c r="B177" s="140" t="s">
        <v>109</v>
      </c>
      <c r="C177" s="140" t="s">
        <v>68</v>
      </c>
      <c r="D177" s="139">
        <v>9</v>
      </c>
      <c r="E177" s="143"/>
      <c r="F177" s="143">
        <v>9</v>
      </c>
      <c r="G177" s="143" t="s">
        <v>202</v>
      </c>
      <c r="H177" s="143">
        <v>110</v>
      </c>
      <c r="I177" s="130"/>
      <c r="J177" s="131">
        <f t="shared" si="31"/>
        <v>3300</v>
      </c>
      <c r="N177" s="101" t="s">
        <v>232</v>
      </c>
      <c r="O177" s="290" t="s">
        <v>256</v>
      </c>
      <c r="P177" s="290" t="s">
        <v>247</v>
      </c>
      <c r="Q177" s="280" t="s">
        <v>233</v>
      </c>
      <c r="R177" s="213"/>
      <c r="S177" s="213" t="s">
        <v>233</v>
      </c>
      <c r="T177" s="213" t="s">
        <v>198</v>
      </c>
      <c r="U177" s="291">
        <f>((($I$141*$G$141)+($I$142*$G$142)+($I$143*$G$143)+($I$144*$G$144)+($I$145*$G$145)+($I$146*$G$146))/1000)*$J$120</f>
        <v>1499.8049999999998</v>
      </c>
      <c r="V177" s="291">
        <v>100</v>
      </c>
      <c r="W177" s="292">
        <f>ROUNDUP((U177)/100,0)</f>
        <v>15</v>
      </c>
    </row>
    <row r="178" spans="1:23" s="1" customFormat="1" ht="18" customHeight="1">
      <c r="A178" s="201">
        <f t="shared" si="33"/>
        <v>6</v>
      </c>
      <c r="B178" s="140" t="s">
        <v>132</v>
      </c>
      <c r="C178" s="140" t="s">
        <v>79</v>
      </c>
      <c r="D178" s="139" t="s">
        <v>82</v>
      </c>
      <c r="E178" s="143"/>
      <c r="F178" s="143" t="s">
        <v>82</v>
      </c>
      <c r="G178" s="143" t="s">
        <v>185</v>
      </c>
      <c r="H178" s="143">
        <v>2</v>
      </c>
      <c r="I178" s="130"/>
      <c r="J178" s="131">
        <f>$J$120*H178</f>
        <v>60</v>
      </c>
    </row>
    <row r="179" spans="1:23" s="1" customFormat="1" ht="18" customHeight="1">
      <c r="A179" s="201">
        <f t="shared" si="33"/>
        <v>7</v>
      </c>
      <c r="B179" s="140" t="s">
        <v>143</v>
      </c>
      <c r="C179" s="140" t="s">
        <v>121</v>
      </c>
      <c r="D179" s="139" t="s">
        <v>103</v>
      </c>
      <c r="E179" s="143"/>
      <c r="F179" s="143" t="s">
        <v>103</v>
      </c>
      <c r="G179" s="143" t="s">
        <v>185</v>
      </c>
      <c r="H179" s="143">
        <v>2</v>
      </c>
      <c r="I179" s="130"/>
      <c r="J179" s="131">
        <f>$J$120*H179</f>
        <v>60</v>
      </c>
    </row>
    <row r="180" spans="1:23" s="1" customFormat="1" ht="18" customHeight="1">
      <c r="A180" s="201">
        <f t="shared" si="33"/>
        <v>8</v>
      </c>
      <c r="B180" s="140" t="s">
        <v>118</v>
      </c>
      <c r="C180" s="140" t="s">
        <v>77</v>
      </c>
      <c r="D180" s="139" t="s">
        <v>80</v>
      </c>
      <c r="E180" s="143"/>
      <c r="F180" s="143" t="s">
        <v>80</v>
      </c>
      <c r="G180" s="143" t="s">
        <v>185</v>
      </c>
      <c r="H180" s="143">
        <v>1</v>
      </c>
      <c r="I180" s="130"/>
      <c r="J180" s="131">
        <f t="shared" si="31"/>
        <v>30</v>
      </c>
    </row>
    <row r="181" spans="1:23" s="1" customFormat="1" ht="18" customHeight="1">
      <c r="A181" s="201">
        <f t="shared" si="33"/>
        <v>9</v>
      </c>
      <c r="B181" s="140" t="s">
        <v>120</v>
      </c>
      <c r="C181" s="140" t="s">
        <v>94</v>
      </c>
      <c r="D181" s="139" t="s">
        <v>96</v>
      </c>
      <c r="E181" s="143"/>
      <c r="F181" s="143" t="s">
        <v>96</v>
      </c>
      <c r="G181" s="143" t="s">
        <v>185</v>
      </c>
      <c r="H181" s="143">
        <v>1</v>
      </c>
      <c r="I181" s="130"/>
      <c r="J181" s="131">
        <f t="shared" si="31"/>
        <v>30</v>
      </c>
    </row>
    <row r="182" spans="1:23" s="1" customFormat="1" ht="18" customHeight="1">
      <c r="A182" s="201">
        <f t="shared" si="33"/>
        <v>10</v>
      </c>
      <c r="B182" s="140" t="s">
        <v>131</v>
      </c>
      <c r="C182" s="140" t="s">
        <v>100</v>
      </c>
      <c r="D182" s="139" t="s">
        <v>102</v>
      </c>
      <c r="E182" s="143"/>
      <c r="F182" s="143" t="s">
        <v>102</v>
      </c>
      <c r="G182" s="143" t="s">
        <v>185</v>
      </c>
      <c r="H182" s="143">
        <v>4</v>
      </c>
      <c r="I182" s="130"/>
      <c r="J182" s="131">
        <f t="shared" si="31"/>
        <v>120</v>
      </c>
      <c r="N182" s="56"/>
      <c r="O182" s="56"/>
      <c r="P182" s="56"/>
      <c r="Q182" s="289"/>
      <c r="R182" s="289"/>
      <c r="S182" s="289"/>
      <c r="T182" s="17"/>
      <c r="U182" s="17"/>
      <c r="V182" s="17"/>
      <c r="W182" s="56"/>
    </row>
    <row r="183" spans="1:23" s="1" customFormat="1" ht="18" customHeight="1">
      <c r="A183" s="201">
        <f t="shared" si="33"/>
        <v>11</v>
      </c>
      <c r="B183" s="140" t="s">
        <v>168</v>
      </c>
      <c r="C183" s="140" t="s">
        <v>167</v>
      </c>
      <c r="D183" s="139" t="s">
        <v>165</v>
      </c>
      <c r="E183" s="143"/>
      <c r="F183" s="143" t="s">
        <v>165</v>
      </c>
      <c r="G183" s="143" t="s">
        <v>185</v>
      </c>
      <c r="H183" s="143">
        <v>2</v>
      </c>
      <c r="I183" s="144"/>
      <c r="J183" s="131">
        <f t="shared" si="31"/>
        <v>60</v>
      </c>
      <c r="N183" s="101" t="s">
        <v>227</v>
      </c>
      <c r="O183" s="246" t="s">
        <v>29</v>
      </c>
      <c r="P183" s="246" t="s">
        <v>3</v>
      </c>
      <c r="Q183" s="246" t="s">
        <v>199</v>
      </c>
      <c r="R183" s="246" t="s">
        <v>5</v>
      </c>
      <c r="S183" s="246" t="s">
        <v>28</v>
      </c>
      <c r="T183" s="246" t="s">
        <v>19</v>
      </c>
      <c r="U183" s="246" t="s">
        <v>200</v>
      </c>
      <c r="V183" s="246" t="s">
        <v>20</v>
      </c>
      <c r="W183" s="246" t="s">
        <v>201</v>
      </c>
    </row>
    <row r="184" spans="1:23" s="1" customFormat="1" ht="18" customHeight="1">
      <c r="A184" s="201">
        <f t="shared" si="33"/>
        <v>12</v>
      </c>
      <c r="B184" s="140" t="s">
        <v>169</v>
      </c>
      <c r="C184" s="140" t="s">
        <v>166</v>
      </c>
      <c r="D184" s="139" t="s">
        <v>156</v>
      </c>
      <c r="E184" s="143"/>
      <c r="F184" s="143" t="s">
        <v>156</v>
      </c>
      <c r="G184" s="143" t="s">
        <v>185</v>
      </c>
      <c r="H184" s="143">
        <v>2</v>
      </c>
      <c r="I184" s="144"/>
      <c r="J184" s="131">
        <f t="shared" si="31"/>
        <v>60</v>
      </c>
      <c r="N184" s="101" t="s">
        <v>240</v>
      </c>
      <c r="O184" s="290" t="s">
        <v>234</v>
      </c>
      <c r="P184" s="290" t="s">
        <v>236</v>
      </c>
      <c r="Q184" s="280" t="s">
        <v>190</v>
      </c>
      <c r="R184" s="213"/>
      <c r="S184" s="213" t="s">
        <v>190</v>
      </c>
      <c r="T184" s="213" t="s">
        <v>198</v>
      </c>
      <c r="U184" s="291">
        <f>((($I$134*$G$134)+($I$136*$G$136)+($I$139*$G$139))/1000)*$J$120</f>
        <v>286.2</v>
      </c>
      <c r="V184" s="291">
        <v>300</v>
      </c>
      <c r="W184" s="292">
        <f>ROUNDUP((U184)/V184,0)</f>
        <v>1</v>
      </c>
    </row>
    <row r="185" spans="1:23" s="1" customFormat="1" ht="18" customHeight="1">
      <c r="A185" s="201">
        <f t="shared" si="33"/>
        <v>13</v>
      </c>
      <c r="B185" s="140" t="s">
        <v>113</v>
      </c>
      <c r="C185" s="140" t="s">
        <v>502</v>
      </c>
      <c r="D185" s="139" t="s">
        <v>83</v>
      </c>
      <c r="E185" s="143"/>
      <c r="F185" s="143" t="s">
        <v>83</v>
      </c>
      <c r="G185" s="143" t="s">
        <v>185</v>
      </c>
      <c r="H185" s="143">
        <v>4</v>
      </c>
      <c r="I185" s="144"/>
      <c r="J185" s="131">
        <f t="shared" si="31"/>
        <v>120</v>
      </c>
      <c r="N185" s="101" t="s">
        <v>241</v>
      </c>
      <c r="O185" s="290" t="s">
        <v>235</v>
      </c>
      <c r="P185" s="290" t="s">
        <v>238</v>
      </c>
      <c r="Q185" s="280" t="s">
        <v>71</v>
      </c>
      <c r="R185" s="213"/>
      <c r="S185" s="213" t="s">
        <v>71</v>
      </c>
      <c r="T185" s="213" t="s">
        <v>198</v>
      </c>
      <c r="U185" s="291">
        <f>((($I$134*$G$134)+($I$136*$G$136)+($I$139*$G$139))/1000)*$J$120</f>
        <v>286.2</v>
      </c>
      <c r="V185" s="291">
        <v>100</v>
      </c>
      <c r="W185" s="292">
        <f t="shared" ref="W185:W187" si="34">ROUNDUP((U185)/V185,0)</f>
        <v>3</v>
      </c>
    </row>
    <row r="186" spans="1:23" s="1" customFormat="1" ht="18" customHeight="1">
      <c r="A186" s="201">
        <f t="shared" si="33"/>
        <v>14</v>
      </c>
      <c r="B186" s="140" t="s">
        <v>122</v>
      </c>
      <c r="C186" s="140" t="s">
        <v>101</v>
      </c>
      <c r="D186" s="139" t="s">
        <v>104</v>
      </c>
      <c r="E186" s="143"/>
      <c r="F186" s="143" t="s">
        <v>104</v>
      </c>
      <c r="G186" s="143" t="s">
        <v>185</v>
      </c>
      <c r="H186" s="143">
        <v>1</v>
      </c>
      <c r="I186" s="144"/>
      <c r="J186" s="131">
        <f t="shared" si="31"/>
        <v>30</v>
      </c>
      <c r="N186" s="101" t="s">
        <v>240</v>
      </c>
      <c r="O186" s="290" t="s">
        <v>245</v>
      </c>
      <c r="P186" s="290" t="s">
        <v>237</v>
      </c>
      <c r="Q186" s="280" t="s">
        <v>72</v>
      </c>
      <c r="R186" s="213"/>
      <c r="S186" s="213" t="s">
        <v>72</v>
      </c>
      <c r="T186" s="213" t="s">
        <v>198</v>
      </c>
      <c r="U186" s="291">
        <f>((($I$141*$G$141*2)+($I$143*$G$143*2)+($I$144*$G$144*2)+($I$145*$G$145))/1000)*$J$120</f>
        <v>2578.8450000000003</v>
      </c>
      <c r="V186" s="291">
        <v>350</v>
      </c>
      <c r="W186" s="292">
        <f t="shared" si="34"/>
        <v>8</v>
      </c>
    </row>
    <row r="187" spans="1:23" s="1" customFormat="1" ht="18" customHeight="1">
      <c r="A187" s="201">
        <f t="shared" si="33"/>
        <v>15</v>
      </c>
      <c r="B187" s="140" t="s">
        <v>112</v>
      </c>
      <c r="C187" s="140" t="s">
        <v>114</v>
      </c>
      <c r="D187" s="128" t="s">
        <v>520</v>
      </c>
      <c r="E187" s="129"/>
      <c r="F187" s="129" t="s">
        <v>520</v>
      </c>
      <c r="G187" s="143" t="s">
        <v>202</v>
      </c>
      <c r="H187" s="143">
        <v>8</v>
      </c>
      <c r="I187" s="130"/>
      <c r="J187" s="131">
        <f t="shared" si="31"/>
        <v>240</v>
      </c>
      <c r="N187" s="101" t="s">
        <v>241</v>
      </c>
      <c r="O187" s="290" t="s">
        <v>246</v>
      </c>
      <c r="P187" s="290" t="s">
        <v>239</v>
      </c>
      <c r="Q187" s="280" t="s">
        <v>193</v>
      </c>
      <c r="R187" s="213"/>
      <c r="S187" s="213" t="s">
        <v>193</v>
      </c>
      <c r="T187" s="213" t="s">
        <v>198</v>
      </c>
      <c r="U187" s="291">
        <f>((($I$141*$G$141*2)+($I$143*$G$143*2)+($I$144*$G$144*2)+($I$145*$G$145))/1000)*$J$120</f>
        <v>2578.8450000000003</v>
      </c>
      <c r="V187" s="291">
        <v>100</v>
      </c>
      <c r="W187" s="292">
        <f t="shared" si="34"/>
        <v>26</v>
      </c>
    </row>
    <row r="188" spans="1:23" s="1" customFormat="1" ht="18" customHeight="1">
      <c r="A188" s="201">
        <f t="shared" si="33"/>
        <v>16</v>
      </c>
      <c r="B188" s="140" t="s">
        <v>115</v>
      </c>
      <c r="C188" s="140" t="s">
        <v>45</v>
      </c>
      <c r="D188" s="139" t="s">
        <v>84</v>
      </c>
      <c r="E188" s="143"/>
      <c r="F188" s="143" t="s">
        <v>84</v>
      </c>
      <c r="G188" s="143" t="s">
        <v>202</v>
      </c>
      <c r="H188" s="143">
        <v>1</v>
      </c>
      <c r="I188" s="130"/>
      <c r="J188" s="131">
        <f t="shared" si="31"/>
        <v>30</v>
      </c>
    </row>
    <row r="189" spans="1:23" s="1" customFormat="1" ht="18" customHeight="1">
      <c r="A189" s="201">
        <f t="shared" si="33"/>
        <v>17</v>
      </c>
      <c r="B189" s="140" t="s">
        <v>110</v>
      </c>
      <c r="C189" s="140" t="s">
        <v>66</v>
      </c>
      <c r="D189" s="139" t="s">
        <v>128</v>
      </c>
      <c r="E189" s="143"/>
      <c r="F189" s="143" t="s">
        <v>128</v>
      </c>
      <c r="G189" s="143" t="s">
        <v>202</v>
      </c>
      <c r="H189" s="143">
        <v>1</v>
      </c>
      <c r="I189" s="130"/>
      <c r="J189" s="131">
        <f>$J$120*H189</f>
        <v>30</v>
      </c>
    </row>
    <row r="190" spans="1:23" s="1" customFormat="1" ht="18" customHeight="1">
      <c r="A190" s="201">
        <f t="shared" si="33"/>
        <v>18</v>
      </c>
      <c r="B190" s="140" t="s">
        <v>110</v>
      </c>
      <c r="C190" s="140" t="s">
        <v>66</v>
      </c>
      <c r="D190" s="139" t="s">
        <v>73</v>
      </c>
      <c r="E190" s="143"/>
      <c r="F190" s="143" t="s">
        <v>73</v>
      </c>
      <c r="G190" s="143" t="s">
        <v>202</v>
      </c>
      <c r="H190" s="143">
        <v>4</v>
      </c>
      <c r="I190" s="130"/>
      <c r="J190" s="131">
        <f t="shared" ref="J190" si="35">$J$120*H190</f>
        <v>120</v>
      </c>
    </row>
    <row r="191" spans="1:23" s="1" customFormat="1" ht="18" customHeight="1">
      <c r="A191" s="201">
        <f t="shared" si="33"/>
        <v>19</v>
      </c>
      <c r="B191" s="140" t="s">
        <v>647</v>
      </c>
      <c r="C191" s="140" t="s">
        <v>127</v>
      </c>
      <c r="D191" s="139" t="s">
        <v>126</v>
      </c>
      <c r="E191" s="143"/>
      <c r="F191" s="143" t="s">
        <v>126</v>
      </c>
      <c r="G191" s="143" t="s">
        <v>185</v>
      </c>
      <c r="H191" s="143">
        <v>1</v>
      </c>
      <c r="I191" s="130"/>
      <c r="J191" s="131">
        <f>$J$120*H191</f>
        <v>30</v>
      </c>
    </row>
    <row r="192" spans="1:23" s="1" customFormat="1" ht="18" customHeight="1">
      <c r="A192" s="201">
        <f t="shared" si="33"/>
        <v>20</v>
      </c>
      <c r="B192" s="140" t="s">
        <v>648</v>
      </c>
      <c r="C192" s="140" t="s">
        <v>127</v>
      </c>
      <c r="D192" s="139" t="s">
        <v>521</v>
      </c>
      <c r="E192" s="143"/>
      <c r="F192" s="143" t="s">
        <v>521</v>
      </c>
      <c r="G192" s="143" t="s">
        <v>185</v>
      </c>
      <c r="H192" s="143">
        <v>1</v>
      </c>
      <c r="I192" s="130"/>
      <c r="J192" s="131">
        <f>$J$120*H192</f>
        <v>30</v>
      </c>
    </row>
    <row r="193" spans="1:24" ht="18" customHeight="1">
      <c r="A193" s="201">
        <f t="shared" si="33"/>
        <v>21</v>
      </c>
      <c r="B193" s="140" t="s">
        <v>512</v>
      </c>
      <c r="C193" s="140" t="s">
        <v>135</v>
      </c>
      <c r="D193" s="139" t="s">
        <v>137</v>
      </c>
      <c r="E193" s="143"/>
      <c r="F193" s="143" t="s">
        <v>137</v>
      </c>
      <c r="G193" s="143" t="s">
        <v>198</v>
      </c>
      <c r="H193" s="261">
        <f>((($I$149*$G$149)+($I$150*$G$150))/1000)*$J$120</f>
        <v>134.88000000000002</v>
      </c>
      <c r="I193" s="258">
        <v>100</v>
      </c>
      <c r="J193" s="260">
        <f>ROUNDUP((H193)/100,0)</f>
        <v>2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s="1" customFormat="1" ht="18" customHeight="1">
      <c r="A194" s="201">
        <f t="shared" si="33"/>
        <v>22</v>
      </c>
      <c r="B194" s="140" t="s">
        <v>513</v>
      </c>
      <c r="C194" s="140" t="s">
        <v>136</v>
      </c>
      <c r="D194" s="139" t="s">
        <v>138</v>
      </c>
      <c r="E194" s="143"/>
      <c r="F194" s="143" t="s">
        <v>138</v>
      </c>
      <c r="G194" s="143" t="s">
        <v>198</v>
      </c>
      <c r="H194" s="261">
        <f>(((($I$146*$G$146*2))/1000)*$J$120)</f>
        <v>134.88000000000002</v>
      </c>
      <c r="I194" s="258">
        <v>100</v>
      </c>
      <c r="J194" s="260">
        <f t="shared" ref="J194:J198" si="36">ROUNDUP((H194)/100,0)</f>
        <v>2</v>
      </c>
    </row>
    <row r="195" spans="1:24" s="1" customFormat="1" ht="18" customHeight="1">
      <c r="A195" s="201">
        <f t="shared" si="33"/>
        <v>23</v>
      </c>
      <c r="B195" s="139" t="str">
        <f>IF($D$129="Standard",$O$184,IF($D$129="Soumdproof",$O$185,))</f>
        <v>ยางเฟรมกันน้ำ (ธรรมดา)</v>
      </c>
      <c r="C195" s="139" t="str">
        <f>IF($D$129="Standard",$P$184,IF($D$129="Soumdproof",$P$185,))</f>
        <v>FRAME SEAL (Standard)</v>
      </c>
      <c r="D195" s="139" t="str">
        <f>IF($D$129="Standard",$Q$184,IF($D$129="Soumdproof",$Q$185,))</f>
        <v>02-026</v>
      </c>
      <c r="E195" s="143">
        <f t="shared" ref="E195" si="37">IF($D$129="Standard",R189,IF($D$129="Soumdproof",R190,))</f>
        <v>0</v>
      </c>
      <c r="F195" s="143" t="str">
        <f>IF($D$129="Standard",$S$184,IF($D$129="Soumdproof",$S$185,))</f>
        <v>02-026</v>
      </c>
      <c r="G195" s="143" t="str">
        <f>IF($D$129="Standard",$T$184,IF($D$129="Soumdproof",$T$185,))</f>
        <v>M</v>
      </c>
      <c r="H195" s="261">
        <f>IF($D$129="Standard",$U$184,IF($D$129="Soumdproof",$U$185,))</f>
        <v>286.2</v>
      </c>
      <c r="I195" s="258">
        <f>IF($D$129="Standard",$V$184,IF($D$129="Soumdproof",$V$185,))</f>
        <v>300</v>
      </c>
      <c r="J195" s="260">
        <f t="shared" si="36"/>
        <v>3</v>
      </c>
    </row>
    <row r="196" spans="1:24" s="1" customFormat="1" ht="18" customHeight="1">
      <c r="A196" s="201">
        <f t="shared" si="33"/>
        <v>24</v>
      </c>
      <c r="B196" s="139" t="str">
        <f>IF($D$129="Standard",$O$186,IF($D$129="Soumdproof",$O$187,))</f>
        <v>ยางแซชกันน้ำ (ธรรมดา)</v>
      </c>
      <c r="C196" s="139" t="str">
        <f>IF($D$129="Standard",$P$186,IF($D$129="Soumdproof",$P$187,))</f>
        <v>SASH SEAL FOAM (Standard)</v>
      </c>
      <c r="D196" s="139" t="str">
        <f>IF($D$129="Standard",$Q$186,IF($D$129="Soumdproof",$Q$187,))</f>
        <v>02-031</v>
      </c>
      <c r="E196" s="143">
        <f>IF($D$129="Standard",R191,IF($D$129="Soumdproof",R192,))</f>
        <v>0</v>
      </c>
      <c r="F196" s="143" t="str">
        <f>IF($D$129="Standard",$S$186,IF($D$129="Soumdproof",$S$187,))</f>
        <v>02-031</v>
      </c>
      <c r="G196" s="143" t="str">
        <f>IF($D$129="Standard",$T$186,IF($D$129="Soumdproof",$T$187,))</f>
        <v>M</v>
      </c>
      <c r="H196" s="261">
        <f>IF($D$129="Standard",$U$186,IF($D$129="Soumdproof",$U$187,))</f>
        <v>2578.8450000000003</v>
      </c>
      <c r="I196" s="258">
        <f>IF($D$129="Standard",$V$186,IF($D$129="Soumdproof",$V$187,))</f>
        <v>350</v>
      </c>
      <c r="J196" s="260">
        <f t="shared" si="36"/>
        <v>26</v>
      </c>
    </row>
    <row r="197" spans="1:24" s="1" customFormat="1" ht="18" customHeight="1">
      <c r="A197" s="201">
        <f t="shared" si="33"/>
        <v>25</v>
      </c>
      <c r="B197" s="241" t="str">
        <f>IF($D$127=5,$O$175,IF($D$127=6,$O$176,IF($D$127=8,$O$177,IF($D$127=10,$O$175,IF($D$127=12,$O$175,IF($D$127=14,$O$177,IF($D$127=18,$O$175,IF($D$127=20,$O$176,IF($D$127=22,"")))))))))</f>
        <v>6,20 mm ยางอัดกระจก</v>
      </c>
      <c r="C197" s="241" t="str">
        <f>IF($D$127=5,$P$175,IF($D$127=6,$P$176,IF($D$127=8,$P$177,IF($D$127=10,$P$175,IF($D$127=12,$P$175,IF($D$127=14,$P$177,IF($D$127=18,$P$175,IF($D$127=20,$P$176,IF($D$127=22,"")))))))))</f>
        <v>6,20 mm ROLL IN WEDGE</v>
      </c>
      <c r="D197" s="241" t="str">
        <f>IF($D$127=5,$Q$175,IF($D$127=6,$Q$176,IF($D$127=8,$Q$177,IF($D$127=10,$Q$175,IF($D$127=12,$Q$175,IF($D$127=14,$Q$177,IF($D$127=18,$Q$175,IF($D$127=20,$Q$176,IF($D$127=22,"")))))))))</f>
        <v>02-034</v>
      </c>
      <c r="E197" s="241">
        <f t="shared" ref="E197" si="38">IF($D$127=5,R180,IF($D$127=6,R181,IF($D$127=8,R182,IF($D$127=10,R180,IF($D$127=12,R180,IF($D$127=14,R182,IF($D$127=18,R180,IF($D$127=20,R181,IF($D$127=22,"",)))))))))</f>
        <v>0</v>
      </c>
      <c r="F197" s="242" t="str">
        <f>IF($D$127=5,$S$175,IF($D$127=6,$S$176,IF($D$127=8,$S$177,IF($D$127=10,$S$175,IF($D$127=12,$S$175,IF($D$127=14,$S$177,IF($D$127=18,$S$175,IF($D$127=20,$S$176,IF($D$127=22,"")))))))))</f>
        <v>02-034</v>
      </c>
      <c r="G197" s="242" t="str">
        <f>IF($D$127=5,$T$175,IF($D$127=6,$T$176,IF($D$127=8,$T$177,IF($D$127=10,$T$175,IF($D$127=12,$T$175,IF($D$127=14,$T$177,IF($D$127=18,$T$175,IF($D$127=20,$T$176,IF($D$127=22,"")))))))))</f>
        <v>M</v>
      </c>
      <c r="H197" s="261">
        <f>IF($D$127=5,$U$175,IF($D$127=6,$U$176,IF($D$127=8,$U$177,IF($D$127=10,$U$175*2,IF($D$127=12,$U$175,IF($D$127=14,$U$177*2,IF($D$127=18,$U$175,IF($D$127=20,$U$176,IF($D$127=22,"")))))))))</f>
        <v>1499.8049999999998</v>
      </c>
      <c r="I197" s="258">
        <f>IF($D$127=5,$V$175,IF($D$127=6,$V$176,IF($D$127=8,$V$177,IF($D$127=10,$V$175,IF($D$127=12,$V$175,IF($D$127=14,$V$177,IF($D$127=18,$V$175,IF($D$127=20,$V$176,IF($D$127=22,"")))))))))</f>
        <v>100</v>
      </c>
      <c r="J197" s="260">
        <f t="shared" si="36"/>
        <v>15</v>
      </c>
    </row>
    <row r="198" spans="1:24" s="1" customFormat="1" ht="18" customHeight="1">
      <c r="A198" s="201">
        <f t="shared" si="33"/>
        <v>26</v>
      </c>
      <c r="B198" s="241" t="str">
        <f>IF($D$127=5,$O$173,IF($D$127=6,$O$173,IF($D$127=8,$O$175,IF($D$127=10,"",IF($D$127=12,$O$174,IF($D$127=14,"",IF($D$127=18,$O$173,IF($D$127=20,$O$174,IF($D$127=22,"",)))))))))</f>
        <v>5,6,18 mm ยางรองกระจก</v>
      </c>
      <c r="C198" s="241" t="str">
        <f>IF($D$127=5,$P$173,IF($D$127=6,$P$173,IF($D$127=8,$P$175,IF($D$127=10,"",IF($D$127=12,$P$174,IF($D$127=14,"",IF($D$127=18,$P$173,IF($D$127=20,$P$174,IF($D$127=22,"",)))))))))</f>
        <v>5,6,18 mm CAPTIVE WEDGE</v>
      </c>
      <c r="D198" s="241" t="str">
        <f>IF($D$127=5,$Q$173,IF($D$127=6,$Q$173,IF($D$127=8,$Q$175,IF($D$127=10,"",IF($D$127=12,$Q$174,IF($D$127=14,"",IF($D$127=18,$Q$173,IF($D$127=20,$Q$174,IF($D$127=22,"",)))))))))</f>
        <v>02-022</v>
      </c>
      <c r="E198" s="241">
        <f t="shared" ref="E198" si="39">IF($D$127=5,R178,IF($D$127=6,R178,IF($D$127=8,R180,IF($D$127=10,"",IF($D$127=12,R179,IF($D$127=14,"",IF($D$127=18,R178,IF($D$127=20,R179,IF($D$127=22,"",)))))))))</f>
        <v>0</v>
      </c>
      <c r="F198" s="242" t="str">
        <f>IF($D$127=5,$S$173,IF($D$127=6,$S$173,IF($D$127=8,$S$175,IF($D$127=10,"",IF($D$127=12,$S$174,IF($D$127=14,"",IF($D$127=18,$S$173,IF($D$127=20,$S$174,IF($D$127=22,"",)))))))))</f>
        <v>02-022</v>
      </c>
      <c r="G198" s="242" t="str">
        <f>IF($D$127=5,$T$173,IF($D$127=6,$T$173,IF($D$127=8,$T$175,IF($D$127=10,"",IF($D$127=12,$T$174,IF($D$127=14,"",IF($D$127=18,$T$173,IF($D$127=20,$T$174,IF($D$127=22,"",)))))))))</f>
        <v>M</v>
      </c>
      <c r="H198" s="261">
        <f>IF($D$127=5,$U$173,IF($D$127=6,$U$173,IF($D$127=8,$U$175,IF($D$127=10,"",IF($D$127=12,$U$174,IF($D$127=14,"",IF($D$127=18,$U$173,IF($D$127=20,$U$174,IF($D$127=22,"")))))))))</f>
        <v>1499.8049999999998</v>
      </c>
      <c r="I198" s="258">
        <f>IF($D$127=5,$V$173,IF($D$127=6,$V$173,IF($D$127=8,$V$175,IF($D$127=10,"",IF($D$127=12,$V$174,IF($D$127=14,"",IF($D$127=18,$V$173,IF($D$127=20,$V$174,IF($D$127=22,"",)))))))))</f>
        <v>100</v>
      </c>
      <c r="J198" s="260">
        <f t="shared" si="36"/>
        <v>15</v>
      </c>
    </row>
    <row r="199" spans="1:24" s="1" customFormat="1" ht="18" customHeight="1">
      <c r="A199" s="201" t="str">
        <f t="shared" si="33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 t="shared" si="31"/>
        <v>0</v>
      </c>
    </row>
    <row r="200" spans="1:24" s="1" customFormat="1" ht="18" customHeight="1">
      <c r="A200" s="201" t="str">
        <f t="shared" si="33"/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si="31"/>
        <v>0</v>
      </c>
    </row>
    <row r="201" spans="1:24" s="1" customFormat="1" ht="18" customHeight="1">
      <c r="A201" s="201" t="str">
        <f t="shared" si="33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si="31"/>
        <v>0</v>
      </c>
    </row>
    <row r="202" spans="1:24" s="1" customFormat="1" ht="18" customHeight="1">
      <c r="A202" s="201" t="str">
        <f t="shared" si="33"/>
        <v/>
      </c>
      <c r="B202" s="140"/>
      <c r="C202" s="140"/>
      <c r="D202" s="139"/>
      <c r="E202" s="143"/>
      <c r="F202" s="143"/>
      <c r="G202" s="143"/>
      <c r="H202" s="143"/>
      <c r="I202" s="130"/>
      <c r="J202" s="131"/>
    </row>
    <row r="203" spans="1:24" s="1" customFormat="1" ht="18" customHeight="1">
      <c r="A203" s="201" t="str">
        <f t="shared" si="33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ref="J203:J205" si="40">$J$120*H203</f>
        <v>0</v>
      </c>
    </row>
    <row r="204" spans="1:24" s="1" customFormat="1" ht="18" customHeight="1">
      <c r="A204" s="201" t="str">
        <f t="shared" si="33"/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 t="shared" si="40"/>
        <v>0</v>
      </c>
    </row>
    <row r="205" spans="1:24" s="1" customFormat="1" ht="18" customHeight="1">
      <c r="A205" s="317" t="str">
        <f>IF(B205="","",+A204+1)</f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 t="shared" si="40"/>
        <v>0</v>
      </c>
    </row>
    <row r="206" spans="1:24" s="1" customFormat="1" ht="18" customHeight="1">
      <c r="A206" s="25"/>
      <c r="B206" s="161"/>
      <c r="C206" s="33"/>
      <c r="D206" s="30"/>
      <c r="E206" s="17"/>
      <c r="F206" s="30"/>
      <c r="G206" s="30"/>
      <c r="H206" s="161"/>
      <c r="I206" s="24"/>
      <c r="J206" s="24"/>
    </row>
    <row r="207" spans="1:24" ht="18" customHeight="1">
      <c r="A207" s="17"/>
      <c r="J207" s="99" t="str">
        <f>LEFT($J$111,14)&amp;"-02"</f>
        <v>FG-240-10P5L5R-02</v>
      </c>
    </row>
    <row r="208" spans="1:24" ht="12.75" customHeight="1">
      <c r="B208" s="56"/>
      <c r="C208" s="56"/>
      <c r="D208" s="30"/>
      <c r="E208" s="17"/>
      <c r="F208" s="17"/>
      <c r="G208" s="17"/>
      <c r="H208" s="17"/>
      <c r="K208" s="7"/>
      <c r="L208" s="7"/>
      <c r="M208" s="2"/>
      <c r="N208" s="2"/>
    </row>
    <row r="209" spans="1:14" ht="30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265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265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/>
      <c r="C215"/>
      <c r="D215" s="81"/>
      <c r="E215"/>
      <c r="F215"/>
      <c r="G215"/>
      <c r="H215"/>
      <c r="I215" s="160"/>
      <c r="J215" s="116"/>
    </row>
    <row r="216" spans="1:14" s="1" customFormat="1" ht="15" customHeight="1">
      <c r="A216" s="17"/>
      <c r="B216" s="93"/>
      <c r="C216" s="56"/>
      <c r="D216" s="30"/>
      <c r="E216" s="29"/>
      <c r="F216" s="160"/>
      <c r="G216" s="160"/>
      <c r="H216" s="16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s="1" customFormat="1" ht="15.6">
      <c r="A218" s="109"/>
      <c r="B218" s="33"/>
      <c r="C218" s="327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272</v>
      </c>
      <c r="D220" s="30"/>
      <c r="E220" s="29"/>
      <c r="F220" s="30"/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89"/>
      <c r="J221" s="12"/>
    </row>
    <row r="222" spans="1:14" s="1" customFormat="1" ht="15" customHeight="1">
      <c r="A222" s="109"/>
      <c r="B222" s="33"/>
      <c r="C222" s="327" t="s">
        <v>273</v>
      </c>
      <c r="D222" s="161"/>
      <c r="E222" s="109"/>
      <c r="F222" s="161"/>
      <c r="J222" s="12"/>
    </row>
    <row r="223" spans="1:14" s="1" customFormat="1" ht="15" customHeight="1">
      <c r="A223" s="109"/>
      <c r="B223" s="33"/>
      <c r="C223" s="374">
        <f>$I$133</f>
        <v>3661</v>
      </c>
      <c r="D223" s="161"/>
      <c r="E223" s="35"/>
      <c r="F223" s="161"/>
      <c r="G223" s="68"/>
      <c r="J223" s="12"/>
    </row>
    <row r="224" spans="1:14" s="1" customFormat="1" ht="15" customHeight="1">
      <c r="A224" s="109"/>
      <c r="B224" s="33"/>
      <c r="C224" s="363">
        <f>$J$133</f>
        <v>30</v>
      </c>
      <c r="D224" s="161"/>
      <c r="E224" s="35"/>
      <c r="F224" s="161"/>
      <c r="G224" s="326"/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326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327"/>
      <c r="D229" s="161"/>
      <c r="E229" s="109"/>
      <c r="F229" s="161"/>
      <c r="H229" s="109"/>
      <c r="I229" s="263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263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263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263"/>
      <c r="J232" s="117"/>
    </row>
    <row r="233" spans="1:10" s="1" customFormat="1" ht="15.9" customHeight="1">
      <c r="A233" s="44"/>
      <c r="B233" s="44"/>
      <c r="C233" s="89" t="s">
        <v>274</v>
      </c>
      <c r="D233" s="84"/>
      <c r="E233" s="44"/>
      <c r="F233" s="44"/>
      <c r="G233" s="109"/>
      <c r="H233" s="109"/>
      <c r="I233" s="263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3635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30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263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63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109"/>
      <c r="J242" s="24"/>
    </row>
    <row r="243" spans="1:10" s="1" customFormat="1" ht="15.9" customHeight="1">
      <c r="A243" s="109"/>
      <c r="B243" s="33"/>
      <c r="C243" s="89" t="s">
        <v>276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.9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" customHeight="1">
      <c r="A245" s="109"/>
      <c r="B245" s="33"/>
      <c r="C245" s="327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3661</v>
      </c>
      <c r="D246" s="161"/>
      <c r="E246" s="109"/>
      <c r="F246" s="161"/>
      <c r="G246" s="109"/>
      <c r="H246" s="109"/>
      <c r="I246" s="44"/>
      <c r="J246" s="119"/>
    </row>
    <row r="247" spans="1:10" s="1" customFormat="1" ht="15.9" customHeight="1">
      <c r="A247" s="109"/>
      <c r="B247" s="33"/>
      <c r="C247" s="363">
        <f>$J$135</f>
        <v>30</v>
      </c>
      <c r="D247" s="161"/>
      <c r="E247" s="109"/>
      <c r="F247" s="161"/>
      <c r="G247" s="109"/>
      <c r="H247" s="109"/>
      <c r="I247" s="32"/>
      <c r="J247" s="40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0"/>
      <c r="H251" s="109"/>
      <c r="I251" s="24"/>
      <c r="J251" s="24"/>
    </row>
    <row r="252" spans="1:10" s="1" customFormat="1" ht="15.9" customHeight="1">
      <c r="A252" s="109"/>
      <c r="B252" s="33"/>
      <c r="D252" s="161"/>
      <c r="E252" s="109"/>
      <c r="F252" s="109"/>
      <c r="G252" s="109"/>
      <c r="H252" s="109"/>
      <c r="I252" s="24"/>
      <c r="J252" s="24"/>
    </row>
    <row r="253" spans="1:10" s="1" customFormat="1" ht="15.9" customHeight="1">
      <c r="A253" s="44"/>
      <c r="B253" s="44"/>
      <c r="D253" s="84"/>
      <c r="E253" s="44"/>
      <c r="F253" s="44"/>
      <c r="G253" s="109"/>
      <c r="H253" s="109"/>
      <c r="I253" s="24"/>
      <c r="J253" s="24"/>
    </row>
    <row r="254" spans="1:10" s="1" customFormat="1" ht="15.9" customHeight="1">
      <c r="A254" s="40"/>
      <c r="B254" s="40"/>
      <c r="C254" s="89" t="s">
        <v>277</v>
      </c>
      <c r="D254" s="85"/>
      <c r="E254" s="40"/>
      <c r="F254" s="32"/>
      <c r="G254" s="109"/>
      <c r="I254" s="24"/>
      <c r="J254" s="24"/>
    </row>
    <row r="255" spans="1:10" s="1" customFormat="1" ht="15.9" customHeight="1">
      <c r="A255" s="27"/>
      <c r="B255" s="33"/>
      <c r="C255" s="328" t="s">
        <v>275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27" t="s">
        <v>273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74">
        <f>$I$136</f>
        <v>3661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63">
        <f>$J$136</f>
        <v>30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46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161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89" t="s">
        <v>278</v>
      </c>
      <c r="D264" s="161"/>
      <c r="E264" s="109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8" t="s">
        <v>287</v>
      </c>
      <c r="D265" s="328"/>
      <c r="E265" s="328"/>
      <c r="F265" s="109"/>
      <c r="G265" s="109"/>
      <c r="H265" s="109"/>
      <c r="I265" s="24"/>
      <c r="J265" s="24"/>
    </row>
    <row r="266" spans="1:10" s="1" customFormat="1" ht="15.9" customHeight="1">
      <c r="A266" s="27"/>
      <c r="B266" s="33"/>
      <c r="C266" s="327" t="s">
        <v>279</v>
      </c>
      <c r="D266" s="327"/>
      <c r="E266" s="327"/>
      <c r="F266" s="109"/>
      <c r="G266" s="109"/>
      <c r="H266" s="109"/>
      <c r="J266" s="12"/>
    </row>
    <row r="267" spans="1:10" s="1" customFormat="1" ht="15.9" customHeight="1">
      <c r="A267" s="27"/>
      <c r="B267" s="33"/>
      <c r="C267" s="374">
        <f>$I$137</f>
        <v>2340</v>
      </c>
      <c r="D267" s="161"/>
      <c r="E267" s="109"/>
      <c r="F267" s="109"/>
      <c r="G267" s="33"/>
      <c r="H267" s="33"/>
      <c r="J267" s="12"/>
    </row>
    <row r="268" spans="1:10" s="1" customFormat="1" ht="15.9" customHeight="1">
      <c r="A268" s="27"/>
      <c r="B268" s="33"/>
      <c r="C268" s="363">
        <f>$J$137+$J$138</f>
        <v>60</v>
      </c>
      <c r="D268" s="161"/>
      <c r="E268" s="10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D271" s="328"/>
      <c r="E271" s="328"/>
      <c r="F271" s="109"/>
      <c r="G271" s="109"/>
      <c r="H271" s="109"/>
      <c r="J271" s="12"/>
    </row>
    <row r="272" spans="1:10" s="1" customFormat="1" ht="15.9" customHeight="1">
      <c r="A272" s="27"/>
      <c r="B272" s="33"/>
      <c r="D272" s="328"/>
      <c r="E272" s="328"/>
      <c r="F272" s="109"/>
      <c r="G272" s="109"/>
      <c r="I272" s="24"/>
      <c r="J272" s="24"/>
    </row>
    <row r="273" spans="1:10" s="1" customFormat="1" ht="15.9" customHeight="1">
      <c r="A273" s="27"/>
      <c r="B273" s="33"/>
      <c r="C273" s="33"/>
      <c r="D273" s="161"/>
      <c r="E273" s="109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89" t="s">
        <v>280</v>
      </c>
      <c r="D274" s="162"/>
      <c r="E274" s="24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328" t="s">
        <v>649</v>
      </c>
      <c r="D275" s="328"/>
      <c r="E275" s="328"/>
      <c r="F275" s="109"/>
      <c r="G275" s="109"/>
      <c r="I275" s="109"/>
      <c r="J275" s="24"/>
    </row>
    <row r="276" spans="1:10" s="1" customFormat="1" ht="15.9" customHeight="1">
      <c r="A276" s="27"/>
      <c r="B276" s="33"/>
      <c r="C276" s="433" t="s">
        <v>650</v>
      </c>
      <c r="D276" s="327"/>
      <c r="E276" s="327"/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374">
        <f>$I$139</f>
        <v>2244</v>
      </c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363">
        <f>$J$139+$J$140</f>
        <v>60</v>
      </c>
      <c r="F278" s="109"/>
      <c r="G278" s="109"/>
      <c r="I278" s="109"/>
      <c r="J278" s="24"/>
    </row>
    <row r="279" spans="1:10" s="1" customFormat="1" ht="15.9" customHeight="1">
      <c r="A279" s="27"/>
      <c r="B279" s="33"/>
      <c r="F279" s="109"/>
      <c r="G279" s="109"/>
      <c r="H279" s="109"/>
      <c r="J279" s="12"/>
    </row>
    <row r="280" spans="1:10" s="1" customFormat="1" ht="15.9" customHeight="1">
      <c r="A280" s="27"/>
      <c r="B280" s="33"/>
      <c r="C280" s="33"/>
      <c r="D280" s="161"/>
      <c r="E280" s="109"/>
      <c r="F280" s="109"/>
      <c r="G280" s="109"/>
      <c r="H280" s="109"/>
      <c r="J280" s="12"/>
    </row>
    <row r="281" spans="1:10" s="1" customFormat="1" ht="15.9" customHeight="1">
      <c r="A281" s="27"/>
      <c r="B281" s="33"/>
      <c r="F281" s="109"/>
      <c r="G281" s="109"/>
      <c r="H281" s="109"/>
      <c r="J281" s="12"/>
    </row>
    <row r="282" spans="1:10" s="1" customFormat="1" ht="15.9" customHeight="1">
      <c r="A282" s="27"/>
      <c r="B282" s="33"/>
      <c r="F282" s="109"/>
      <c r="G282" s="109"/>
      <c r="H282" s="109"/>
      <c r="I282" s="162"/>
      <c r="J282" s="24"/>
    </row>
    <row r="283" spans="1:10" s="1" customFormat="1" ht="15.9" customHeight="1">
      <c r="A283" s="27"/>
      <c r="B283" s="33"/>
      <c r="C283" s="89" t="s">
        <v>283</v>
      </c>
      <c r="F283" s="109"/>
      <c r="G283" s="109"/>
      <c r="H283" s="109"/>
      <c r="I283" s="109"/>
      <c r="J283" s="24"/>
    </row>
    <row r="284" spans="1:10" s="1" customFormat="1" ht="15.9" customHeight="1">
      <c r="A284" s="27"/>
      <c r="B284" s="33"/>
      <c r="C284" s="94" t="s">
        <v>425</v>
      </c>
      <c r="D284" s="161"/>
      <c r="E284" s="109"/>
      <c r="F284" s="109"/>
      <c r="G284" s="109"/>
      <c r="H284" s="109"/>
      <c r="I284" s="24"/>
      <c r="J284" s="24"/>
    </row>
    <row r="285" spans="1:10" s="1" customFormat="1" ht="15.9" customHeight="1">
      <c r="A285" s="27"/>
      <c r="B285" s="33"/>
      <c r="C285" s="327" t="s">
        <v>426</v>
      </c>
      <c r="D285" s="161"/>
      <c r="E285" s="109"/>
      <c r="F285" s="109"/>
      <c r="G285" s="109"/>
      <c r="H285" s="109"/>
      <c r="I285" s="24"/>
      <c r="J285" s="24"/>
    </row>
    <row r="286" spans="1:10" s="1" customFormat="1" ht="15.9" customHeight="1">
      <c r="A286" s="27"/>
      <c r="B286" s="33"/>
      <c r="C286" s="328" t="s">
        <v>281</v>
      </c>
      <c r="D286" s="328"/>
      <c r="E286" s="328"/>
      <c r="F286" s="109"/>
      <c r="G286" s="109"/>
      <c r="I286" s="24"/>
      <c r="J286" s="24"/>
    </row>
    <row r="287" spans="1:10" s="23" customFormat="1" ht="15.9" customHeight="1">
      <c r="A287" s="27"/>
      <c r="B287" s="33"/>
      <c r="C287" s="327" t="s">
        <v>282</v>
      </c>
      <c r="D287" s="327"/>
      <c r="E287" s="327"/>
      <c r="F287" s="109"/>
      <c r="G287" s="109"/>
      <c r="H287" s="1"/>
      <c r="I287" s="109"/>
      <c r="J287" s="109"/>
    </row>
    <row r="288" spans="1:10" s="1" customFormat="1" ht="15.9" customHeight="1">
      <c r="A288" s="27"/>
      <c r="B288" s="33"/>
      <c r="C288" s="374">
        <f>$I$141</f>
        <v>251.67500000000001</v>
      </c>
      <c r="F288" s="109"/>
      <c r="G288" s="109"/>
      <c r="I288" s="44"/>
      <c r="J288" s="119"/>
    </row>
    <row r="289" spans="1:10" s="1" customFormat="1" ht="15.9" customHeight="1">
      <c r="A289" s="27"/>
      <c r="B289" s="33"/>
      <c r="C289" s="363">
        <f>$J$141+$J$142</f>
        <v>600</v>
      </c>
      <c r="D289" s="161"/>
      <c r="E289" s="109"/>
      <c r="F289" s="109"/>
      <c r="G289" s="109"/>
      <c r="H289" s="161"/>
      <c r="I289" s="32"/>
      <c r="J289" s="40"/>
    </row>
    <row r="290" spans="1:10" s="1" customFormat="1" ht="15.9" customHeight="1">
      <c r="A290" s="27"/>
      <c r="B290" s="33"/>
      <c r="C290" s="374">
        <f>$I$143</f>
        <v>2248</v>
      </c>
      <c r="D290" s="161"/>
      <c r="E290" s="109"/>
      <c r="F290" s="109"/>
      <c r="G290" s="109"/>
      <c r="H290" s="109"/>
      <c r="I290" s="24"/>
      <c r="J290" s="24"/>
    </row>
    <row r="291" spans="1:10" s="1" customFormat="1" ht="15.9" customHeight="1">
      <c r="A291" s="27"/>
      <c r="B291" s="33"/>
      <c r="C291" s="363">
        <f>$J$143+$J$144+$J$145+$J$146</f>
        <v>600</v>
      </c>
      <c r="D291" s="161"/>
      <c r="E291" s="109"/>
      <c r="F291" s="109"/>
      <c r="G291" s="109"/>
      <c r="H291" s="109"/>
      <c r="I291" s="24"/>
      <c r="J291" s="24"/>
    </row>
    <row r="292" spans="1:10" s="1" customFormat="1" ht="15.9" customHeight="1">
      <c r="A292" s="27"/>
      <c r="B292" s="33"/>
      <c r="C292" s="33"/>
      <c r="D292" s="161"/>
      <c r="E292" s="109"/>
      <c r="F292" s="109"/>
      <c r="G292" s="109"/>
      <c r="H292" s="109"/>
      <c r="I292" s="109"/>
      <c r="J292" s="24"/>
    </row>
    <row r="293" spans="1:10" s="1" customFormat="1" ht="15.9" customHeight="1">
      <c r="A293" s="27"/>
      <c r="B293" s="33"/>
      <c r="C293" s="23"/>
      <c r="D293" s="161"/>
      <c r="E293" s="109"/>
      <c r="F293" s="109"/>
      <c r="G293" s="109"/>
      <c r="H293" s="109"/>
      <c r="I293" s="109"/>
      <c r="J293" s="24"/>
    </row>
    <row r="294" spans="1:10" s="1" customFormat="1" ht="15.9" customHeight="1">
      <c r="A294" s="27"/>
      <c r="B294" s="33"/>
      <c r="C294" s="89" t="s">
        <v>284</v>
      </c>
      <c r="D294" s="161"/>
      <c r="E294" s="109"/>
      <c r="F294" s="109"/>
      <c r="G294" s="109"/>
      <c r="H294" s="109"/>
      <c r="I294" s="109"/>
      <c r="J294" s="24"/>
    </row>
    <row r="295" spans="1:10" s="1" customFormat="1" ht="15.9" customHeight="1">
      <c r="A295" s="27"/>
      <c r="B295" s="33"/>
      <c r="C295" s="94" t="s">
        <v>425</v>
      </c>
      <c r="D295" s="161"/>
      <c r="E295" s="109"/>
      <c r="F295" s="109"/>
      <c r="G295" s="44"/>
      <c r="H295" s="44"/>
      <c r="I295" s="109"/>
      <c r="J295" s="24"/>
    </row>
    <row r="296" spans="1:10" s="1" customFormat="1" ht="15.9" customHeight="1">
      <c r="A296" s="27"/>
      <c r="B296" s="33"/>
      <c r="C296" s="327" t="s">
        <v>427</v>
      </c>
      <c r="D296" s="328"/>
      <c r="E296" s="328"/>
      <c r="F296" s="109"/>
      <c r="G296" s="40"/>
      <c r="H296" s="32"/>
      <c r="I296" s="109"/>
      <c r="J296" s="24"/>
    </row>
    <row r="297" spans="1:10" s="1" customFormat="1" ht="15.9" customHeight="1">
      <c r="A297" s="41"/>
      <c r="B297" s="33"/>
      <c r="C297" s="328" t="s">
        <v>286</v>
      </c>
      <c r="D297" s="327"/>
      <c r="E297" s="327"/>
      <c r="F297" s="109"/>
      <c r="G297" s="109"/>
      <c r="H297" s="109"/>
      <c r="I297" s="109"/>
      <c r="J297" s="24"/>
    </row>
    <row r="298" spans="1:10" s="1" customFormat="1" ht="15.9" customHeight="1">
      <c r="A298" s="44"/>
      <c r="B298" s="44"/>
      <c r="C298" s="327" t="s">
        <v>285</v>
      </c>
      <c r="D298" s="86"/>
      <c r="E298" s="79"/>
      <c r="F298" s="44"/>
      <c r="G298" s="109"/>
      <c r="H298" s="109"/>
      <c r="I298" s="109"/>
      <c r="J298" s="24"/>
    </row>
    <row r="299" spans="1:10" s="1" customFormat="1" ht="15.9" customHeight="1">
      <c r="A299" s="40"/>
      <c r="B299" s="40"/>
      <c r="C299" s="374">
        <f>$I$147</f>
        <v>251.67500000000001</v>
      </c>
      <c r="D299" s="87"/>
      <c r="E299" s="80"/>
      <c r="F299" s="32"/>
      <c r="G299" s="109"/>
      <c r="H299" s="109"/>
      <c r="I299" s="109"/>
      <c r="J299" s="24"/>
    </row>
    <row r="300" spans="1:10" s="1" customFormat="1" ht="15.9" customHeight="1">
      <c r="A300" s="109"/>
      <c r="B300" s="33"/>
      <c r="C300" s="363">
        <f>$J$147</f>
        <v>600</v>
      </c>
      <c r="D300" s="15"/>
      <c r="F300" s="109"/>
      <c r="G300" s="109"/>
      <c r="H300" s="109"/>
      <c r="I300" s="109"/>
      <c r="J300" s="24"/>
    </row>
    <row r="301" spans="1:10" s="1" customFormat="1" ht="15.9" customHeight="1">
      <c r="A301" s="109"/>
      <c r="B301" s="33"/>
      <c r="C301" s="374">
        <f>$I$148</f>
        <v>2098</v>
      </c>
      <c r="D301" s="15"/>
      <c r="F301" s="109"/>
      <c r="G301" s="109"/>
      <c r="H301" s="109"/>
      <c r="I301" s="109"/>
      <c r="J301" s="24"/>
    </row>
    <row r="302" spans="1:10" s="1" customFormat="1" ht="15.9" customHeight="1">
      <c r="A302" s="109"/>
      <c r="B302" s="33"/>
      <c r="C302" s="363">
        <f>$J$148</f>
        <v>600</v>
      </c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C306" s="89" t="s">
        <v>288</v>
      </c>
      <c r="D306" s="161"/>
      <c r="E306" s="109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328" t="s">
        <v>281</v>
      </c>
      <c r="D307" s="328"/>
      <c r="E307" s="328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542" t="s">
        <v>282</v>
      </c>
      <c r="D308" s="542"/>
      <c r="E308" s="542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74">
        <f>$I$149</f>
        <v>2248</v>
      </c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63">
        <f>$J$149+$J$150</f>
        <v>60</v>
      </c>
      <c r="D310" s="328"/>
      <c r="E310" s="328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D311" s="15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33"/>
      <c r="D314" s="162"/>
      <c r="E314" s="24"/>
      <c r="F314" s="109"/>
      <c r="G314" s="109"/>
      <c r="H314" s="109"/>
      <c r="I314" s="27"/>
      <c r="J314" s="99" t="str">
        <f>LEFT($J$111,14)&amp;"-03"</f>
        <v>FG-240-10P5L5R-03</v>
      </c>
    </row>
    <row r="315" spans="1:14" ht="12.75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30" customHeight="1">
      <c r="I316" s="95"/>
      <c r="J316" s="90" t="str">
        <f>$J$2</f>
        <v>HOMELIFE</v>
      </c>
      <c r="K316" s="11"/>
      <c r="L316" s="11"/>
      <c r="M316" s="2"/>
      <c r="N316" s="2"/>
    </row>
    <row r="317" spans="1:14" ht="24.9" customHeight="1">
      <c r="B317" s="265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265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s="1" customFormat="1" ht="15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  <c r="K320" s="4"/>
      <c r="L320" s="4"/>
      <c r="M320" s="4"/>
      <c r="N320" s="4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262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262"/>
      <c r="I331" s="161"/>
      <c r="J331" s="109"/>
    </row>
    <row r="332" spans="1:10" s="1" customFormat="1" ht="15" customHeight="1">
      <c r="A332" s="64" t="str">
        <f>A18</f>
        <v>240-10 Panel (5L5R)</v>
      </c>
      <c r="B332" s="92"/>
      <c r="C332" s="161"/>
      <c r="D332" s="161"/>
      <c r="E332" s="109"/>
      <c r="F332" s="262"/>
      <c r="G332" s="262"/>
      <c r="H332" s="262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92"/>
      <c r="C333" s="161"/>
      <c r="D333" s="161"/>
      <c r="E333" s="109"/>
      <c r="F333" s="262"/>
      <c r="G333" s="262"/>
      <c r="H333" s="262"/>
      <c r="I333" s="109"/>
      <c r="J333" s="109"/>
    </row>
    <row r="334" spans="1:10" s="1" customFormat="1" ht="15.9" customHeight="1">
      <c r="A334" s="109"/>
      <c r="B334" s="45"/>
      <c r="C334" s="42"/>
      <c r="D334" s="161"/>
      <c r="E334" s="109"/>
      <c r="F334" s="507"/>
      <c r="G334" s="507"/>
      <c r="H334" s="262"/>
      <c r="I334" s="109"/>
      <c r="J334" s="109"/>
    </row>
    <row r="335" spans="1:10" s="1" customFormat="1" ht="15.9" customHeight="1">
      <c r="A335" s="39"/>
      <c r="B335" s="109"/>
      <c r="C335" s="161"/>
      <c r="D335" s="161"/>
      <c r="E335" s="109"/>
      <c r="F335" s="37"/>
      <c r="G335" s="38"/>
      <c r="H335" s="109"/>
      <c r="I335" s="109"/>
      <c r="J335" s="109"/>
    </row>
    <row r="336" spans="1:10" s="1" customFormat="1" ht="15.9" customHeight="1">
      <c r="A336" s="44"/>
      <c r="C336" s="43"/>
      <c r="D336" s="161"/>
      <c r="E336" s="109"/>
      <c r="F336" s="109"/>
      <c r="G336" s="109"/>
      <c r="H336" s="109"/>
      <c r="I336" s="44"/>
      <c r="J336" s="119"/>
    </row>
    <row r="337" spans="1:10" s="1" customFormat="1" ht="15.9" customHeight="1">
      <c r="A337" s="40"/>
      <c r="C337" s="44"/>
      <c r="D337" s="84"/>
      <c r="E337" s="44"/>
      <c r="F337" s="44"/>
      <c r="G337" s="44"/>
      <c r="H337" s="44"/>
      <c r="I337" s="32"/>
      <c r="J337" s="40"/>
    </row>
    <row r="338" spans="1:10" s="1" customFormat="1" ht="15.9" customHeight="1">
      <c r="A338" s="109"/>
      <c r="C338" s="161"/>
      <c r="D338" s="85"/>
      <c r="E338" s="40"/>
      <c r="F338" s="32"/>
      <c r="G338" s="40"/>
      <c r="H338" s="32"/>
      <c r="I338" s="24"/>
      <c r="J338" s="24"/>
    </row>
    <row r="339" spans="1:10" s="1" customFormat="1" ht="15.9" customHeight="1">
      <c r="A339" s="109"/>
      <c r="C339" s="163"/>
      <c r="D339" s="161"/>
      <c r="E339" s="109"/>
      <c r="F339" s="161"/>
      <c r="G339" s="109"/>
      <c r="H339" s="109"/>
      <c r="I339" s="24"/>
      <c r="J339" s="24"/>
    </row>
    <row r="340" spans="1:10" s="1" customFormat="1" ht="15.9" customHeight="1">
      <c r="A340" s="109"/>
      <c r="B340" s="33"/>
      <c r="C340" s="161"/>
      <c r="D340" s="161"/>
      <c r="E340" s="109"/>
      <c r="F340" s="161"/>
      <c r="G340" s="109"/>
      <c r="H340" s="109"/>
      <c r="I340" s="162"/>
      <c r="J340" s="162"/>
    </row>
    <row r="341" spans="1:10" s="1" customFormat="1" ht="15.9" customHeight="1">
      <c r="A341" s="109"/>
      <c r="B341" s="33"/>
      <c r="C341" s="44"/>
      <c r="D341" s="161"/>
      <c r="E341" s="109"/>
      <c r="F341" s="161"/>
      <c r="G341" s="109"/>
      <c r="H341" s="162"/>
      <c r="I341" s="161"/>
      <c r="J341" s="161"/>
    </row>
    <row r="342" spans="1:10" s="1" customFormat="1" ht="15.9" customHeight="1">
      <c r="A342" s="109"/>
      <c r="B342" s="33"/>
      <c r="C342" s="42"/>
      <c r="D342" s="161"/>
      <c r="E342" s="109"/>
      <c r="F342" s="161"/>
      <c r="G342" s="109"/>
      <c r="H342" s="161"/>
      <c r="I342" s="161"/>
      <c r="J342" s="161"/>
    </row>
    <row r="343" spans="1:10" s="1" customFormat="1" ht="15.9" customHeight="1">
      <c r="A343" s="109"/>
      <c r="B343" s="33"/>
      <c r="C343" s="163"/>
      <c r="D343" s="161"/>
      <c r="E343" s="109"/>
      <c r="F343" s="161"/>
      <c r="G343" s="109"/>
      <c r="H343" s="161"/>
      <c r="I343" s="109"/>
      <c r="J343" s="24"/>
    </row>
    <row r="344" spans="1:10" s="1" customFormat="1" ht="15.9" customHeight="1">
      <c r="A344" s="109"/>
      <c r="B344" s="33"/>
      <c r="C344" s="161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44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3"/>
      <c r="D350" s="161"/>
      <c r="E350" s="109"/>
      <c r="F350" s="161"/>
      <c r="G350" s="109"/>
      <c r="H350" s="109"/>
      <c r="I350" s="109"/>
      <c r="J350" s="24"/>
    </row>
    <row r="351" spans="1:10" s="1" customFormat="1" ht="15.9" customHeight="1">
      <c r="A351" s="109"/>
      <c r="B351" s="33"/>
      <c r="C351" s="161"/>
      <c r="D351" s="161"/>
      <c r="E351" s="109"/>
      <c r="F351" s="161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1" customFormat="1" ht="15" customHeight="1">
      <c r="A353" s="109"/>
      <c r="B353" s="33"/>
      <c r="C353" s="33"/>
      <c r="D353" s="161"/>
      <c r="E353" s="109"/>
      <c r="F353" s="109"/>
      <c r="G353" s="109"/>
      <c r="H353" s="107"/>
      <c r="I353" s="24"/>
      <c r="J353" s="24"/>
    </row>
    <row r="354" spans="1:10" s="23" customFormat="1" ht="15.9" customHeight="1">
      <c r="A354" s="109"/>
      <c r="B354" s="33"/>
      <c r="C354" s="33"/>
      <c r="D354" s="161"/>
      <c r="E354" s="109"/>
      <c r="F354" s="109"/>
      <c r="G354" s="109"/>
      <c r="H354" s="109"/>
      <c r="I354" s="109"/>
      <c r="J354" s="109"/>
    </row>
    <row r="355" spans="1:10" s="1" customFormat="1" ht="15.9" customHeight="1">
      <c r="A355" s="44"/>
      <c r="B355" s="33"/>
      <c r="C355" s="33"/>
      <c r="D355" s="161"/>
      <c r="E355" s="109"/>
      <c r="F355" s="109"/>
      <c r="G355" s="109"/>
      <c r="H355" s="109"/>
      <c r="I355" s="44"/>
      <c r="J355" s="119"/>
    </row>
    <row r="356" spans="1:10" s="1" customFormat="1" ht="15.9" customHeight="1">
      <c r="A356" s="40"/>
      <c r="B356" s="44"/>
      <c r="C356" s="44"/>
      <c r="D356" s="84"/>
      <c r="E356" s="44"/>
      <c r="F356" s="44"/>
      <c r="G356" s="44"/>
      <c r="H356" s="44"/>
      <c r="I356" s="32"/>
      <c r="J356" s="40"/>
    </row>
    <row r="357" spans="1:10" s="1" customFormat="1" ht="15.9" customHeight="1">
      <c r="A357" s="27"/>
      <c r="B357" s="40"/>
      <c r="C357" s="44"/>
      <c r="D357" s="85"/>
      <c r="E357" s="40"/>
      <c r="F357" s="32"/>
      <c r="G357" s="40"/>
      <c r="H357" s="32"/>
      <c r="I357" s="24"/>
      <c r="J357" s="24"/>
    </row>
    <row r="358" spans="1:10" s="1" customFormat="1" ht="15.9" customHeight="1">
      <c r="A358" s="27"/>
      <c r="B358" s="33"/>
      <c r="C358" s="42"/>
      <c r="D358" s="161"/>
      <c r="E358" s="109"/>
      <c r="F358" s="109"/>
      <c r="G358" s="109"/>
      <c r="H358" s="42"/>
      <c r="I358" s="163"/>
      <c r="J358" s="163"/>
    </row>
    <row r="359" spans="1:10" s="1" customFormat="1" ht="15.9" customHeight="1">
      <c r="A359" s="27"/>
      <c r="B359" s="33"/>
      <c r="C359" s="163"/>
      <c r="D359" s="161"/>
      <c r="E359" s="109"/>
      <c r="F359" s="109"/>
      <c r="G359" s="109"/>
      <c r="H359" s="163"/>
      <c r="I359" s="161"/>
      <c r="J359" s="161"/>
    </row>
    <row r="360" spans="1:10" s="1" customFormat="1" ht="15.9" customHeight="1">
      <c r="A360" s="27"/>
      <c r="B360" s="33"/>
      <c r="C360" s="161"/>
      <c r="D360" s="161"/>
      <c r="E360" s="109"/>
      <c r="F360" s="109"/>
      <c r="G360" s="109"/>
      <c r="H360" s="161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46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161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D372" s="161"/>
      <c r="E372" s="109"/>
      <c r="F372" s="109"/>
      <c r="G372" s="33"/>
      <c r="H372" s="33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42"/>
      <c r="I376" s="163"/>
      <c r="J376" s="163"/>
    </row>
    <row r="377" spans="1:10" s="1" customFormat="1" ht="15.9" customHeight="1">
      <c r="A377" s="27"/>
      <c r="B377" s="33"/>
      <c r="C377" s="47"/>
      <c r="D377" s="161"/>
      <c r="E377" s="109"/>
      <c r="F377" s="109"/>
      <c r="G377" s="109"/>
      <c r="H377" s="163"/>
      <c r="I377" s="161"/>
      <c r="J377" s="161"/>
    </row>
    <row r="378" spans="1:10" s="1" customFormat="1" ht="15.9" customHeight="1">
      <c r="A378" s="27"/>
      <c r="B378" s="33"/>
      <c r="C378" s="46"/>
      <c r="D378" s="161"/>
      <c r="E378" s="109"/>
      <c r="F378" s="109"/>
      <c r="G378" s="109"/>
      <c r="H378" s="161"/>
      <c r="I378" s="24"/>
      <c r="J378" s="24"/>
    </row>
    <row r="379" spans="1:10" s="1" customFormat="1" ht="15.9" customHeight="1">
      <c r="A379" s="27"/>
      <c r="B379" s="33"/>
      <c r="C379" s="161"/>
      <c r="D379" s="161"/>
      <c r="E379" s="109"/>
      <c r="F379" s="109"/>
      <c r="G379" s="109"/>
      <c r="H379" s="42"/>
      <c r="I379" s="163"/>
      <c r="J379" s="163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3"/>
      <c r="I380" s="161"/>
      <c r="J380" s="161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1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64"/>
      <c r="J388" s="16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4"/>
      <c r="I389" s="165"/>
      <c r="J389" s="165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5"/>
      <c r="I390" s="161"/>
      <c r="J390" s="161"/>
    </row>
    <row r="391" spans="1:10" s="1" customFormat="1" ht="15.9" customHeight="1">
      <c r="A391" s="27"/>
      <c r="B391" s="33"/>
      <c r="C391" s="47"/>
      <c r="D391" s="161"/>
      <c r="E391" s="109"/>
      <c r="F391" s="109"/>
      <c r="G391" s="109"/>
      <c r="H391" s="161"/>
      <c r="I391" s="24"/>
      <c r="J391" s="24"/>
    </row>
    <row r="392" spans="1:10" s="1" customFormat="1" ht="15.9" customHeight="1">
      <c r="A392" s="27"/>
      <c r="B392" s="33"/>
      <c r="C392" s="46"/>
      <c r="D392" s="161"/>
      <c r="E392" s="109"/>
      <c r="F392" s="109"/>
      <c r="G392" s="109"/>
      <c r="H392" s="109"/>
      <c r="I392" s="109"/>
      <c r="J392" s="24"/>
    </row>
    <row r="393" spans="1:10" s="1" customFormat="1" ht="15.9" customHeight="1">
      <c r="A393" s="27"/>
      <c r="B393" s="33"/>
      <c r="C393" s="161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23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1" customFormat="1" ht="15.9" customHeight="1">
      <c r="A405" s="44"/>
      <c r="B405" s="33"/>
      <c r="C405" s="33"/>
      <c r="D405" s="161"/>
      <c r="E405" s="109"/>
      <c r="F405" s="109"/>
      <c r="G405" s="109"/>
      <c r="H405" s="109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109"/>
      <c r="B419" s="44"/>
      <c r="C419" s="44"/>
      <c r="D419" s="84"/>
      <c r="E419" s="44"/>
      <c r="F419" s="44"/>
      <c r="G419" s="44"/>
      <c r="H419" s="44"/>
      <c r="I419" s="24"/>
      <c r="J419" s="24"/>
      <c r="K419" s="71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LEFT($J$111,14)&amp;"-04"</f>
        <v>FG-240-10P5L5R-04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B423" s="33"/>
      <c r="C423" s="33"/>
      <c r="D423" s="161"/>
      <c r="E423" s="109"/>
      <c r="F423" s="109"/>
      <c r="G423" s="109"/>
      <c r="H423" s="109"/>
      <c r="I423" s="95"/>
      <c r="J423" s="90" t="str">
        <f>J2</f>
        <v>HOMELIFE</v>
      </c>
      <c r="K423" s="11"/>
      <c r="L423" s="11"/>
      <c r="M423" s="2"/>
      <c r="N423" s="2"/>
    </row>
    <row r="424" spans="1:14" ht="24.9" customHeight="1">
      <c r="B424" s="265"/>
      <c r="C424" s="5"/>
      <c r="D424" s="95"/>
      <c r="E424" s="95"/>
      <c r="F424" s="95"/>
      <c r="G424" s="95"/>
      <c r="H424" s="95"/>
      <c r="I424" s="28"/>
      <c r="J424" s="91" t="str">
        <f>J3</f>
        <v>Fabricators Guide</v>
      </c>
      <c r="K424" s="11"/>
      <c r="L424" s="11"/>
      <c r="M424" s="2"/>
      <c r="N424" s="2"/>
    </row>
    <row r="425" spans="1:14" ht="24.9" customHeight="1">
      <c r="B425" s="265"/>
      <c r="C425" s="28"/>
      <c r="D425" s="28"/>
      <c r="E425" s="28"/>
      <c r="F425" s="28"/>
      <c r="G425" s="28"/>
      <c r="H425" s="28"/>
      <c r="I425" s="28"/>
      <c r="J425" s="91" t="str">
        <f>J4</f>
        <v xml:space="preserve">240 Series Bi Fold Door </v>
      </c>
      <c r="K425" s="48"/>
      <c r="L425" s="48"/>
      <c r="M425" s="4"/>
      <c r="N425" s="4"/>
    </row>
    <row r="426" spans="1:14" s="1" customFormat="1" ht="15" customHeight="1" thickBot="1">
      <c r="A426" s="78"/>
      <c r="B426" s="8"/>
      <c r="C426" s="28"/>
      <c r="D426" s="28"/>
      <c r="E426" s="28"/>
      <c r="F426" s="28"/>
      <c r="G426" s="28"/>
      <c r="H426" s="2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  <c r="K427" s="4"/>
      <c r="L427" s="4"/>
      <c r="M427" s="4"/>
      <c r="N427" s="4"/>
    </row>
    <row r="428" spans="1:14" s="1" customFormat="1" ht="15" customHeight="1">
      <c r="A428" s="193"/>
      <c r="B428" s="194"/>
      <c r="C428" s="194"/>
      <c r="D428" s="194"/>
      <c r="E428" s="194"/>
      <c r="F428" s="194"/>
      <c r="G428" s="194"/>
      <c r="H428" s="194"/>
      <c r="I428" s="193"/>
      <c r="K428" s="56"/>
      <c r="L428" s="56"/>
      <c r="M428" s="56"/>
      <c r="N428" s="56"/>
    </row>
    <row r="429" spans="1:14" s="1" customFormat="1" ht="15" customHeight="1">
      <c r="A429" s="45"/>
      <c r="B429" s="193"/>
      <c r="C429" s="193"/>
      <c r="D429" s="193"/>
      <c r="E429" s="193"/>
      <c r="F429" s="193"/>
      <c r="G429" s="193"/>
      <c r="H429" s="193"/>
      <c r="I429" s="44"/>
      <c r="J429" s="119"/>
    </row>
    <row r="430" spans="1:14" s="1" customFormat="1" ht="15" customHeight="1">
      <c r="A430" s="109"/>
      <c r="B430" s="39"/>
      <c r="C430" s="33"/>
      <c r="D430" s="161"/>
      <c r="E430" s="35"/>
      <c r="F430" s="39"/>
      <c r="G430" s="193"/>
      <c r="H430" s="44"/>
      <c r="I430" s="44"/>
      <c r="J430" s="119"/>
    </row>
    <row r="431" spans="1:14" s="1" customFormat="1" ht="15" customHeight="1">
      <c r="A431" s="109"/>
      <c r="B431" s="33"/>
      <c r="C431" s="33"/>
      <c r="D431" s="161"/>
      <c r="E431" s="35"/>
      <c r="F431" s="161"/>
      <c r="G431" s="193"/>
      <c r="H431" s="44"/>
      <c r="I431" s="44"/>
      <c r="J431" s="119"/>
    </row>
    <row r="432" spans="1:14" s="1" customFormat="1" ht="15" customHeight="1">
      <c r="A432" s="109"/>
      <c r="B432" s="56"/>
      <c r="C432" s="56"/>
      <c r="D432" s="30"/>
      <c r="E432" s="29"/>
      <c r="F432" s="30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109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3"/>
      <c r="H434" s="44"/>
      <c r="I434" s="44"/>
      <c r="J434" s="119"/>
    </row>
    <row r="435" spans="1:10" s="1" customFormat="1" ht="15" customHeight="1">
      <c r="A435" s="109"/>
      <c r="B435" s="33"/>
      <c r="C435" s="161"/>
      <c r="D435" s="161"/>
      <c r="E435" s="35"/>
      <c r="F435" s="161"/>
      <c r="H435" s="44"/>
      <c r="I435" s="44"/>
      <c r="J435" s="119"/>
    </row>
    <row r="436" spans="1:10" s="1" customFormat="1" ht="15" customHeight="1">
      <c r="A436" s="39"/>
      <c r="B436" s="33"/>
      <c r="C436" s="42"/>
      <c r="D436" s="161"/>
      <c r="E436" s="109"/>
      <c r="F436" s="69"/>
      <c r="H436" s="44"/>
      <c r="I436" s="44"/>
      <c r="J436" s="119"/>
    </row>
    <row r="437" spans="1:10" s="1" customFormat="1" ht="15" customHeight="1">
      <c r="A437" s="92"/>
      <c r="B437" s="39"/>
      <c r="C437" s="163"/>
      <c r="D437" s="161"/>
      <c r="E437" s="109"/>
      <c r="F437" s="68"/>
      <c r="H437" s="44"/>
      <c r="I437" s="44"/>
      <c r="J437" s="119"/>
    </row>
    <row r="438" spans="1:10" s="1" customFormat="1" ht="15" customHeight="1">
      <c r="B438" s="92"/>
      <c r="C438" s="161"/>
      <c r="D438" s="161"/>
      <c r="E438" s="109"/>
      <c r="F438" s="262"/>
      <c r="H438" s="44"/>
      <c r="I438" s="44"/>
      <c r="J438" s="119"/>
    </row>
    <row r="439" spans="1:10" s="1" customFormat="1" ht="15" customHeight="1">
      <c r="A439" s="64" t="str">
        <f>A18</f>
        <v>240-10 Panel (5L5R)</v>
      </c>
      <c r="B439" s="92"/>
      <c r="C439" s="161"/>
      <c r="D439" s="161"/>
      <c r="E439" s="109"/>
      <c r="F439" s="262"/>
      <c r="H439" s="44"/>
      <c r="I439" s="44"/>
      <c r="J439" s="119"/>
    </row>
    <row r="440" spans="1:10" s="1" customFormat="1" ht="15.9" customHeight="1">
      <c r="A440" s="76" t="str">
        <f>A19</f>
        <v xml:space="preserve">Outside Bi Fold Door </v>
      </c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44"/>
      <c r="B442" s="38"/>
      <c r="C442" s="43"/>
      <c r="D442" s="161"/>
      <c r="E442" s="109"/>
      <c r="F442" s="109"/>
      <c r="H442" s="44"/>
      <c r="I442" s="44"/>
      <c r="J442" s="119"/>
    </row>
    <row r="443" spans="1:10" s="1" customFormat="1" ht="15.9" customHeight="1">
      <c r="A443" s="40"/>
      <c r="C443" s="44"/>
      <c r="D443" s="84"/>
      <c r="E443" s="44"/>
      <c r="F443" s="44"/>
      <c r="H443" s="44"/>
      <c r="I443" s="44"/>
      <c r="J443" s="119"/>
    </row>
    <row r="444" spans="1:10" s="1" customFormat="1" ht="35.1" customHeight="1">
      <c r="A444" s="109"/>
      <c r="C444" s="161"/>
      <c r="D444" s="85"/>
      <c r="E444" s="40"/>
      <c r="F444" s="32"/>
      <c r="H444" s="44"/>
      <c r="I444" s="24"/>
      <c r="J444" s="24"/>
    </row>
    <row r="445" spans="1:10" ht="15.6">
      <c r="B445" s="64"/>
      <c r="C445" s="163"/>
      <c r="D445" s="161"/>
      <c r="E445" s="109"/>
      <c r="F445" s="161"/>
      <c r="G445" s="109"/>
      <c r="H445" s="109"/>
    </row>
    <row r="450" spans="1:10" s="1" customFormat="1" ht="15.9" customHeight="1">
      <c r="A450" s="109"/>
      <c r="B450"/>
      <c r="C450"/>
      <c r="D450" s="81"/>
      <c r="E450"/>
      <c r="F450"/>
      <c r="G450"/>
      <c r="H450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44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1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163"/>
      <c r="D456" s="161"/>
      <c r="E456" s="109"/>
      <c r="F456" s="161"/>
      <c r="G456" s="109"/>
      <c r="H456" s="109"/>
      <c r="I456" s="109"/>
      <c r="J456" s="24"/>
    </row>
    <row r="457" spans="1:10" s="1" customFormat="1" ht="15.9" customHeight="1">
      <c r="A457" s="109"/>
      <c r="B457" s="33"/>
      <c r="C457" s="161"/>
      <c r="D457" s="161"/>
      <c r="E457" s="109"/>
      <c r="F457" s="161"/>
      <c r="G457" s="109"/>
      <c r="H457" s="109"/>
      <c r="I457" s="24"/>
      <c r="J457" s="24"/>
    </row>
    <row r="458" spans="1:10" s="1" customFormat="1" ht="15.9" customHeight="1">
      <c r="A458" s="109"/>
      <c r="B458" s="33"/>
      <c r="C458" s="33"/>
      <c r="D458" s="161"/>
      <c r="E458" s="109"/>
      <c r="F458" s="109"/>
      <c r="G458" s="109"/>
      <c r="H458" s="109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7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" customHeight="1">
      <c r="A476" s="109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23" customFormat="1" ht="15.9" customHeight="1">
      <c r="A477" s="109"/>
      <c r="B477" s="33"/>
      <c r="C477" s="33"/>
      <c r="D477" s="161"/>
      <c r="E477" s="109"/>
      <c r="F477" s="109"/>
      <c r="G477" s="109"/>
      <c r="H477" s="109"/>
      <c r="I477" s="109"/>
      <c r="J477" s="109"/>
    </row>
    <row r="478" spans="1:10" s="1" customFormat="1" ht="15.9" customHeight="1">
      <c r="A478" s="44"/>
      <c r="B478" s="33"/>
      <c r="C478" s="33"/>
      <c r="D478" s="161"/>
      <c r="E478" s="109"/>
      <c r="F478" s="109"/>
      <c r="G478" s="109"/>
      <c r="H478" s="109"/>
      <c r="I478" s="44"/>
      <c r="J478" s="119"/>
    </row>
    <row r="479" spans="1:10" s="1" customFormat="1" ht="15.9" customHeight="1">
      <c r="A479" s="40"/>
      <c r="B479" s="44"/>
      <c r="C479" s="44"/>
      <c r="D479" s="84"/>
      <c r="E479" s="44"/>
      <c r="F479" s="44"/>
      <c r="G479" s="44"/>
      <c r="H479" s="44"/>
      <c r="I479" s="32"/>
      <c r="J479" s="40"/>
    </row>
    <row r="480" spans="1:10" s="1" customFormat="1" ht="15.9" customHeight="1">
      <c r="A480" s="27"/>
      <c r="B480" s="40"/>
      <c r="C480" s="44"/>
      <c r="D480" s="85"/>
      <c r="E480" s="40"/>
      <c r="F480" s="32"/>
      <c r="G480" s="40"/>
      <c r="H480" s="32"/>
      <c r="I480" s="24"/>
      <c r="J480" s="24"/>
    </row>
    <row r="481" spans="1:10" s="1" customFormat="1" ht="15.9" customHeight="1">
      <c r="A481" s="27"/>
      <c r="B481" s="33"/>
      <c r="C481" s="42"/>
      <c r="D481" s="161"/>
      <c r="E481" s="109"/>
      <c r="F481" s="109"/>
      <c r="G481" s="109"/>
      <c r="H481" s="42"/>
      <c r="I481" s="67"/>
      <c r="J481" s="165"/>
    </row>
    <row r="482" spans="1:10" s="1" customFormat="1" ht="15.9" customHeight="1">
      <c r="A482" s="27"/>
      <c r="B482" s="33"/>
      <c r="C482" s="163"/>
      <c r="D482" s="161"/>
      <c r="E482" s="109"/>
      <c r="F482" s="109"/>
      <c r="G482" s="109"/>
      <c r="H482" s="67"/>
      <c r="I482" s="38"/>
      <c r="J482" s="109"/>
    </row>
    <row r="483" spans="1:10" s="1" customFormat="1" ht="15.9" customHeight="1">
      <c r="A483" s="27"/>
      <c r="B483" s="33"/>
      <c r="C483" s="161"/>
      <c r="D483" s="161"/>
      <c r="E483" s="109"/>
      <c r="F483" s="109"/>
      <c r="G483" s="109"/>
      <c r="H483" s="38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46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161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D495" s="161"/>
      <c r="E495" s="109"/>
      <c r="F495" s="109"/>
      <c r="G495" s="33"/>
      <c r="H495" s="33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42"/>
      <c r="I499" s="67"/>
      <c r="J499" s="165"/>
    </row>
    <row r="500" spans="1:10" s="1" customFormat="1" ht="15.9" customHeight="1">
      <c r="A500" s="27"/>
      <c r="B500" s="33"/>
      <c r="C500" s="47"/>
      <c r="D500" s="161"/>
      <c r="E500" s="109"/>
      <c r="F500" s="109"/>
      <c r="G500" s="109"/>
      <c r="H500" s="67"/>
      <c r="I500" s="38"/>
      <c r="J500" s="109"/>
    </row>
    <row r="501" spans="1:10" s="1" customFormat="1" ht="15.9" customHeight="1">
      <c r="A501" s="27"/>
      <c r="B501" s="33"/>
      <c r="C501" s="46"/>
      <c r="D501" s="161"/>
      <c r="E501" s="109"/>
      <c r="F501" s="109"/>
      <c r="G501" s="109"/>
      <c r="H501" s="38"/>
      <c r="I501" s="24"/>
      <c r="J501" s="24"/>
    </row>
    <row r="502" spans="1:10" s="1" customFormat="1" ht="15.9" customHeight="1">
      <c r="A502" s="27"/>
      <c r="B502" s="33"/>
      <c r="C502" s="161"/>
      <c r="D502" s="161"/>
      <c r="E502" s="109"/>
      <c r="F502" s="109"/>
      <c r="G502" s="109"/>
      <c r="H502" s="42"/>
      <c r="I502" s="67"/>
      <c r="J502" s="165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67"/>
      <c r="I503" s="38"/>
      <c r="J503" s="109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38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109"/>
      <c r="J512" s="24"/>
    </row>
    <row r="513" spans="1:15" s="1" customFormat="1" ht="15.9" customHeight="1">
      <c r="A513" s="27"/>
      <c r="B513" s="33"/>
      <c r="C513" s="33"/>
      <c r="D513" s="161"/>
      <c r="E513" s="109"/>
      <c r="F513" s="109"/>
      <c r="G513" s="109"/>
      <c r="H513" s="109"/>
      <c r="I513" s="43"/>
      <c r="J513" s="107"/>
    </row>
    <row r="514" spans="1:15" s="1" customFormat="1" ht="15.9" customHeight="1">
      <c r="A514" s="44"/>
      <c r="B514" s="44"/>
      <c r="C514" s="44"/>
      <c r="D514" s="84"/>
      <c r="E514" s="44"/>
      <c r="F514" s="44"/>
      <c r="G514" s="44"/>
      <c r="H514" s="44"/>
      <c r="I514" s="44"/>
      <c r="J514" s="119"/>
    </row>
    <row r="515" spans="1:15" s="1" customFormat="1" ht="15.9" customHeight="1">
      <c r="A515" s="44"/>
      <c r="B515" s="44"/>
      <c r="C515" s="44"/>
      <c r="D515" s="84"/>
      <c r="E515" s="44"/>
      <c r="F515" s="44"/>
      <c r="G515" s="44"/>
      <c r="H515" s="44"/>
      <c r="I515" s="44"/>
      <c r="J515" s="119"/>
    </row>
    <row r="516" spans="1:15" s="1" customFormat="1" ht="15.9" customHeight="1">
      <c r="B516" s="44"/>
      <c r="C516" s="44"/>
      <c r="D516" s="84"/>
      <c r="E516" s="44"/>
      <c r="F516" s="44"/>
      <c r="G516" s="44"/>
      <c r="H516" s="44"/>
    </row>
    <row r="517" spans="1:15" s="1" customFormat="1" ht="15.9" customHeight="1" thickBot="1"/>
    <row r="518" spans="1:15" s="1" customFormat="1" ht="24.9" customHeight="1" thickBot="1">
      <c r="A518" s="502" t="s">
        <v>401</v>
      </c>
      <c r="B518" s="503"/>
      <c r="C518" s="503"/>
      <c r="D518" s="503"/>
      <c r="E518" s="503"/>
      <c r="F518" s="503"/>
      <c r="G518" s="503"/>
      <c r="H518" s="503"/>
      <c r="I518" s="503"/>
      <c r="J518" s="504"/>
    </row>
    <row r="519" spans="1:15" s="1" customFormat="1" ht="35.1" customHeight="1" thickBot="1">
      <c r="A519" s="146" t="s">
        <v>2</v>
      </c>
      <c r="B519" s="147" t="s">
        <v>3</v>
      </c>
      <c r="C519" s="103" t="s">
        <v>3</v>
      </c>
      <c r="D519" s="104" t="s">
        <v>35</v>
      </c>
      <c r="E519" s="103" t="s">
        <v>5</v>
      </c>
      <c r="F519" s="252" t="s">
        <v>27</v>
      </c>
      <c r="G519" s="305"/>
      <c r="H519" s="104" t="s">
        <v>27</v>
      </c>
      <c r="I519" s="104" t="s">
        <v>26</v>
      </c>
      <c r="J519" s="115" t="s">
        <v>6</v>
      </c>
      <c r="N519" s="249" t="s">
        <v>3</v>
      </c>
      <c r="O519" s="249" t="s">
        <v>3</v>
      </c>
    </row>
    <row r="520" spans="1:15" s="1" customFormat="1" ht="15.9" customHeight="1">
      <c r="A520" s="150">
        <f>IF(C520="","",1)</f>
        <v>1</v>
      </c>
      <c r="B520" s="121" t="str">
        <f>IF($D$127=5,N520,IF($D$127=6,N521,IF($D$127=8,N522,IF($D$127=10,N523,IF($D$127=12,N524,IF($D$127=14,N525,IF($D$127=18,N526,IF($D$127=20,N527,IF($D$127=22,N528,)))))))))</f>
        <v>กระจก 6 mm (สูง) (กว้าง)</v>
      </c>
      <c r="C520" s="121" t="str">
        <f>IF($D$127=5,O520,IF($D$127=6,O521,IF($D$127=8,O522,IF($D$127=10,O523,IF($D$127=12,O524,IF($D$127=14,O525,IF($D$127=18,O526,IF($D$127=20,O527,IF($D$127=22,O528,)))))))))</f>
        <v>GLASS thk.6 mm (H) (W)</v>
      </c>
      <c r="D520" s="124">
        <f>$J$123-215</f>
        <v>2125</v>
      </c>
      <c r="E520" s="123" t="s">
        <v>11</v>
      </c>
      <c r="F520" s="527" t="s">
        <v>271</v>
      </c>
      <c r="G520" s="528"/>
      <c r="H520" s="123" t="s">
        <v>305</v>
      </c>
      <c r="I520" s="124">
        <f>(($J$126-185-(113.25*9))/10)-13</f>
        <v>238.67500000000001</v>
      </c>
      <c r="J520" s="299">
        <f>$J$120*10</f>
        <v>300</v>
      </c>
      <c r="N520" s="19" t="s">
        <v>194</v>
      </c>
      <c r="O520" s="19" t="s">
        <v>195</v>
      </c>
    </row>
    <row r="521" spans="1:15" s="1" customFormat="1" ht="15.9" customHeight="1">
      <c r="A521" s="152"/>
      <c r="B521" s="127"/>
      <c r="C521" s="127"/>
      <c r="D521" s="128" t="s">
        <v>0</v>
      </c>
      <c r="E521" s="129"/>
      <c r="F521" s="155"/>
      <c r="G521" s="156"/>
      <c r="H521" s="127"/>
      <c r="I521" s="130"/>
      <c r="J521" s="153"/>
      <c r="N521" s="19" t="s">
        <v>53</v>
      </c>
      <c r="O521" s="19" t="s">
        <v>54</v>
      </c>
    </row>
    <row r="522" spans="1:15" s="1" customFormat="1" ht="15.9" customHeight="1">
      <c r="A522" s="152"/>
      <c r="B522" s="127"/>
      <c r="C522" s="127"/>
      <c r="D522" s="128"/>
      <c r="E522" s="129"/>
      <c r="F522" s="155"/>
      <c r="G522" s="156"/>
      <c r="H522" s="129"/>
      <c r="I522" s="130"/>
      <c r="J522" s="153"/>
      <c r="N522" s="19" t="s">
        <v>257</v>
      </c>
      <c r="O522" s="19" t="s">
        <v>258</v>
      </c>
    </row>
    <row r="523" spans="1:15" s="1" customFormat="1" ht="15.9" customHeight="1">
      <c r="A523" s="129" t="str">
        <f>IF(B523="","",+A521+1)</f>
        <v/>
      </c>
      <c r="B523" s="127"/>
      <c r="C523" s="127"/>
      <c r="D523" s="128"/>
      <c r="E523" s="129"/>
      <c r="F523" s="155"/>
      <c r="G523" s="157"/>
      <c r="H523" s="129"/>
      <c r="I523" s="144"/>
      <c r="J523" s="130"/>
      <c r="N523" s="19" t="s">
        <v>259</v>
      </c>
      <c r="O523" s="19" t="s">
        <v>265</v>
      </c>
    </row>
    <row r="524" spans="1:15" s="1" customFormat="1" ht="15.9" customHeight="1">
      <c r="A524" s="135" t="str">
        <f>IF(B524="","",+A523+1)</f>
        <v/>
      </c>
      <c r="B524" s="133"/>
      <c r="C524" s="133"/>
      <c r="D524" s="134"/>
      <c r="E524" s="135"/>
      <c r="F524" s="158"/>
      <c r="G524" s="159"/>
      <c r="H524" s="135"/>
      <c r="I524" s="145"/>
      <c r="J524" s="136"/>
      <c r="N524" s="19" t="s">
        <v>260</v>
      </c>
      <c r="O524" s="19" t="s">
        <v>266</v>
      </c>
    </row>
    <row r="525" spans="1:15" s="1" customFormat="1" ht="15.9" customHeight="1">
      <c r="A525" s="17"/>
      <c r="B525" s="56"/>
      <c r="C525" s="56"/>
      <c r="D525" s="30"/>
      <c r="E525" s="17"/>
      <c r="F525" s="17"/>
      <c r="G525" s="17"/>
      <c r="H525" s="109"/>
      <c r="I525" s="109"/>
      <c r="J525" s="24"/>
      <c r="N525" s="19" t="s">
        <v>261</v>
      </c>
      <c r="O525" s="19" t="s">
        <v>267</v>
      </c>
    </row>
    <row r="526" spans="1:15">
      <c r="H526" s="294"/>
      <c r="I526" s="294"/>
      <c r="J526" s="99" t="str">
        <f>LEFT($J$111,14)&amp;"-05"</f>
        <v>FG-240-10P5L5R-05</v>
      </c>
      <c r="N526" s="19" t="s">
        <v>262</v>
      </c>
      <c r="O526" s="19" t="s">
        <v>268</v>
      </c>
    </row>
    <row r="527" spans="1:15">
      <c r="N527" s="19" t="s">
        <v>263</v>
      </c>
      <c r="O527" s="19" t="s">
        <v>269</v>
      </c>
    </row>
    <row r="528" spans="1:15">
      <c r="N528" s="19" t="s">
        <v>264</v>
      </c>
      <c r="O528" s="19" t="s">
        <v>270</v>
      </c>
    </row>
  </sheetData>
  <sheetProtection selectLockedCells="1" selectUnlockedCells="1"/>
  <dataConsolidate function="product">
    <dataRefs count="1">
      <dataRef ref="N129:N131" sheet="240_7Panel(6L1R)" r:id="rId1"/>
    </dataRefs>
  </dataConsolidate>
  <mergeCells count="46">
    <mergeCell ref="A6:J6"/>
    <mergeCell ref="H120:I121"/>
    <mergeCell ref="J120:J121"/>
    <mergeCell ref="A117:J117"/>
    <mergeCell ref="D119:G119"/>
    <mergeCell ref="D121:G121"/>
    <mergeCell ref="D129:G129"/>
    <mergeCell ref="H123:I124"/>
    <mergeCell ref="J123:J124"/>
    <mergeCell ref="I159:J159"/>
    <mergeCell ref="D159:D160"/>
    <mergeCell ref="A131:J131"/>
    <mergeCell ref="I152:J152"/>
    <mergeCell ref="I153:J153"/>
    <mergeCell ref="I154:J154"/>
    <mergeCell ref="A125:B125"/>
    <mergeCell ref="H126:I127"/>
    <mergeCell ref="J126:J127"/>
    <mergeCell ref="D127:G127"/>
    <mergeCell ref="D123:G123"/>
    <mergeCell ref="D125:G125"/>
    <mergeCell ref="I155:J155"/>
    <mergeCell ref="I156:J156"/>
    <mergeCell ref="D157:D158"/>
    <mergeCell ref="H157:H158"/>
    <mergeCell ref="I157:J158"/>
    <mergeCell ref="F520:G520"/>
    <mergeCell ref="A518:J518"/>
    <mergeCell ref="A427:J427"/>
    <mergeCell ref="A320:J320"/>
    <mergeCell ref="A213:J213"/>
    <mergeCell ref="C308:E308"/>
    <mergeCell ref="A171:J171"/>
    <mergeCell ref="F334:G334"/>
    <mergeCell ref="F330:G330"/>
    <mergeCell ref="F331:G331"/>
    <mergeCell ref="I160:J163"/>
    <mergeCell ref="I164:J165"/>
    <mergeCell ref="H159:H160"/>
    <mergeCell ref="I166:J166"/>
    <mergeCell ref="D169:D170"/>
    <mergeCell ref="H167:H168"/>
    <mergeCell ref="H169:H170"/>
    <mergeCell ref="D167:D168"/>
    <mergeCell ref="D161:D166"/>
    <mergeCell ref="H161:H166"/>
  </mergeCells>
  <dataValidations count="4">
    <dataValidation type="list" allowBlank="1" showInputMessage="1" showErrorMessage="1" sqref="C206">
      <formula1>$O$173:$O$191</formula1>
    </dataValidation>
    <dataValidation type="list" allowBlank="1" showInputMessage="1" showErrorMessage="1" sqref="D123:G123">
      <formula1>$P$118:$P$127</formula1>
    </dataValidation>
    <dataValidation type="list" allowBlank="1" showInputMessage="1" showErrorMessage="1" sqref="D127:G127">
      <formula1>$N$119:$N$127</formula1>
    </dataValidation>
    <dataValidation type="list" allowBlank="1" showInputMessage="1" showErrorMessage="1" sqref="D129:G129">
      <formula1>$O$119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16383" man="1"/>
    <brk id="421" max="9" man="1"/>
  </rowBreaks>
  <drawing r:id="rId3"/>
  <legacyDrawing r:id="rId4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5">
    <tabColor theme="5" tint="-0.249977111117893"/>
  </sheetPr>
  <dimension ref="A1:X527"/>
  <sheetViews>
    <sheetView showGridLines="0" view="pageBreakPreview" topLeftCell="A118" zoomScale="75" zoomScaleNormal="75" zoomScaleSheetLayoutView="75" workbookViewId="0">
      <selection activeCell="I135" sqref="I135"/>
    </sheetView>
  </sheetViews>
  <sheetFormatPr defaultRowHeight="14.4" outlineLevelRow="1" outlineLevelCol="1"/>
  <cols>
    <col min="1" max="1" width="7" customWidth="1"/>
    <col min="2" max="2" width="40.6640625" customWidth="1"/>
    <col min="3" max="3" width="55.664062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9" bestFit="1" customWidth="1"/>
    <col min="9" max="9" width="15.109375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0.88671875" hidden="1" customWidth="1" outlineLevel="1"/>
    <col min="22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65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65"/>
      <c r="E3" s="265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207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/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>
      <c r="G55" s="10"/>
    </row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357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65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65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8">
      <c r="A118" s="12"/>
      <c r="C118" s="8"/>
      <c r="D118" s="15"/>
      <c r="E118" s="13"/>
      <c r="J118" s="264"/>
      <c r="K118" s="11"/>
      <c r="L118" s="56"/>
      <c r="M118" s="56"/>
      <c r="N118" s="243" t="s">
        <v>191</v>
      </c>
      <c r="O118" s="12" t="s">
        <v>227</v>
      </c>
      <c r="P118" s="247" t="s">
        <v>16</v>
      </c>
    </row>
    <row r="119" spans="1:16" s="1" customFormat="1" ht="15" customHeight="1">
      <c r="A119" s="12"/>
      <c r="C119" s="110" t="s">
        <v>635</v>
      </c>
      <c r="D119" s="524"/>
      <c r="E119" s="525"/>
      <c r="F119" s="525"/>
      <c r="G119" s="526"/>
      <c r="I119" s="16"/>
      <c r="J119" s="12"/>
      <c r="N119" s="244">
        <v>5</v>
      </c>
      <c r="O119" s="12" t="s">
        <v>243</v>
      </c>
      <c r="P119" s="335" t="s">
        <v>389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5">
        <v>6</v>
      </c>
      <c r="O120" s="12" t="s">
        <v>244</v>
      </c>
      <c r="P120" s="336" t="s">
        <v>390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8</v>
      </c>
      <c r="P121" s="336" t="s">
        <v>391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10</v>
      </c>
      <c r="P122" s="336" t="s">
        <v>392</v>
      </c>
    </row>
    <row r="123" spans="1:16" s="1" customFormat="1" ht="15" customHeight="1">
      <c r="A123" s="12"/>
      <c r="C123" s="110" t="s">
        <v>629</v>
      </c>
      <c r="D123" s="524" t="s">
        <v>15</v>
      </c>
      <c r="E123" s="525"/>
      <c r="F123" s="525"/>
      <c r="G123" s="526"/>
      <c r="H123" s="519" t="s">
        <v>638</v>
      </c>
      <c r="I123" s="520"/>
      <c r="J123" s="517">
        <v>2500</v>
      </c>
      <c r="N123" s="245">
        <v>12</v>
      </c>
      <c r="P123" s="335" t="s">
        <v>393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14</v>
      </c>
      <c r="P124" s="335" t="s">
        <v>394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262"/>
      <c r="L125" s="77"/>
      <c r="N125" s="245">
        <v>18</v>
      </c>
      <c r="P125" s="335" t="s">
        <v>395</v>
      </c>
    </row>
    <row r="126" spans="1:16" s="1" customFormat="1" ht="15" customHeight="1">
      <c r="A126" s="264"/>
      <c r="B126" s="264"/>
      <c r="C126" s="423" t="s">
        <v>631</v>
      </c>
      <c r="D126" s="15"/>
      <c r="H126" s="519" t="s">
        <v>639</v>
      </c>
      <c r="I126" s="520"/>
      <c r="J126" s="517">
        <v>2000</v>
      </c>
      <c r="K126" s="262"/>
      <c r="L126" s="77"/>
      <c r="N126" s="245">
        <v>20</v>
      </c>
      <c r="P126" s="335" t="s">
        <v>396</v>
      </c>
    </row>
    <row r="127" spans="1:16" s="1" customFormat="1" ht="15" customHeight="1">
      <c r="A127" s="264"/>
      <c r="B127" s="264"/>
      <c r="C127" s="110" t="s">
        <v>633</v>
      </c>
      <c r="D127" s="534">
        <v>5</v>
      </c>
      <c r="E127" s="535"/>
      <c r="F127" s="535"/>
      <c r="G127" s="536"/>
      <c r="H127" s="520"/>
      <c r="I127" s="520"/>
      <c r="J127" s="518"/>
      <c r="N127" s="245">
        <v>22</v>
      </c>
      <c r="P127" s="335" t="s">
        <v>397</v>
      </c>
    </row>
    <row r="128" spans="1:16" s="1" customFormat="1" ht="18.75" customHeight="1">
      <c r="C128" s="423" t="s">
        <v>632</v>
      </c>
      <c r="I128" s="12"/>
      <c r="J128" s="12"/>
    </row>
    <row r="129" spans="1:23" s="1" customFormat="1" ht="15" customHeight="1">
      <c r="A129" s="88" t="str">
        <f>A18</f>
        <v>240-11 Panel (5L6R)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1940</v>
      </c>
      <c r="J133" s="125">
        <f t="shared" ref="J133:J151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22</v>
      </c>
      <c r="U133" s="283" t="s">
        <v>306</v>
      </c>
      <c r="V133" s="307">
        <f>($J$126-185-(113.25*10))/11</f>
        <v>62.045454545454547</v>
      </c>
      <c r="W133" s="286">
        <f>$J$120*T133</f>
        <v>22</v>
      </c>
    </row>
    <row r="134" spans="1:23" s="1" customFormat="1" ht="18" customHeight="1">
      <c r="A134" s="143">
        <f t="shared" ref="A134:A150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1914</v>
      </c>
      <c r="J134" s="131">
        <f t="shared" ref="J134:J139" si="2"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22</v>
      </c>
      <c r="U134" s="129" t="s">
        <v>306</v>
      </c>
      <c r="V134" s="178">
        <f>($J$126-185-(113.25*10))/11</f>
        <v>62.045454545454547</v>
      </c>
      <c r="W134" s="131">
        <f t="shared" ref="W134:W135" si="3">$J$120*T134</f>
        <v>22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1940</v>
      </c>
      <c r="J135" s="131">
        <f t="shared" si="2"/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22</v>
      </c>
      <c r="U135" s="135" t="s">
        <v>306</v>
      </c>
      <c r="V135" s="308">
        <f>($J$126-185-(113.25*10))/11</f>
        <v>62.045454545454547</v>
      </c>
      <c r="W135" s="293">
        <f t="shared" si="3"/>
        <v>22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1940</v>
      </c>
      <c r="J136" s="131">
        <f t="shared" si="2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22</v>
      </c>
      <c r="U136" s="283" t="s">
        <v>64</v>
      </c>
      <c r="V136" s="288">
        <f>$J$123-242</f>
        <v>2258</v>
      </c>
      <c r="W136" s="286">
        <f>$J$120*T136</f>
        <v>22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2500</v>
      </c>
      <c r="J137" s="131">
        <f t="shared" si="2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22</v>
      </c>
      <c r="U137" s="129" t="s">
        <v>64</v>
      </c>
      <c r="V137" s="130">
        <f t="shared" ref="V137" si="4">$J$123-242</f>
        <v>2258</v>
      </c>
      <c r="W137" s="131">
        <f t="shared" ref="W137:W138" si="5">$J$120*T137</f>
        <v>22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2500</v>
      </c>
      <c r="J138" s="131">
        <f t="shared" si="2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22</v>
      </c>
      <c r="U138" s="135" t="s">
        <v>64</v>
      </c>
      <c r="V138" s="136">
        <f>$J$123-242</f>
        <v>2258</v>
      </c>
      <c r="W138" s="293">
        <f t="shared" si="5"/>
        <v>22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2404</v>
      </c>
      <c r="J139" s="131">
        <f t="shared" si="2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2404</v>
      </c>
      <c r="J140" s="131">
        <f t="shared" ref="J140" si="6">$J$120*G140</f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11</v>
      </c>
      <c r="H141" s="268" t="s">
        <v>306</v>
      </c>
      <c r="I141" s="178">
        <f>($J$126-185-(113.25*10))/11</f>
        <v>62.045454545454547</v>
      </c>
      <c r="J141" s="131">
        <f t="shared" ref="J141:J150" si="7">$J$120*G141</f>
        <v>11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11</v>
      </c>
      <c r="H142" s="143" t="s">
        <v>306</v>
      </c>
      <c r="I142" s="178">
        <f>($J$126-185-(113.25*10))/11</f>
        <v>62.045454545454547</v>
      </c>
      <c r="J142" s="131">
        <f t="shared" si="7"/>
        <v>11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16</v>
      </c>
      <c r="H143" s="143" t="s">
        <v>63</v>
      </c>
      <c r="I143" s="130">
        <f>$J$123-92</f>
        <v>2408</v>
      </c>
      <c r="J143" s="131">
        <f t="shared" si="7"/>
        <v>16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3</v>
      </c>
      <c r="H144" s="143" t="s">
        <v>63</v>
      </c>
      <c r="I144" s="130">
        <f>$J$123-92</f>
        <v>2408</v>
      </c>
      <c r="J144" s="131">
        <f t="shared" si="7"/>
        <v>3</v>
      </c>
      <c r="N144" s="98"/>
    </row>
    <row r="145" spans="1:14" s="1" customFormat="1" ht="18" customHeight="1">
      <c r="A145" s="143">
        <f t="shared" si="1"/>
        <v>13</v>
      </c>
      <c r="B145" s="140" t="s">
        <v>8</v>
      </c>
      <c r="C145" s="140" t="s">
        <v>151</v>
      </c>
      <c r="D145" s="139" t="s">
        <v>50</v>
      </c>
      <c r="E145" s="143">
        <v>1.1060000000000001</v>
      </c>
      <c r="F145" s="139" t="s">
        <v>496</v>
      </c>
      <c r="G145" s="143">
        <v>2</v>
      </c>
      <c r="H145" s="143" t="s">
        <v>63</v>
      </c>
      <c r="I145" s="130">
        <f>$J$123-92</f>
        <v>2408</v>
      </c>
      <c r="J145" s="131">
        <f t="shared" si="7"/>
        <v>2</v>
      </c>
      <c r="N145" s="98"/>
    </row>
    <row r="146" spans="1:14" s="1" customFormat="1" ht="18" customHeight="1">
      <c r="A146" s="143">
        <f t="shared" si="1"/>
        <v>14</v>
      </c>
      <c r="B146" s="140" t="s">
        <v>116</v>
      </c>
      <c r="C146" s="140" t="s">
        <v>99</v>
      </c>
      <c r="D146" s="139" t="s">
        <v>50</v>
      </c>
      <c r="E146" s="143">
        <v>1.1060000000000001</v>
      </c>
      <c r="F146" s="139" t="s">
        <v>506</v>
      </c>
      <c r="G146" s="143">
        <v>1</v>
      </c>
      <c r="H146" s="143" t="s">
        <v>63</v>
      </c>
      <c r="I146" s="130">
        <f>$J$123-92</f>
        <v>2408</v>
      </c>
      <c r="J146" s="131">
        <f t="shared" si="7"/>
        <v>1</v>
      </c>
      <c r="N146" s="98"/>
    </row>
    <row r="147" spans="1:14" s="1" customFormat="1" ht="18" customHeight="1">
      <c r="A147" s="143">
        <f t="shared" si="1"/>
        <v>15</v>
      </c>
      <c r="B147" s="140" t="str">
        <f t="shared" ref="B147:I147" si="8">IF($D$127=5,O133,IF($D$127=6,O133,IF($D$127=8,O134,IF($D$127=10,O134,IF($D$127=12,O134,IF($D$127=14,O135,IF($D$127=18,O135,IF($D$127=20,O135,IF($D$127=22,O135,)))))))))</f>
        <v>5-6mm คิ้วตบกระจกแนวนอน</v>
      </c>
      <c r="C147" s="140" t="str">
        <f t="shared" si="8"/>
        <v>5-6mm GLAZING BEAD HORIZONTAL</v>
      </c>
      <c r="D147" s="140" t="str">
        <f t="shared" si="8"/>
        <v>B24008</v>
      </c>
      <c r="E147" s="140">
        <f t="shared" si="8"/>
        <v>0.23100000000000001</v>
      </c>
      <c r="F147" s="140" t="str">
        <f t="shared" si="8"/>
        <v>B24008-001</v>
      </c>
      <c r="G147" s="143">
        <f t="shared" si="8"/>
        <v>22</v>
      </c>
      <c r="H147" s="129" t="str">
        <f t="shared" si="8"/>
        <v>(W-185-(113.25 × 10))/11</v>
      </c>
      <c r="I147" s="178">
        <f t="shared" si="8"/>
        <v>62.045454545454547</v>
      </c>
      <c r="J147" s="131">
        <f t="shared" si="7"/>
        <v>22</v>
      </c>
      <c r="N147" s="98"/>
    </row>
    <row r="148" spans="1:14" s="1" customFormat="1" ht="18" customHeight="1">
      <c r="A148" s="143">
        <f t="shared" si="1"/>
        <v>16</v>
      </c>
      <c r="B148" s="140" t="str">
        <f t="shared" ref="B148:I148" si="9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40" t="str">
        <f t="shared" si="9"/>
        <v>5-6mm GLAZING BEAD VERTICAL</v>
      </c>
      <c r="D148" s="140" t="str">
        <f t="shared" si="9"/>
        <v>B24008</v>
      </c>
      <c r="E148" s="140">
        <f t="shared" si="9"/>
        <v>0.23100000000000001</v>
      </c>
      <c r="F148" s="140" t="str">
        <f t="shared" si="9"/>
        <v>B24008-002</v>
      </c>
      <c r="G148" s="143">
        <f t="shared" si="9"/>
        <v>22</v>
      </c>
      <c r="H148" s="129" t="str">
        <f t="shared" si="9"/>
        <v>H-242</v>
      </c>
      <c r="I148" s="178">
        <f t="shared" si="9"/>
        <v>2258</v>
      </c>
      <c r="J148" s="131">
        <f t="shared" si="7"/>
        <v>22</v>
      </c>
      <c r="N148" s="98"/>
    </row>
    <row r="149" spans="1:14" s="1" customFormat="1" ht="18" customHeight="1">
      <c r="A149" s="143">
        <f t="shared" si="1"/>
        <v>17</v>
      </c>
      <c r="B149" s="140" t="s">
        <v>125</v>
      </c>
      <c r="C149" s="140" t="s">
        <v>124</v>
      </c>
      <c r="D149" s="139" t="s">
        <v>123</v>
      </c>
      <c r="E149" s="143"/>
      <c r="F149" s="139" t="s">
        <v>362</v>
      </c>
      <c r="G149" s="143">
        <v>1</v>
      </c>
      <c r="H149" s="143" t="s">
        <v>63</v>
      </c>
      <c r="I149" s="130">
        <f>$J$123-92</f>
        <v>2408</v>
      </c>
      <c r="J149" s="131">
        <f t="shared" si="7"/>
        <v>1</v>
      </c>
      <c r="N149" s="98"/>
    </row>
    <row r="150" spans="1:14" s="1" customFormat="1" ht="18" customHeight="1">
      <c r="A150" s="143">
        <f t="shared" si="1"/>
        <v>18</v>
      </c>
      <c r="B150" s="140" t="s">
        <v>125</v>
      </c>
      <c r="C150" s="140" t="s">
        <v>124</v>
      </c>
      <c r="D150" s="139" t="s">
        <v>123</v>
      </c>
      <c r="E150" s="143"/>
      <c r="F150" s="139" t="s">
        <v>363</v>
      </c>
      <c r="G150" s="143">
        <v>1</v>
      </c>
      <c r="H150" s="143" t="s">
        <v>63</v>
      </c>
      <c r="I150" s="130">
        <f>$J$123-92</f>
        <v>2408</v>
      </c>
      <c r="J150" s="131">
        <f t="shared" si="7"/>
        <v>1</v>
      </c>
      <c r="N150" s="98"/>
    </row>
    <row r="151" spans="1:14" s="1" customFormat="1" ht="18" customHeight="1" thickBot="1">
      <c r="A151" s="143" t="str">
        <f>IF(B151="","",+A140+1)</f>
        <v/>
      </c>
      <c r="B151" s="167"/>
      <c r="C151" s="167"/>
      <c r="D151" s="168"/>
      <c r="E151" s="166"/>
      <c r="F151" s="168"/>
      <c r="G151" s="166"/>
      <c r="H151" s="166"/>
      <c r="I151" s="171"/>
      <c r="J151" s="172">
        <f t="shared" si="0"/>
        <v>0</v>
      </c>
    </row>
    <row r="152" spans="1:14" s="1" customFormat="1" ht="27" outlineLevel="1" thickBot="1">
      <c r="A152" s="169" t="s">
        <v>2</v>
      </c>
      <c r="B152" s="169" t="s">
        <v>29</v>
      </c>
      <c r="C152" s="169" t="s">
        <v>3</v>
      </c>
      <c r="D152" s="169" t="s">
        <v>4</v>
      </c>
      <c r="E152" s="169" t="s">
        <v>5</v>
      </c>
      <c r="F152" s="177" t="s">
        <v>85</v>
      </c>
      <c r="G152" s="169" t="s">
        <v>22</v>
      </c>
      <c r="H152" s="170" t="s">
        <v>23</v>
      </c>
      <c r="I152" s="540"/>
      <c r="J152" s="541"/>
    </row>
    <row r="153" spans="1:14" s="1" customFormat="1" ht="15" customHeight="1" outlineLevel="1">
      <c r="A153" s="21">
        <f>IF(B153="","",1)</f>
        <v>1</v>
      </c>
      <c r="B153" s="173" t="str">
        <f t="shared" ref="B153:C159" si="10">B133</f>
        <v>เฟรมบน</v>
      </c>
      <c r="C153" s="173" t="str">
        <f t="shared" si="10"/>
        <v>HEAD</v>
      </c>
      <c r="D153" s="174" t="str">
        <f>VLOOKUP(C153,$C$133:$H$151,2,0)</f>
        <v>B24001</v>
      </c>
      <c r="E153" s="175">
        <f t="shared" ref="E153:E159" si="11">VLOOKUP(C153,$C$133:$H$151,3,0)</f>
        <v>1.603</v>
      </c>
      <c r="F153" s="353">
        <f>VLOOKUP(C153,$C$133:$J$151,7,0)</f>
        <v>1940</v>
      </c>
      <c r="G153" s="175">
        <f t="shared" ref="G153:G159" si="12">VLOOKUP(C153,$C$133:$J$151,8,0)</f>
        <v>1</v>
      </c>
      <c r="H153" s="191">
        <f>ROUNDUP((F153*G153)/6400,0)</f>
        <v>1</v>
      </c>
      <c r="I153" s="501"/>
      <c r="J153" s="501"/>
    </row>
    <row r="154" spans="1:14" s="1" customFormat="1" ht="15" customHeight="1" outlineLevel="1">
      <c r="A154" s="18">
        <f t="shared" ref="A154" si="13">IF(B154="","",+A153+1)</f>
        <v>2</v>
      </c>
      <c r="B154" s="173" t="str">
        <f t="shared" si="10"/>
        <v>บังใบบน</v>
      </c>
      <c r="C154" s="173" t="str">
        <f t="shared" si="10"/>
        <v>DOOR STOP HEAD</v>
      </c>
      <c r="D154" s="174" t="str">
        <f>VLOOKUP(C154,$C$133:$H$151,2,0)</f>
        <v>B24002</v>
      </c>
      <c r="E154" s="175">
        <f t="shared" si="11"/>
        <v>0.27800000000000002</v>
      </c>
      <c r="F154" s="353">
        <f t="shared" ref="F154:F159" si="14">VLOOKUP(C154,$C$133:$I$151,7,0)</f>
        <v>1914</v>
      </c>
      <c r="G154" s="175">
        <f t="shared" si="12"/>
        <v>1</v>
      </c>
      <c r="H154" s="192">
        <f>ROUNDUP((F154*G154)/6400,0)</f>
        <v>1</v>
      </c>
      <c r="I154" s="501"/>
      <c r="J154" s="501"/>
    </row>
    <row r="155" spans="1:14" s="1" customFormat="1" ht="15" customHeight="1" outlineLevel="1">
      <c r="A155" s="18">
        <f t="shared" ref="A155:A159" si="15">IF(B155="","",+A154+1)</f>
        <v>3</v>
      </c>
      <c r="B155" s="173" t="str">
        <f t="shared" si="10"/>
        <v xml:space="preserve">เฟรมล่าง </v>
      </c>
      <c r="C155" s="173" t="str">
        <f t="shared" si="10"/>
        <v>SILL</v>
      </c>
      <c r="D155" s="174" t="str">
        <f>VLOOKUP(C155,$C$133:$H$151,2,0)</f>
        <v>B24003</v>
      </c>
      <c r="E155" s="175">
        <f t="shared" si="11"/>
        <v>1.603</v>
      </c>
      <c r="F155" s="353">
        <f t="shared" si="14"/>
        <v>1940</v>
      </c>
      <c r="G155" s="175">
        <f t="shared" si="12"/>
        <v>1</v>
      </c>
      <c r="H155" s="192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si="15"/>
        <v>4</v>
      </c>
      <c r="B156" s="173" t="str">
        <f t="shared" si="10"/>
        <v>ตัวตับธรณี</v>
      </c>
      <c r="C156" s="173" t="str">
        <f t="shared" si="10"/>
        <v>DOOR STOP SILL</v>
      </c>
      <c r="D156" s="174" t="str">
        <f>VLOOKUP(C156,$C$133:$H$151,2,0)</f>
        <v>B24004</v>
      </c>
      <c r="E156" s="175">
        <f t="shared" si="11"/>
        <v>0.51600000000000001</v>
      </c>
      <c r="F156" s="353">
        <f t="shared" si="14"/>
        <v>1940</v>
      </c>
      <c r="G156" s="175">
        <f t="shared" si="12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si="15"/>
        <v>5</v>
      </c>
      <c r="B157" s="173" t="str">
        <f t="shared" si="10"/>
        <v>เฟรมข้าง (ซ้าย)</v>
      </c>
      <c r="C157" s="173" t="str">
        <f t="shared" si="10"/>
        <v>JAMB (L)</v>
      </c>
      <c r="D157" s="508" t="str">
        <f>VLOOKUP(C157,$C$133:$H$151,2,0)</f>
        <v>B24005</v>
      </c>
      <c r="E157" s="175">
        <f t="shared" si="11"/>
        <v>0.89300000000000002</v>
      </c>
      <c r="F157" s="353">
        <f t="shared" si="14"/>
        <v>2500</v>
      </c>
      <c r="G157" s="175">
        <f t="shared" si="12"/>
        <v>1</v>
      </c>
      <c r="H157" s="516">
        <f>ROUNDUP(((F157*G157)+(F158*G158))/6400,0)</f>
        <v>1</v>
      </c>
      <c r="I157" s="506"/>
      <c r="J157" s="506"/>
    </row>
    <row r="158" spans="1:14" s="1" customFormat="1" ht="15" customHeight="1" outlineLevel="1">
      <c r="A158" s="18">
        <f t="shared" si="15"/>
        <v>6</v>
      </c>
      <c r="B158" s="173" t="str">
        <f t="shared" si="10"/>
        <v>เฟรมข้าง (ขวา)</v>
      </c>
      <c r="C158" s="173" t="str">
        <f t="shared" si="10"/>
        <v>JAMB (R)</v>
      </c>
      <c r="D158" s="509"/>
      <c r="E158" s="175">
        <f t="shared" si="11"/>
        <v>0.89300000000000002</v>
      </c>
      <c r="F158" s="353">
        <f t="shared" si="14"/>
        <v>2500</v>
      </c>
      <c r="G158" s="175">
        <f t="shared" si="12"/>
        <v>1</v>
      </c>
      <c r="H158" s="516"/>
      <c r="I158" s="506"/>
      <c r="J158" s="506"/>
    </row>
    <row r="159" spans="1:14" s="1" customFormat="1" ht="15" customHeight="1" outlineLevel="1">
      <c r="A159" s="18">
        <f t="shared" si="15"/>
        <v>7</v>
      </c>
      <c r="B159" s="173" t="str">
        <f t="shared" si="10"/>
        <v>บังใบข้าง (ซ้าย)</v>
      </c>
      <c r="C159" s="173" t="str">
        <f t="shared" si="10"/>
        <v>DOOR STOP JAMB (L)</v>
      </c>
      <c r="D159" s="508" t="str">
        <f>VLOOKUP(C159,$C$133:$H$151,2,0)</f>
        <v>B24006</v>
      </c>
      <c r="E159" s="175">
        <f t="shared" si="11"/>
        <v>0.23499999999999999</v>
      </c>
      <c r="F159" s="353">
        <f t="shared" si="14"/>
        <v>2404</v>
      </c>
      <c r="G159" s="175">
        <f t="shared" si="12"/>
        <v>1</v>
      </c>
      <c r="H159" s="516">
        <f>ROUNDUP(((F159*G159)+(F160*G160))/6400,0)</f>
        <v>1</v>
      </c>
      <c r="I159" s="501"/>
      <c r="J159" s="501"/>
    </row>
    <row r="160" spans="1:14" s="1" customFormat="1" ht="15" customHeight="1" outlineLevel="1">
      <c r="A160" s="18">
        <f t="shared" ref="A160:A170" si="16">IF(B160="","",+A159+1)</f>
        <v>8</v>
      </c>
      <c r="B160" s="173" t="str">
        <f t="shared" ref="B160:C160" si="17">B140</f>
        <v>บังใบข้าง (ขวา)</v>
      </c>
      <c r="C160" s="173" t="str">
        <f t="shared" si="17"/>
        <v>DOOR STOP JAMB (R)</v>
      </c>
      <c r="D160" s="509"/>
      <c r="E160" s="175">
        <f t="shared" ref="E160:E170" si="18">VLOOKUP(C160,$C$133:$H$151,3,0)</f>
        <v>0.23499999999999999</v>
      </c>
      <c r="F160" s="353">
        <f t="shared" ref="F160:F170" si="19">VLOOKUP(C160,$C$133:$I$151,7,0)</f>
        <v>2404</v>
      </c>
      <c r="G160" s="175">
        <f t="shared" ref="G160:G170" si="20">VLOOKUP(C160,$C$133:$J$151,8,0)</f>
        <v>1</v>
      </c>
      <c r="H160" s="516"/>
      <c r="I160" s="506"/>
      <c r="J160" s="506"/>
    </row>
    <row r="161" spans="1:23" s="1" customFormat="1" ht="13.8" outlineLevel="1">
      <c r="A161" s="18">
        <f t="shared" si="16"/>
        <v>9</v>
      </c>
      <c r="B161" s="173" t="str">
        <f t="shared" ref="B161:C161" si="21">B141</f>
        <v>ขวางบน</v>
      </c>
      <c r="C161" s="173" t="str">
        <f t="shared" si="21"/>
        <v>SASH (Hor) (T)</v>
      </c>
      <c r="D161" s="508" t="str">
        <f t="shared" ref="D161:D169" si="22">VLOOKUP(C161,$C$133:$H$151,2,0)</f>
        <v>B24007</v>
      </c>
      <c r="E161" s="175">
        <f t="shared" si="18"/>
        <v>1.1060000000000001</v>
      </c>
      <c r="F161" s="353">
        <f t="shared" si="19"/>
        <v>62.045454545454547</v>
      </c>
      <c r="G161" s="175">
        <f t="shared" si="20"/>
        <v>11</v>
      </c>
      <c r="H161" s="512">
        <f>ROUNDUP(((F161*G161)+(F162*G162)+(F163*G163)+(F164*G164)+(F165*G165)+(F166*G166))/6400,0)</f>
        <v>9</v>
      </c>
      <c r="I161" s="506"/>
      <c r="J161" s="506"/>
    </row>
    <row r="162" spans="1:23" s="1" customFormat="1" ht="13.8" outlineLevel="1">
      <c r="A162" s="18">
        <f t="shared" si="16"/>
        <v>10</v>
      </c>
      <c r="B162" s="173" t="str">
        <f t="shared" ref="B162:C162" si="23">B142</f>
        <v>ขวางล่าง</v>
      </c>
      <c r="C162" s="173" t="str">
        <f t="shared" si="23"/>
        <v>SASH (Hor) (B)</v>
      </c>
      <c r="D162" s="510"/>
      <c r="E162" s="175">
        <f t="shared" si="18"/>
        <v>1.1060000000000001</v>
      </c>
      <c r="F162" s="353">
        <f t="shared" si="19"/>
        <v>62.045454545454547</v>
      </c>
      <c r="G162" s="175">
        <f t="shared" si="20"/>
        <v>11</v>
      </c>
      <c r="H162" s="514"/>
      <c r="I162" s="506"/>
      <c r="J162" s="506"/>
    </row>
    <row r="163" spans="1:23" s="1" customFormat="1" ht="13.8" outlineLevel="1">
      <c r="A163" s="18">
        <f t="shared" si="16"/>
        <v>11</v>
      </c>
      <c r="B163" s="173" t="str">
        <f t="shared" ref="B163:C163" si="24">B143</f>
        <v>เสา</v>
      </c>
      <c r="C163" s="173" t="str">
        <f t="shared" si="24"/>
        <v xml:space="preserve">SASH (Ver) </v>
      </c>
      <c r="D163" s="510"/>
      <c r="E163" s="175">
        <f t="shared" si="18"/>
        <v>1.1060000000000001</v>
      </c>
      <c r="F163" s="353">
        <f t="shared" si="19"/>
        <v>2408</v>
      </c>
      <c r="G163" s="175">
        <f t="shared" si="20"/>
        <v>16</v>
      </c>
      <c r="H163" s="514"/>
      <c r="I163" s="506"/>
      <c r="J163" s="506"/>
    </row>
    <row r="164" spans="1:23" s="1" customFormat="1" ht="13.8" outlineLevel="1">
      <c r="A164" s="18">
        <f t="shared" si="16"/>
        <v>12</v>
      </c>
      <c r="B164" s="173" t="str">
        <f t="shared" ref="B164:C164" si="25">B144</f>
        <v>เสากุญแจ</v>
      </c>
      <c r="C164" s="173" t="str">
        <f t="shared" si="25"/>
        <v xml:space="preserve">SASH (Ver) LOCK </v>
      </c>
      <c r="D164" s="510"/>
      <c r="E164" s="175">
        <f t="shared" si="18"/>
        <v>1.1060000000000001</v>
      </c>
      <c r="F164" s="353">
        <f t="shared" si="19"/>
        <v>2408</v>
      </c>
      <c r="G164" s="175">
        <f t="shared" si="20"/>
        <v>3</v>
      </c>
      <c r="H164" s="514"/>
      <c r="I164" s="506"/>
      <c r="J164" s="506"/>
    </row>
    <row r="165" spans="1:23" s="1" customFormat="1" ht="13.8" outlineLevel="1">
      <c r="A165" s="18">
        <f t="shared" si="16"/>
        <v>13</v>
      </c>
      <c r="B165" s="173" t="str">
        <f t="shared" ref="B165:C165" si="26">B145</f>
        <v>เสากุญแจ</v>
      </c>
      <c r="C165" s="173" t="str">
        <f t="shared" si="26"/>
        <v xml:space="preserve">SASH (Ver) LOCK  </v>
      </c>
      <c r="D165" s="510"/>
      <c r="E165" s="175">
        <f t="shared" si="18"/>
        <v>1.1060000000000001</v>
      </c>
      <c r="F165" s="353">
        <f t="shared" si="19"/>
        <v>2408</v>
      </c>
      <c r="G165" s="175">
        <f t="shared" si="20"/>
        <v>2</v>
      </c>
      <c r="H165" s="514"/>
      <c r="I165" s="506"/>
      <c r="J165" s="506"/>
    </row>
    <row r="166" spans="1:23" s="1" customFormat="1" ht="15" customHeight="1" outlineLevel="1">
      <c r="A166" s="18">
        <f t="shared" si="16"/>
        <v>14</v>
      </c>
      <c r="B166" s="173" t="str">
        <f t="shared" ref="B166:C166" si="27">B146</f>
        <v>เสากุญแจมือจับ</v>
      </c>
      <c r="C166" s="173" t="str">
        <f t="shared" si="27"/>
        <v>SASH (Ver) LOCK HANDLE</v>
      </c>
      <c r="D166" s="509"/>
      <c r="E166" s="175">
        <f t="shared" si="18"/>
        <v>1.1060000000000001</v>
      </c>
      <c r="F166" s="353">
        <f t="shared" si="19"/>
        <v>2408</v>
      </c>
      <c r="G166" s="175">
        <f t="shared" si="20"/>
        <v>1</v>
      </c>
      <c r="H166" s="515"/>
      <c r="I166" s="501"/>
      <c r="J166" s="501"/>
    </row>
    <row r="167" spans="1:23" s="1" customFormat="1" ht="15" customHeight="1" outlineLevel="1">
      <c r="A167" s="18">
        <f t="shared" si="16"/>
        <v>15</v>
      </c>
      <c r="B167" s="173" t="str">
        <f t="shared" ref="B167:C167" si="28">B147</f>
        <v>5-6mm คิ้วตบกระจกแนวนอน</v>
      </c>
      <c r="C167" s="173" t="str">
        <f t="shared" si="28"/>
        <v>5-6mm GLAZING BEAD HORIZONTAL</v>
      </c>
      <c r="D167" s="508" t="str">
        <f t="shared" si="22"/>
        <v>B24008</v>
      </c>
      <c r="E167" s="175">
        <f t="shared" si="18"/>
        <v>0.23100000000000001</v>
      </c>
      <c r="F167" s="353">
        <f t="shared" si="19"/>
        <v>62.045454545454547</v>
      </c>
      <c r="G167" s="175">
        <f t="shared" si="20"/>
        <v>22</v>
      </c>
      <c r="H167" s="516">
        <f>ROUNDUP(((F167*G167)+(F168*G168))/6400,0)</f>
        <v>8</v>
      </c>
      <c r="I167" s="266"/>
      <c r="J167" s="266"/>
    </row>
    <row r="168" spans="1:23" s="1" customFormat="1" ht="15" customHeight="1" outlineLevel="1">
      <c r="A168" s="18">
        <f t="shared" si="16"/>
        <v>16</v>
      </c>
      <c r="B168" s="173" t="str">
        <f t="shared" ref="B168:C168" si="29">B148</f>
        <v>5-6mm คิ้วตบกระจกแนวตั้ง</v>
      </c>
      <c r="C168" s="173" t="str">
        <f t="shared" si="29"/>
        <v>5-6mm GLAZING BEAD VERTICAL</v>
      </c>
      <c r="D168" s="509"/>
      <c r="E168" s="175">
        <f t="shared" si="18"/>
        <v>0.23100000000000001</v>
      </c>
      <c r="F168" s="353">
        <f t="shared" si="19"/>
        <v>2258</v>
      </c>
      <c r="G168" s="175">
        <f t="shared" si="20"/>
        <v>22</v>
      </c>
      <c r="H168" s="516"/>
      <c r="I168" s="266"/>
      <c r="J168" s="266"/>
    </row>
    <row r="169" spans="1:23" s="1" customFormat="1" ht="13.8" outlineLevel="1">
      <c r="A169" s="18">
        <f t="shared" si="16"/>
        <v>17</v>
      </c>
      <c r="B169" s="173" t="str">
        <f t="shared" ref="B169:C169" si="30">B149</f>
        <v>บังใบ</v>
      </c>
      <c r="C169" s="173" t="str">
        <f t="shared" si="30"/>
        <v>SASH STOP</v>
      </c>
      <c r="D169" s="508" t="str">
        <f t="shared" si="22"/>
        <v>B24009</v>
      </c>
      <c r="E169" s="175">
        <f t="shared" si="18"/>
        <v>0</v>
      </c>
      <c r="F169" s="353">
        <f t="shared" si="19"/>
        <v>2408</v>
      </c>
      <c r="G169" s="175">
        <f t="shared" si="20"/>
        <v>1</v>
      </c>
      <c r="H169" s="516">
        <f>ROUNDUP(((F169*G169)+(F170*G170))/6400,0)</f>
        <v>1</v>
      </c>
      <c r="I169" s="266"/>
      <c r="J169" s="266"/>
    </row>
    <row r="170" spans="1:23" s="1" customFormat="1" outlineLevel="1" thickBot="1">
      <c r="A170" s="18">
        <f t="shared" si="16"/>
        <v>18</v>
      </c>
      <c r="B170" s="173" t="str">
        <f t="shared" ref="B170:C170" si="31">B150</f>
        <v>บังใบ</v>
      </c>
      <c r="C170" s="173" t="str">
        <f t="shared" si="31"/>
        <v>SASH STOP</v>
      </c>
      <c r="D170" s="511"/>
      <c r="E170" s="175">
        <f t="shared" si="18"/>
        <v>0</v>
      </c>
      <c r="F170" s="353">
        <f t="shared" si="19"/>
        <v>2408</v>
      </c>
      <c r="G170" s="175">
        <f t="shared" si="20"/>
        <v>1</v>
      </c>
      <c r="H170" s="516"/>
      <c r="I170" s="266"/>
      <c r="J170" s="266"/>
    </row>
    <row r="171" spans="1:23" s="1" customFormat="1" ht="24.9" customHeight="1" thickBot="1">
      <c r="A171" s="529" t="s">
        <v>9</v>
      </c>
      <c r="B171" s="530"/>
      <c r="C171" s="530"/>
      <c r="D171" s="530"/>
      <c r="E171" s="530"/>
      <c r="F171" s="530"/>
      <c r="G171" s="530"/>
      <c r="H171" s="530"/>
      <c r="I171" s="530"/>
      <c r="J171" s="531"/>
    </row>
    <row r="172" spans="1:23" s="1" customFormat="1" ht="35.1" customHeight="1" thickBot="1">
      <c r="A172" s="102" t="s">
        <v>2</v>
      </c>
      <c r="B172" s="103" t="s">
        <v>29</v>
      </c>
      <c r="C172" s="103" t="s">
        <v>3</v>
      </c>
      <c r="D172" s="103" t="s">
        <v>199</v>
      </c>
      <c r="E172" s="103" t="s">
        <v>5</v>
      </c>
      <c r="F172" s="104" t="s">
        <v>28</v>
      </c>
      <c r="G172" s="103" t="s">
        <v>19</v>
      </c>
      <c r="H172" s="104" t="s">
        <v>200</v>
      </c>
      <c r="I172" s="104" t="s">
        <v>20</v>
      </c>
      <c r="J172" s="115" t="s">
        <v>201</v>
      </c>
      <c r="N172" s="101" t="s">
        <v>191</v>
      </c>
      <c r="O172" s="246" t="s">
        <v>29</v>
      </c>
      <c r="P172" s="246" t="s">
        <v>3</v>
      </c>
      <c r="Q172" s="246" t="s">
        <v>199</v>
      </c>
      <c r="R172" s="246" t="s">
        <v>5</v>
      </c>
      <c r="S172" s="246" t="s">
        <v>28</v>
      </c>
      <c r="T172" s="246" t="s">
        <v>19</v>
      </c>
      <c r="U172" s="246" t="s">
        <v>200</v>
      </c>
      <c r="V172" s="246" t="s">
        <v>20</v>
      </c>
      <c r="W172" s="246" t="s">
        <v>201</v>
      </c>
    </row>
    <row r="173" spans="1:23" s="1" customFormat="1" ht="18" customHeight="1">
      <c r="A173" s="200">
        <f>IF(B173="","",1)</f>
        <v>1</v>
      </c>
      <c r="B173" s="140" t="s">
        <v>111</v>
      </c>
      <c r="C173" s="140" t="s">
        <v>67</v>
      </c>
      <c r="D173" s="139" t="s">
        <v>74</v>
      </c>
      <c r="E173" s="143"/>
      <c r="F173" s="143" t="s">
        <v>74</v>
      </c>
      <c r="G173" s="143" t="s">
        <v>202</v>
      </c>
      <c r="H173" s="143">
        <v>22</v>
      </c>
      <c r="I173" s="130"/>
      <c r="J173" s="131">
        <f>$J$120*H173</f>
        <v>22</v>
      </c>
      <c r="N173" s="101" t="s">
        <v>226</v>
      </c>
      <c r="O173" s="280" t="s">
        <v>252</v>
      </c>
      <c r="P173" s="290" t="s">
        <v>248</v>
      </c>
      <c r="Q173" s="280" t="s">
        <v>69</v>
      </c>
      <c r="R173" s="213"/>
      <c r="S173" s="213" t="s">
        <v>69</v>
      </c>
      <c r="T173" s="213" t="s">
        <v>198</v>
      </c>
      <c r="U173" s="291">
        <f>((($I$141*$G$141)+($I$142*$G$142)+($I$143*$G$143)+($I$144*$G$144)+($I$145*$G$145)+($I$146*$G$146))/1000)*$J$120</f>
        <v>54.341000000000001</v>
      </c>
      <c r="V173" s="291">
        <v>100</v>
      </c>
      <c r="W173" s="292">
        <f>ROUNDUP((U173)/100,0)</f>
        <v>1</v>
      </c>
    </row>
    <row r="174" spans="1:23" s="1" customFormat="1" ht="18" customHeight="1">
      <c r="A174" s="201">
        <f>IF(B174="","",+A173+1)</f>
        <v>2</v>
      </c>
      <c r="B174" s="140" t="s">
        <v>106</v>
      </c>
      <c r="C174" s="140" t="s">
        <v>503</v>
      </c>
      <c r="D174" s="139" t="s">
        <v>75</v>
      </c>
      <c r="E174" s="143"/>
      <c r="F174" s="143" t="s">
        <v>75</v>
      </c>
      <c r="G174" s="143" t="s">
        <v>202</v>
      </c>
      <c r="H174" s="143">
        <v>2</v>
      </c>
      <c r="I174" s="130"/>
      <c r="J174" s="131">
        <f t="shared" ref="J174:J199" si="32">$J$120*H174</f>
        <v>2</v>
      </c>
      <c r="N174" s="101" t="s">
        <v>230</v>
      </c>
      <c r="O174" s="280" t="s">
        <v>253</v>
      </c>
      <c r="P174" s="290" t="s">
        <v>249</v>
      </c>
      <c r="Q174" s="280" t="s">
        <v>188</v>
      </c>
      <c r="R174" s="213"/>
      <c r="S174" s="213" t="s">
        <v>188</v>
      </c>
      <c r="T174" s="213" t="s">
        <v>198</v>
      </c>
      <c r="U174" s="291">
        <f>((($I$141*$G$141)+($I$142*$G$142)+($I$143*$G$143)+($I$144*$G$144)+($I$145*$G$145)+($I$146*$G$146))/1000)*$J$120</f>
        <v>54.341000000000001</v>
      </c>
      <c r="V174" s="291">
        <v>100</v>
      </c>
      <c r="W174" s="292">
        <f t="shared" ref="W174:W177" si="33">ROUNDUP((U174)/100,0)</f>
        <v>1</v>
      </c>
    </row>
    <row r="175" spans="1:23" s="1" customFormat="1" ht="18" customHeight="1">
      <c r="A175" s="201">
        <f t="shared" ref="A175:A203" si="34">IF(B175="","",+A174+1)</f>
        <v>3</v>
      </c>
      <c r="B175" s="140" t="s">
        <v>107</v>
      </c>
      <c r="C175" s="140" t="s">
        <v>504</v>
      </c>
      <c r="D175" s="139" t="s">
        <v>76</v>
      </c>
      <c r="E175" s="143"/>
      <c r="F175" s="143" t="s">
        <v>76</v>
      </c>
      <c r="G175" s="143" t="s">
        <v>202</v>
      </c>
      <c r="H175" s="143">
        <v>2</v>
      </c>
      <c r="I175" s="130"/>
      <c r="J175" s="131">
        <f t="shared" si="32"/>
        <v>2</v>
      </c>
      <c r="N175" s="101" t="s">
        <v>229</v>
      </c>
      <c r="O175" s="290" t="s">
        <v>254</v>
      </c>
      <c r="P175" s="290" t="s">
        <v>250</v>
      </c>
      <c r="Q175" s="280" t="s">
        <v>70</v>
      </c>
      <c r="R175" s="213"/>
      <c r="S175" s="213" t="s">
        <v>70</v>
      </c>
      <c r="T175" s="213" t="s">
        <v>198</v>
      </c>
      <c r="U175" s="291">
        <f>((($I$141*$G$141)+($I$142*$G$142)+($I$143*$G$143)+($I$144*$G$144)+($I$145*$G$145)+($I$146*$G$146))/1000)*$J$120</f>
        <v>54.341000000000001</v>
      </c>
      <c r="V175" s="291">
        <v>100</v>
      </c>
      <c r="W175" s="292">
        <f t="shared" si="33"/>
        <v>1</v>
      </c>
    </row>
    <row r="176" spans="1:23" s="1" customFormat="1" ht="18" customHeight="1">
      <c r="A176" s="201">
        <f t="shared" si="34"/>
        <v>4</v>
      </c>
      <c r="B176" s="140" t="s">
        <v>108</v>
      </c>
      <c r="C176" s="140" t="s">
        <v>10</v>
      </c>
      <c r="D176" s="139">
        <v>9</v>
      </c>
      <c r="E176" s="143"/>
      <c r="F176" s="143">
        <v>9</v>
      </c>
      <c r="G176" s="143" t="s">
        <v>202</v>
      </c>
      <c r="H176" s="143">
        <v>8</v>
      </c>
      <c r="I176" s="130"/>
      <c r="J176" s="131">
        <f t="shared" si="32"/>
        <v>8</v>
      </c>
      <c r="N176" s="101" t="s">
        <v>231</v>
      </c>
      <c r="O176" s="290" t="s">
        <v>255</v>
      </c>
      <c r="P176" s="290" t="s">
        <v>251</v>
      </c>
      <c r="Q176" s="280" t="s">
        <v>189</v>
      </c>
      <c r="R176" s="213"/>
      <c r="S176" s="213" t="s">
        <v>189</v>
      </c>
      <c r="T176" s="213" t="s">
        <v>198</v>
      </c>
      <c r="U176" s="291">
        <f>((($I$141*$G$141)+($I$142*$G$142)+($I$143*$G$143)+($I$144*$G$144)+($I$145*$G$145)+($I$146*$G$146))/1000)*$J$120</f>
        <v>54.341000000000001</v>
      </c>
      <c r="V176" s="291">
        <v>100</v>
      </c>
      <c r="W176" s="292">
        <f t="shared" si="33"/>
        <v>1</v>
      </c>
    </row>
    <row r="177" spans="1:23" s="1" customFormat="1" ht="18" customHeight="1">
      <c r="A177" s="201">
        <f t="shared" si="34"/>
        <v>5</v>
      </c>
      <c r="B177" s="140" t="s">
        <v>109</v>
      </c>
      <c r="C177" s="140" t="s">
        <v>68</v>
      </c>
      <c r="D177" s="139">
        <v>9</v>
      </c>
      <c r="E177" s="143"/>
      <c r="F177" s="143">
        <v>9</v>
      </c>
      <c r="G177" s="143" t="s">
        <v>202</v>
      </c>
      <c r="H177" s="143">
        <v>110</v>
      </c>
      <c r="I177" s="130"/>
      <c r="J177" s="131">
        <f t="shared" si="32"/>
        <v>110</v>
      </c>
      <c r="N177" s="101" t="s">
        <v>232</v>
      </c>
      <c r="O177" s="290" t="s">
        <v>256</v>
      </c>
      <c r="P177" s="290" t="s">
        <v>247</v>
      </c>
      <c r="Q177" s="280" t="s">
        <v>233</v>
      </c>
      <c r="R177" s="213"/>
      <c r="S177" s="213" t="s">
        <v>233</v>
      </c>
      <c r="T177" s="213" t="s">
        <v>198</v>
      </c>
      <c r="U177" s="291">
        <f>((($I$141*$G$141)+($I$142*$G$142)+($I$143*$G$143)+($I$144*$G$144)+($I$145*$G$145)+($I$146*$G$146))/1000)*$J$120</f>
        <v>54.341000000000001</v>
      </c>
      <c r="V177" s="291">
        <v>100</v>
      </c>
      <c r="W177" s="292">
        <f t="shared" si="33"/>
        <v>1</v>
      </c>
    </row>
    <row r="178" spans="1:23" s="1" customFormat="1" ht="18" customHeight="1">
      <c r="A178" s="201">
        <f t="shared" si="34"/>
        <v>6</v>
      </c>
      <c r="B178" s="140" t="s">
        <v>132</v>
      </c>
      <c r="C178" s="140" t="s">
        <v>79</v>
      </c>
      <c r="D178" s="139" t="s">
        <v>82</v>
      </c>
      <c r="E178" s="143"/>
      <c r="F178" s="143" t="s">
        <v>82</v>
      </c>
      <c r="G178" s="143" t="s">
        <v>185</v>
      </c>
      <c r="H178" s="143">
        <v>2</v>
      </c>
      <c r="I178" s="130"/>
      <c r="J178" s="131">
        <f>$J$120*H178</f>
        <v>2</v>
      </c>
    </row>
    <row r="179" spans="1:23" s="1" customFormat="1" ht="18" customHeight="1">
      <c r="A179" s="201">
        <f t="shared" si="34"/>
        <v>7</v>
      </c>
      <c r="B179" s="140" t="s">
        <v>143</v>
      </c>
      <c r="C179" s="140" t="s">
        <v>121</v>
      </c>
      <c r="D179" s="139" t="s">
        <v>103</v>
      </c>
      <c r="E179" s="143"/>
      <c r="F179" s="143" t="s">
        <v>103</v>
      </c>
      <c r="G179" s="143" t="s">
        <v>185</v>
      </c>
      <c r="H179" s="143">
        <v>3</v>
      </c>
      <c r="I179" s="130"/>
      <c r="J179" s="131">
        <f>$J$120*H179</f>
        <v>3</v>
      </c>
    </row>
    <row r="180" spans="1:23" s="1" customFormat="1" ht="18" customHeight="1">
      <c r="A180" s="201">
        <f t="shared" si="34"/>
        <v>8</v>
      </c>
      <c r="B180" s="140" t="s">
        <v>118</v>
      </c>
      <c r="C180" s="140" t="s">
        <v>77</v>
      </c>
      <c r="D180" s="139" t="s">
        <v>80</v>
      </c>
      <c r="E180" s="143"/>
      <c r="F180" s="143" t="s">
        <v>80</v>
      </c>
      <c r="G180" s="143" t="s">
        <v>185</v>
      </c>
      <c r="H180" s="143">
        <v>1</v>
      </c>
      <c r="I180" s="130"/>
      <c r="J180" s="131">
        <f t="shared" si="32"/>
        <v>1</v>
      </c>
    </row>
    <row r="181" spans="1:23" s="1" customFormat="1" ht="18" customHeight="1">
      <c r="A181" s="201">
        <f t="shared" si="34"/>
        <v>9</v>
      </c>
      <c r="B181" s="140" t="s">
        <v>120</v>
      </c>
      <c r="C181" s="140" t="s">
        <v>94</v>
      </c>
      <c r="D181" s="375" t="s">
        <v>96</v>
      </c>
      <c r="E181" s="376"/>
      <c r="F181" s="376" t="s">
        <v>96</v>
      </c>
      <c r="G181" s="143" t="s">
        <v>185</v>
      </c>
      <c r="H181" s="143">
        <v>1</v>
      </c>
      <c r="I181" s="130"/>
      <c r="J181" s="131">
        <f t="shared" si="32"/>
        <v>1</v>
      </c>
    </row>
    <row r="182" spans="1:23" s="1" customFormat="1" ht="18" customHeight="1">
      <c r="A182" s="201">
        <f t="shared" si="34"/>
        <v>10</v>
      </c>
      <c r="B182" s="140" t="s">
        <v>119</v>
      </c>
      <c r="C182" s="140" t="s">
        <v>95</v>
      </c>
      <c r="D182" s="375" t="s">
        <v>97</v>
      </c>
      <c r="E182" s="376"/>
      <c r="F182" s="376" t="s">
        <v>97</v>
      </c>
      <c r="G182" s="143" t="s">
        <v>185</v>
      </c>
      <c r="H182" s="143">
        <v>1</v>
      </c>
      <c r="I182" s="130"/>
      <c r="J182" s="131">
        <f t="shared" si="32"/>
        <v>1</v>
      </c>
      <c r="N182" s="56"/>
      <c r="O182" s="56"/>
      <c r="P182" s="56"/>
      <c r="Q182" s="289"/>
      <c r="R182" s="289"/>
      <c r="S182" s="289"/>
      <c r="T182" s="17"/>
      <c r="U182" s="17"/>
      <c r="V182" s="17"/>
      <c r="W182" s="56"/>
    </row>
    <row r="183" spans="1:23" s="1" customFormat="1" ht="18" customHeight="1">
      <c r="A183" s="201">
        <f t="shared" si="34"/>
        <v>11</v>
      </c>
      <c r="B183" s="140" t="s">
        <v>131</v>
      </c>
      <c r="C183" s="140" t="s">
        <v>100</v>
      </c>
      <c r="D183" s="375" t="s">
        <v>102</v>
      </c>
      <c r="E183" s="376"/>
      <c r="F183" s="376" t="s">
        <v>102</v>
      </c>
      <c r="G183" s="143" t="s">
        <v>185</v>
      </c>
      <c r="H183" s="143">
        <v>4</v>
      </c>
      <c r="I183" s="144"/>
      <c r="J183" s="131">
        <f t="shared" si="32"/>
        <v>4</v>
      </c>
      <c r="N183" s="101" t="s">
        <v>227</v>
      </c>
      <c r="O183" s="246" t="s">
        <v>29</v>
      </c>
      <c r="P183" s="246" t="s">
        <v>3</v>
      </c>
      <c r="Q183" s="246" t="s">
        <v>199</v>
      </c>
      <c r="R183" s="246" t="s">
        <v>5</v>
      </c>
      <c r="S183" s="246" t="s">
        <v>28</v>
      </c>
      <c r="T183" s="246" t="s">
        <v>19</v>
      </c>
      <c r="U183" s="246" t="s">
        <v>200</v>
      </c>
      <c r="V183" s="246" t="s">
        <v>20</v>
      </c>
      <c r="W183" s="246" t="s">
        <v>201</v>
      </c>
    </row>
    <row r="184" spans="1:23" s="1" customFormat="1" ht="18" customHeight="1">
      <c r="A184" s="201">
        <f t="shared" si="34"/>
        <v>12</v>
      </c>
      <c r="B184" s="140" t="s">
        <v>113</v>
      </c>
      <c r="C184" s="140" t="s">
        <v>502</v>
      </c>
      <c r="D184" s="375" t="s">
        <v>83</v>
      </c>
      <c r="E184" s="376"/>
      <c r="F184" s="376" t="s">
        <v>83</v>
      </c>
      <c r="G184" s="143" t="s">
        <v>185</v>
      </c>
      <c r="H184" s="143">
        <v>5</v>
      </c>
      <c r="I184" s="144"/>
      <c r="J184" s="131">
        <f t="shared" ref="J184:J188" si="35">$J$120*H184</f>
        <v>5</v>
      </c>
      <c r="N184" s="101" t="s">
        <v>240</v>
      </c>
      <c r="O184" s="290" t="s">
        <v>234</v>
      </c>
      <c r="P184" s="290" t="s">
        <v>236</v>
      </c>
      <c r="Q184" s="280" t="s">
        <v>190</v>
      </c>
      <c r="R184" s="213"/>
      <c r="S184" s="213" t="s">
        <v>190</v>
      </c>
      <c r="T184" s="213" t="s">
        <v>198</v>
      </c>
      <c r="U184" s="291">
        <f>((($I$134*$G$134)+($I$136*$G$136)+($I$139*$G$139))/1000)*$J$120</f>
        <v>6.258</v>
      </c>
      <c r="V184" s="291">
        <v>300</v>
      </c>
      <c r="W184" s="292">
        <f>ROUNDUP((U184)/V184,0)</f>
        <v>1</v>
      </c>
    </row>
    <row r="185" spans="1:23" s="1" customFormat="1" ht="18" customHeight="1">
      <c r="A185" s="201">
        <f t="shared" si="34"/>
        <v>13</v>
      </c>
      <c r="B185" s="140" t="s">
        <v>122</v>
      </c>
      <c r="C185" s="140" t="s">
        <v>101</v>
      </c>
      <c r="D185" s="375" t="s">
        <v>104</v>
      </c>
      <c r="E185" s="376"/>
      <c r="F185" s="376" t="s">
        <v>104</v>
      </c>
      <c r="G185" s="143" t="s">
        <v>185</v>
      </c>
      <c r="H185" s="143">
        <v>1</v>
      </c>
      <c r="I185" s="130"/>
      <c r="J185" s="131">
        <f t="shared" si="35"/>
        <v>1</v>
      </c>
      <c r="N185" s="101" t="s">
        <v>241</v>
      </c>
      <c r="O185" s="290" t="s">
        <v>235</v>
      </c>
      <c r="P185" s="290" t="s">
        <v>238</v>
      </c>
      <c r="Q185" s="280" t="s">
        <v>71</v>
      </c>
      <c r="R185" s="213"/>
      <c r="S185" s="213" t="s">
        <v>71</v>
      </c>
      <c r="T185" s="213" t="s">
        <v>198</v>
      </c>
      <c r="U185" s="291">
        <f>((($I$134*$G$134)+($I$136*$G$136)+($I$139*$G$139))/1000)*$J$120</f>
        <v>6.258</v>
      </c>
      <c r="V185" s="291">
        <v>100</v>
      </c>
      <c r="W185" s="292">
        <f t="shared" ref="W185:W187" si="36">ROUNDUP((U185)/V185,0)</f>
        <v>1</v>
      </c>
    </row>
    <row r="186" spans="1:23" s="1" customFormat="1" ht="18" customHeight="1">
      <c r="A186" s="201">
        <f t="shared" si="34"/>
        <v>14</v>
      </c>
      <c r="B186" s="140" t="s">
        <v>112</v>
      </c>
      <c r="C186" s="140" t="s">
        <v>114</v>
      </c>
      <c r="D186" s="128" t="s">
        <v>520</v>
      </c>
      <c r="E186" s="129"/>
      <c r="F186" s="129" t="s">
        <v>520</v>
      </c>
      <c r="G186" s="143" t="s">
        <v>202</v>
      </c>
      <c r="H186" s="143">
        <v>10</v>
      </c>
      <c r="I186" s="130"/>
      <c r="J186" s="131">
        <f t="shared" si="35"/>
        <v>10</v>
      </c>
      <c r="N186" s="101" t="s">
        <v>240</v>
      </c>
      <c r="O186" s="290" t="s">
        <v>245</v>
      </c>
      <c r="P186" s="290" t="s">
        <v>237</v>
      </c>
      <c r="Q186" s="280" t="s">
        <v>72</v>
      </c>
      <c r="R186" s="213"/>
      <c r="S186" s="213" t="s">
        <v>72</v>
      </c>
      <c r="T186" s="213" t="s">
        <v>198</v>
      </c>
      <c r="U186" s="291">
        <f>((($I$141*$G$141*2)+($I$143*$G$143*2)+($I$144*$G$144*2)+($I$145*$G$145))/1000)*$J$120</f>
        <v>97.685000000000002</v>
      </c>
      <c r="V186" s="291">
        <v>350</v>
      </c>
      <c r="W186" s="292">
        <f t="shared" si="36"/>
        <v>1</v>
      </c>
    </row>
    <row r="187" spans="1:23" s="1" customFormat="1" ht="18" customHeight="1">
      <c r="A187" s="201">
        <f t="shared" si="34"/>
        <v>15</v>
      </c>
      <c r="B187" s="140" t="s">
        <v>115</v>
      </c>
      <c r="C187" s="140" t="s">
        <v>45</v>
      </c>
      <c r="D187" s="139" t="s">
        <v>84</v>
      </c>
      <c r="E187" s="143"/>
      <c r="F187" s="143" t="s">
        <v>84</v>
      </c>
      <c r="G187" s="143" t="s">
        <v>202</v>
      </c>
      <c r="H187" s="143">
        <v>1</v>
      </c>
      <c r="I187" s="130"/>
      <c r="J187" s="131">
        <f t="shared" si="35"/>
        <v>1</v>
      </c>
      <c r="N187" s="101" t="s">
        <v>241</v>
      </c>
      <c r="O187" s="290" t="s">
        <v>246</v>
      </c>
      <c r="P187" s="290" t="s">
        <v>239</v>
      </c>
      <c r="Q187" s="280" t="s">
        <v>193</v>
      </c>
      <c r="R187" s="213"/>
      <c r="S187" s="213" t="s">
        <v>193</v>
      </c>
      <c r="T187" s="213" t="s">
        <v>198</v>
      </c>
      <c r="U187" s="291">
        <f>((($I$141*$G$141*2)+($I$143*$G$143*2)+($I$144*$G$144*2)+($I$145*$G$145))/1000)*$J$120</f>
        <v>97.685000000000002</v>
      </c>
      <c r="V187" s="291">
        <v>100</v>
      </c>
      <c r="W187" s="292">
        <f t="shared" si="36"/>
        <v>1</v>
      </c>
    </row>
    <row r="188" spans="1:23" s="1" customFormat="1" ht="18" customHeight="1">
      <c r="A188" s="201">
        <f t="shared" si="34"/>
        <v>16</v>
      </c>
      <c r="B188" s="140" t="s">
        <v>110</v>
      </c>
      <c r="C188" s="140" t="s">
        <v>66</v>
      </c>
      <c r="D188" s="139" t="s">
        <v>73</v>
      </c>
      <c r="E188" s="143"/>
      <c r="F188" s="143" t="s">
        <v>73</v>
      </c>
      <c r="G188" s="143" t="s">
        <v>202</v>
      </c>
      <c r="H188" s="143">
        <v>5</v>
      </c>
      <c r="I188" s="130"/>
      <c r="J188" s="131">
        <f t="shared" si="35"/>
        <v>5</v>
      </c>
    </row>
    <row r="189" spans="1:23" s="1" customFormat="1" ht="18" customHeight="1">
      <c r="A189" s="201">
        <f t="shared" si="34"/>
        <v>17</v>
      </c>
      <c r="B189" s="140" t="s">
        <v>512</v>
      </c>
      <c r="C189" s="140" t="s">
        <v>135</v>
      </c>
      <c r="D189" s="139" t="s">
        <v>137</v>
      </c>
      <c r="E189" s="143"/>
      <c r="F189" s="143" t="s">
        <v>137</v>
      </c>
      <c r="G189" s="143" t="s">
        <v>198</v>
      </c>
      <c r="H189" s="261">
        <f>((($I$149*$G$149)+($I$150*$G$150))/1000)*$J$120</f>
        <v>4.8159999999999998</v>
      </c>
      <c r="I189" s="258">
        <v>100</v>
      </c>
      <c r="J189" s="260">
        <f>ROUNDUP((H189)/100,0)</f>
        <v>1</v>
      </c>
    </row>
    <row r="190" spans="1:23" s="1" customFormat="1" ht="18" customHeight="1">
      <c r="A190" s="201">
        <f t="shared" si="34"/>
        <v>18</v>
      </c>
      <c r="B190" s="140" t="s">
        <v>513</v>
      </c>
      <c r="C190" s="140" t="s">
        <v>136</v>
      </c>
      <c r="D190" s="139" t="s">
        <v>138</v>
      </c>
      <c r="E190" s="143"/>
      <c r="F190" s="143" t="s">
        <v>138</v>
      </c>
      <c r="G190" s="143" t="s">
        <v>198</v>
      </c>
      <c r="H190" s="261">
        <f>((($I$146*$G$146*2))/1000)*$J$120</f>
        <v>4.8159999999999998</v>
      </c>
      <c r="I190" s="258">
        <v>100</v>
      </c>
      <c r="J190" s="260">
        <f>ROUNDUP((H190)/100,0)</f>
        <v>1</v>
      </c>
    </row>
    <row r="191" spans="1:23" s="1" customFormat="1" ht="18" customHeight="1">
      <c r="A191" s="201">
        <f t="shared" si="34"/>
        <v>19</v>
      </c>
      <c r="B191" s="139" t="str">
        <f>IF($D$129="Standard",$O$184,IF($D$129="Soumdproof",$O$185,))</f>
        <v>ยางเฟรมกันน้ำ (ธรรมดา)</v>
      </c>
      <c r="C191" s="139" t="str">
        <f>IF($D$129="Standard",$P$184,IF($D$129="Soumdproof",$P$185,))</f>
        <v>FRAME SEAL (Standard)</v>
      </c>
      <c r="D191" s="139" t="str">
        <f>IF($D$129="Standard",$Q$184,IF($D$129="Soumdproof",$Q$185,))</f>
        <v>02-026</v>
      </c>
      <c r="E191" s="143">
        <f>IF($D$129="Standard",R189,IF($D$129="Soumdproof",R190,))</f>
        <v>0</v>
      </c>
      <c r="F191" s="143" t="str">
        <f>IF($D$129="Standard",$S$184,IF($D$129="Soumdproof",$S$185,))</f>
        <v>02-026</v>
      </c>
      <c r="G191" s="143" t="str">
        <f>IF($D$129="Standard",$T$184,IF($D$129="Soumdproof",$T$185,))</f>
        <v>M</v>
      </c>
      <c r="H191" s="261">
        <f>IF($D$129="Standard",$U$184,IF($D$129="Soumdproof",$U$185,))</f>
        <v>6.258</v>
      </c>
      <c r="I191" s="258">
        <f>IF($D$129="Standard",$V$184,IF($D$129="Soumdproof",$V$185,))</f>
        <v>300</v>
      </c>
      <c r="J191" s="267">
        <f>ROUNDUP((H191)/100,0)</f>
        <v>1</v>
      </c>
    </row>
    <row r="192" spans="1:23" s="1" customFormat="1" ht="18" customHeight="1">
      <c r="A192" s="201">
        <f t="shared" si="34"/>
        <v>20</v>
      </c>
      <c r="B192" s="139" t="str">
        <f>IF($D$129="Standard",$O$186,IF($D$129="Soumdproof",$O$187,))</f>
        <v>ยางแซชกันน้ำ (ธรรมดา)</v>
      </c>
      <c r="C192" s="139" t="str">
        <f>IF($D$129="Standard",$P$186,IF($D$129="Soumdproof",$P$187,))</f>
        <v>SASH SEAL FOAM (Standard)</v>
      </c>
      <c r="D192" s="139" t="str">
        <f>IF($D$129="Standard",$Q$186,IF($D$129="Soumdproof",$Q$187,))</f>
        <v>02-031</v>
      </c>
      <c r="E192" s="143">
        <f>IF($D$129="Standard",R191,IF($D$129="Soumdproof",R192,))</f>
        <v>0</v>
      </c>
      <c r="F192" s="143" t="str">
        <f>IF($D$129="Standard",$S$186,IF($D$129="Soumdproof",$S$187,))</f>
        <v>02-031</v>
      </c>
      <c r="G192" s="143" t="str">
        <f>IF($D$129="Standard",$T$186,IF($D$129="Soumdproof",$T$187,))</f>
        <v>M</v>
      </c>
      <c r="H192" s="261">
        <f>IF($D$129="Standard",$U$186,IF($D$129="Soumdproof",$U$187,))</f>
        <v>97.685000000000002</v>
      </c>
      <c r="I192" s="258">
        <f>IF($D$129="Standard",$V$186,IF($D$129="Soumdproof",$V$187,))</f>
        <v>350</v>
      </c>
      <c r="J192" s="260">
        <f t="shared" ref="J192:J194" si="37">ROUNDUP((H192)/100,0)</f>
        <v>1</v>
      </c>
    </row>
    <row r="193" spans="1:24" ht="18" customHeight="1">
      <c r="A193" s="201">
        <f t="shared" si="34"/>
        <v>21</v>
      </c>
      <c r="B193" s="241" t="str">
        <f>IF($D$127=5,$O$175,IF($D$127=6,$O$176,IF($D$127=8,$O$177,IF($D$127=10,$O$175,IF($D$127=12,$O$175,IF($D$127=14,$O$177,IF($D$127=18,$O$175,IF($D$127=20,$O$176,IF($D$127=22,"")))))))))</f>
        <v>5,8,10,12,18 mmยางอัดกระจก</v>
      </c>
      <c r="C193" s="241" t="str">
        <f>IF($D$127=5,$P$175,IF($D$127=6,$P$176,IF($D$127=8,$P$177,IF($D$127=10,$P$175,IF($D$127=12,$P$175,IF($D$127=14,$P$177,IF($D$127=18,$P$175,IF($D$127=20,$P$176,IF($D$127=22,"")))))))))</f>
        <v>5,8,10,12,18 mm ROLL IN WEDGE</v>
      </c>
      <c r="D193" s="241" t="str">
        <f>IF($D$127=5,$Q$175,IF($D$127=6,$Q$176,IF($D$127=8,$Q$177,IF($D$127=10,$Q$175,IF($D$127=12,$Q$175,IF($D$127=14,$Q$177,IF($D$127=18,$Q$175,IF($D$127=20,$Q$176,IF($D$127=22,"")))))))))</f>
        <v>02-033</v>
      </c>
      <c r="E193" s="241">
        <f>IF($D$127=5,R180,IF($D$127=6,R181,IF($D$127=8,R182,IF($D$127=10,R180,IF($D$127=12,R180,IF($D$127=14,R182,IF($D$127=18,R180,IF($D$127=20,R181,IF($D$127=22,"",)))))))))</f>
        <v>0</v>
      </c>
      <c r="F193" s="242" t="str">
        <f>IF($D$127=5,$S$175,IF($D$127=6,$S$176,IF($D$127=8,$S$177,IF($D$127=10,$S$175,IF($D$127=12,$S$175,IF($D$127=14,$S$177,IF($D$127=18,$S$175,IF($D$127=20,$S$176,IF($D$127=22,"")))))))))</f>
        <v>02-033</v>
      </c>
      <c r="G193" s="242" t="str">
        <f>IF($D$127=5,$T$175,IF($D$127=6,$T$176,IF($D$127=8,$T$177,IF($D$127=10,$T$175,IF($D$127=12,$T$175,IF($D$127=14,$T$177,IF($D$127=18,$T$175,IF($D$127=20,$T$176,IF($D$127=22,"")))))))))</f>
        <v>M</v>
      </c>
      <c r="H193" s="261">
        <f>IF($D$127=5,$U$175,IF($D$127=6,$U$176,IF($D$127=8,$U$177,IF($D$127=10,$U$175*2,IF($D$127=12,$U$175,IF($D$127=14,$U$177*2,IF($D$127=18,$U$175,IF($D$127=20,$U$176,IF($D$127=22,"")))))))))</f>
        <v>54.341000000000001</v>
      </c>
      <c r="I193" s="258">
        <f>IF($D$127=5,$V$175,IF($D$127=6,$V$176,IF($D$127=8,$V$177,IF($D$127=10,$V$175,IF($D$127=12,$V$175,IF($D$127=14,$V$177,IF($D$127=18,$V$175,IF($D$127=20,$V$176,IF($D$127=22,"")))))))))</f>
        <v>100</v>
      </c>
      <c r="J193" s="260">
        <f t="shared" si="37"/>
        <v>1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s="1" customFormat="1" ht="18" customHeight="1">
      <c r="A194" s="201">
        <f t="shared" si="34"/>
        <v>22</v>
      </c>
      <c r="B194" s="241" t="str">
        <f>IF($D$127=5,$O$173,IF($D$127=6,$O$173,IF($D$127=8,$O$175,IF($D$127=10,"",IF($D$127=12,$O$174,IF($D$127=14,"",IF($D$127=18,$O$173,IF($D$127=20,$O$174,IF($D$127=22,"",)))))))))</f>
        <v>5,6,18 mm ยางรองกระจก</v>
      </c>
      <c r="C194" s="241" t="str">
        <f>IF($D$127=5,$P$173,IF($D$127=6,$P$173,IF($D$127=8,$P$175,IF($D$127=10,"",IF($D$127=12,$P$174,IF($D$127=14,"",IF($D$127=18,$P$173,IF($D$127=20,$P$174,IF($D$127=22,"",)))))))))</f>
        <v>5,6,18 mm CAPTIVE WEDGE</v>
      </c>
      <c r="D194" s="241" t="str">
        <f>IF($D$127=5,$Q$173,IF($D$127=6,$Q$173,IF($D$127=8,$Q$175,IF($D$127=10,"",IF($D$127=12,$Q$174,IF($D$127=14,"",IF($D$127=18,$Q$173,IF($D$127=20,$Q$174,IF($D$127=22,"",)))))))))</f>
        <v>02-022</v>
      </c>
      <c r="E194" s="241">
        <f>IF($D$127=5,R178,IF($D$127=6,R178,IF($D$127=8,R180,IF($D$127=10,"",IF($D$127=12,R179,IF($D$127=14,"",IF($D$127=18,R178,IF($D$127=20,R179,IF($D$127=22,"",)))))))))</f>
        <v>0</v>
      </c>
      <c r="F194" s="242" t="str">
        <f>IF($D$127=5,$S$173,IF($D$127=6,$S$173,IF($D$127=8,$S$175,IF($D$127=10,"",IF($D$127=12,$S$174,IF($D$127=14,"",IF($D$127=18,$S$173,IF($D$127=20,$S$174,IF($D$127=22,"",)))))))))</f>
        <v>02-022</v>
      </c>
      <c r="G194" s="242" t="str">
        <f>IF($D$127=5,$T$173,IF($D$127=6,$T$173,IF($D$127=8,$T$175,IF($D$127=10,"",IF($D$127=12,$T$174,IF($D$127=14,"",IF($D$127=18,$T$173,IF($D$127=20,$T$174,IF($D$127=22,"",)))))))))</f>
        <v>M</v>
      </c>
      <c r="H194" s="261">
        <f>IF($D$127=5,$U$173,IF($D$127=6,$U$173,IF($D$127=8,$U$175,IF($D$127=10,"",IF($D$127=12,$U$174,IF($D$127=14,"",IF($D$127=18,$U$173,IF($D$127=20,$U$174,IF($D$127=22,"")))))))))</f>
        <v>54.341000000000001</v>
      </c>
      <c r="I194" s="258">
        <f>IF($D$127=5,$V$173,IF($D$127=6,$V$173,IF($D$127=8,$V$175,IF($D$127=10,"",IF($D$127=12,$V$174,IF($D$127=14,"",IF($D$127=18,$V$173,IF($D$127=20,$V$174,IF($D$127=22,"",)))))))))</f>
        <v>100</v>
      </c>
      <c r="J194" s="260">
        <f t="shared" si="37"/>
        <v>1</v>
      </c>
    </row>
    <row r="195" spans="1:24" s="1" customFormat="1" ht="18" customHeight="1">
      <c r="A195" s="201" t="str">
        <f t="shared" si="34"/>
        <v/>
      </c>
      <c r="B195" s="140"/>
      <c r="C195" s="140"/>
      <c r="D195" s="139"/>
      <c r="E195" s="143"/>
      <c r="F195" s="143"/>
      <c r="G195" s="143"/>
      <c r="H195" s="143"/>
      <c r="I195" s="130"/>
      <c r="J195" s="131"/>
    </row>
    <row r="196" spans="1:24" s="1" customFormat="1" ht="18" customHeight="1">
      <c r="A196" s="201" t="str">
        <f t="shared" si="34"/>
        <v/>
      </c>
      <c r="B196" s="140"/>
      <c r="C196" s="140"/>
      <c r="D196" s="381"/>
      <c r="E196" s="143"/>
      <c r="F196" s="143"/>
      <c r="G196" s="143"/>
      <c r="H196" s="143"/>
      <c r="I196" s="144"/>
      <c r="J196" s="131"/>
    </row>
    <row r="197" spans="1:24" s="1" customFormat="1" ht="18" customHeight="1">
      <c r="A197" s="201" t="str">
        <f t="shared" si="34"/>
        <v/>
      </c>
      <c r="B197" s="140"/>
      <c r="C197" s="140"/>
      <c r="D197" s="381"/>
      <c r="E197" s="143"/>
      <c r="F197" s="143"/>
      <c r="G197" s="143"/>
      <c r="H197" s="143"/>
      <c r="I197" s="144"/>
      <c r="J197" s="131"/>
    </row>
    <row r="198" spans="1:24" s="1" customFormat="1" ht="18" customHeight="1">
      <c r="A198" s="201" t="str">
        <f t="shared" si="34"/>
        <v/>
      </c>
      <c r="B198" s="140"/>
      <c r="C198" s="140"/>
      <c r="D198" s="139"/>
      <c r="E198" s="143"/>
      <c r="F198" s="143"/>
      <c r="G198" s="143"/>
      <c r="H198" s="143"/>
      <c r="I198" s="130"/>
      <c r="J198" s="131">
        <f t="shared" si="32"/>
        <v>0</v>
      </c>
    </row>
    <row r="199" spans="1:24" s="1" customFormat="1" ht="18" customHeight="1">
      <c r="A199" s="201" t="str">
        <f t="shared" si="34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 t="shared" si="32"/>
        <v>0</v>
      </c>
    </row>
    <row r="200" spans="1:24" s="1" customFormat="1" ht="18" customHeight="1">
      <c r="A200" s="201" t="str">
        <f t="shared" si="34"/>
        <v/>
      </c>
      <c r="B200" s="140"/>
      <c r="C200" s="140"/>
      <c r="D200" s="139"/>
      <c r="E200" s="143"/>
      <c r="F200" s="143"/>
      <c r="G200" s="143"/>
      <c r="H200" s="143"/>
      <c r="I200" s="130"/>
      <c r="J200" s="131"/>
    </row>
    <row r="201" spans="1:24" s="1" customFormat="1" ht="18" customHeight="1">
      <c r="A201" s="201" t="str">
        <f t="shared" si="34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ref="J201:J204" si="38">$J$120*H201</f>
        <v>0</v>
      </c>
    </row>
    <row r="202" spans="1:24" s="1" customFormat="1" ht="18" customHeight="1">
      <c r="A202" s="201" t="str">
        <f t="shared" si="34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si="38"/>
        <v>0</v>
      </c>
    </row>
    <row r="203" spans="1:24" s="1" customFormat="1" ht="18" customHeight="1">
      <c r="A203" s="201" t="str">
        <f t="shared" si="34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si="38"/>
        <v>0</v>
      </c>
    </row>
    <row r="204" spans="1:24" s="1" customFormat="1" ht="18" customHeight="1">
      <c r="A204" s="317" t="str">
        <f t="shared" ref="A204" si="39">IF(B204="","",+A203+1)</f>
        <v/>
      </c>
      <c r="B204" s="142"/>
      <c r="C204" s="142"/>
      <c r="D204" s="141"/>
      <c r="E204" s="240"/>
      <c r="F204" s="240"/>
      <c r="G204" s="240"/>
      <c r="H204" s="240"/>
      <c r="I204" s="136"/>
      <c r="J204" s="293">
        <f t="shared" si="38"/>
        <v>0</v>
      </c>
    </row>
    <row r="205" spans="1:24" s="1" customFormat="1" ht="18" customHeight="1">
      <c r="A205" s="25"/>
      <c r="B205" s="161"/>
      <c r="C205" s="33"/>
      <c r="D205" s="30"/>
      <c r="E205" s="17"/>
      <c r="F205" s="30"/>
      <c r="G205" s="30"/>
      <c r="H205" s="161"/>
      <c r="I205" s="24"/>
      <c r="J205" s="24"/>
    </row>
    <row r="206" spans="1:24" ht="18" customHeight="1">
      <c r="A206" s="17"/>
      <c r="J206" s="99" t="str">
        <f>LEFT($J$111,14)&amp;"-02"</f>
        <v>FG-240-11P5L6R-02</v>
      </c>
    </row>
    <row r="207" spans="1:24" ht="12.75" customHeight="1">
      <c r="B207" s="56"/>
      <c r="C207" s="56"/>
      <c r="D207" s="30"/>
      <c r="E207" s="17"/>
      <c r="F207" s="17"/>
      <c r="G207" s="17"/>
      <c r="H207" s="17"/>
      <c r="K207" s="7"/>
      <c r="L207" s="7"/>
      <c r="M207" s="2"/>
      <c r="N207" s="2"/>
    </row>
    <row r="208" spans="1:24" ht="30" customHeight="1">
      <c r="I208" s="95"/>
      <c r="J208" s="90" t="str">
        <f>$J$2</f>
        <v>HOMELIFE</v>
      </c>
      <c r="K208" s="11"/>
      <c r="L208" s="11"/>
      <c r="M208" s="2"/>
      <c r="N208" s="2"/>
    </row>
    <row r="209" spans="1:14" ht="24.9" customHeight="1">
      <c r="B209" s="265"/>
      <c r="C209" s="5"/>
      <c r="D209" s="95"/>
      <c r="E209" s="95"/>
      <c r="F209" s="95"/>
      <c r="G209" s="95"/>
      <c r="H209" s="95"/>
      <c r="I209" s="28"/>
      <c r="J209" s="91" t="str">
        <f>$J$3</f>
        <v>Fabricators Guide</v>
      </c>
      <c r="K209" s="11"/>
      <c r="L209" s="11"/>
      <c r="M209" s="2"/>
      <c r="N209" s="2"/>
    </row>
    <row r="210" spans="1:14" ht="24.9" customHeight="1">
      <c r="B210" s="265"/>
      <c r="C210" s="28"/>
      <c r="D210" s="28"/>
      <c r="E210" s="28"/>
      <c r="F210" s="28"/>
      <c r="G210" s="28"/>
      <c r="H210" s="28"/>
      <c r="I210" s="28"/>
      <c r="J210" s="91" t="str">
        <f>$J$4</f>
        <v xml:space="preserve">240 Series Bi Fold Door </v>
      </c>
      <c r="K210" s="48"/>
      <c r="L210" s="48"/>
      <c r="M210" s="4"/>
      <c r="N210" s="4"/>
    </row>
    <row r="211" spans="1:14" s="1" customFormat="1" ht="15" customHeight="1" thickBot="1">
      <c r="A211" s="78"/>
      <c r="B211" s="8"/>
      <c r="C211" s="28"/>
      <c r="D211" s="28"/>
      <c r="E211" s="28"/>
      <c r="F211" s="28"/>
      <c r="G211" s="28"/>
      <c r="H211" s="28"/>
      <c r="I211" s="78"/>
      <c r="J211" s="113"/>
      <c r="K211" s="4"/>
      <c r="L211" s="4"/>
      <c r="M211" s="4"/>
      <c r="N211" s="4"/>
    </row>
    <row r="212" spans="1:14" s="1" customFormat="1" ht="24.9" customHeight="1" thickBot="1">
      <c r="A212" s="502" t="s">
        <v>30</v>
      </c>
      <c r="B212" s="503"/>
      <c r="C212" s="503"/>
      <c r="D212" s="503"/>
      <c r="E212" s="503"/>
      <c r="F212" s="503"/>
      <c r="G212" s="503"/>
      <c r="H212" s="503"/>
      <c r="I212" s="503"/>
      <c r="J212" s="504"/>
      <c r="K212" s="56"/>
      <c r="L212" s="56"/>
      <c r="M212" s="56"/>
      <c r="N212" s="56"/>
    </row>
    <row r="214" spans="1:14" s="1" customFormat="1" ht="15" customHeight="1">
      <c r="A214" s="93"/>
      <c r="B214"/>
      <c r="C214"/>
      <c r="D214" s="81"/>
      <c r="E214"/>
      <c r="F214"/>
      <c r="G214"/>
      <c r="H214"/>
      <c r="I214" s="160"/>
      <c r="J214" s="116"/>
    </row>
    <row r="215" spans="1:14" s="1" customFormat="1" ht="15" customHeight="1">
      <c r="A215" s="17"/>
      <c r="B215" s="93"/>
      <c r="C215" s="56"/>
      <c r="D215" s="30"/>
      <c r="E215" s="29"/>
      <c r="F215" s="160"/>
      <c r="G215" s="160"/>
      <c r="H215" s="160"/>
      <c r="J215" s="17"/>
    </row>
    <row r="216" spans="1:14" s="1" customFormat="1" ht="15" customHeight="1">
      <c r="A216" s="17"/>
      <c r="B216" s="56"/>
      <c r="C216" s="328"/>
      <c r="D216" s="30"/>
      <c r="E216" s="29"/>
      <c r="F216" s="30"/>
      <c r="J216" s="17"/>
    </row>
    <row r="217" spans="1:14" s="1" customFormat="1" ht="15.6">
      <c r="A217" s="109"/>
      <c r="B217" s="33"/>
      <c r="C217" s="327"/>
      <c r="D217" s="161"/>
      <c r="E217" s="109"/>
      <c r="F217" s="161"/>
      <c r="H217" s="328"/>
      <c r="J217" s="109"/>
    </row>
    <row r="218" spans="1:14" s="1" customFormat="1" ht="15" customHeight="1">
      <c r="A218" s="93"/>
      <c r="B218" s="93"/>
      <c r="C218" s="56"/>
      <c r="D218" s="30"/>
      <c r="E218" s="29"/>
      <c r="F218" s="160"/>
      <c r="H218" s="328"/>
      <c r="I218" s="109"/>
      <c r="J218" s="109"/>
    </row>
    <row r="219" spans="1:14" s="1" customFormat="1" ht="15" customHeight="1">
      <c r="A219" s="17"/>
      <c r="B219" s="56"/>
      <c r="C219" s="89" t="s">
        <v>272</v>
      </c>
      <c r="D219" s="30"/>
      <c r="E219" s="29"/>
      <c r="F219" s="30"/>
      <c r="I219" s="109"/>
      <c r="J219" s="109"/>
    </row>
    <row r="220" spans="1:14" s="1" customFormat="1" ht="15" customHeight="1">
      <c r="A220" s="17"/>
      <c r="B220" s="56"/>
      <c r="C220" s="328" t="s">
        <v>275</v>
      </c>
      <c r="D220" s="30"/>
      <c r="E220" s="29"/>
      <c r="F220" s="30"/>
      <c r="H220" s="89"/>
      <c r="J220" s="12"/>
    </row>
    <row r="221" spans="1:14" s="1" customFormat="1" ht="15" customHeight="1">
      <c r="A221" s="109"/>
      <c r="B221" s="33"/>
      <c r="C221" s="327" t="s">
        <v>273</v>
      </c>
      <c r="D221" s="161"/>
      <c r="E221" s="109"/>
      <c r="F221" s="161"/>
      <c r="J221" s="12"/>
    </row>
    <row r="222" spans="1:14" s="1" customFormat="1" ht="15" customHeight="1">
      <c r="A222" s="109"/>
      <c r="B222" s="33"/>
      <c r="C222" s="374">
        <f>$I$133</f>
        <v>1940</v>
      </c>
      <c r="D222" s="161"/>
      <c r="E222" s="35"/>
      <c r="F222" s="161"/>
      <c r="G222" s="68"/>
      <c r="J222" s="12"/>
    </row>
    <row r="223" spans="1:14" s="1" customFormat="1" ht="15" customHeight="1">
      <c r="A223" s="109"/>
      <c r="B223" s="33"/>
      <c r="C223" s="363">
        <f>$J$133</f>
        <v>1</v>
      </c>
      <c r="D223" s="161"/>
      <c r="E223" s="35"/>
      <c r="F223" s="161"/>
      <c r="G223" s="326"/>
      <c r="I223" s="109"/>
      <c r="J223" s="109"/>
    </row>
    <row r="224" spans="1:14" s="1" customFormat="1" ht="15" customHeight="1">
      <c r="A224" s="109"/>
      <c r="B224" s="33"/>
      <c r="D224" s="161"/>
      <c r="E224" s="109"/>
      <c r="F224" s="161"/>
      <c r="G224" s="326"/>
      <c r="I224" s="109"/>
      <c r="J224" s="109"/>
    </row>
    <row r="225" spans="1:10" s="1" customFormat="1" ht="15.9" customHeight="1">
      <c r="A225" s="92"/>
      <c r="B225" s="92"/>
      <c r="C225" s="13"/>
      <c r="D225" s="161"/>
      <c r="E225" s="109"/>
      <c r="F225" s="161"/>
      <c r="G225" s="68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H226" s="109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32"/>
      <c r="J227" s="40"/>
    </row>
    <row r="228" spans="1:10" s="1" customFormat="1" ht="15.9" customHeight="1">
      <c r="A228" s="92"/>
      <c r="B228" s="92"/>
      <c r="C228" s="327"/>
      <c r="D228" s="161"/>
      <c r="E228" s="109"/>
      <c r="F228" s="161"/>
      <c r="H228" s="109"/>
      <c r="I228" s="263"/>
      <c r="J228" s="117"/>
    </row>
    <row r="229" spans="1:10" s="1" customFormat="1" ht="15.9" customHeight="1">
      <c r="A229" s="45"/>
      <c r="B229" s="45"/>
      <c r="D229" s="161"/>
      <c r="E229" s="109"/>
      <c r="F229" s="161"/>
      <c r="I229" s="263"/>
      <c r="J229" s="117"/>
    </row>
    <row r="230" spans="1:10" s="1" customFormat="1" ht="15.9" customHeight="1">
      <c r="A230" s="109"/>
      <c r="B230" s="109"/>
      <c r="D230" s="161"/>
      <c r="E230" s="109"/>
      <c r="F230" s="161"/>
      <c r="I230" s="263"/>
      <c r="J230" s="117"/>
    </row>
    <row r="231" spans="1:10" s="1" customFormat="1" ht="15.9" customHeight="1">
      <c r="A231" s="39"/>
      <c r="B231" s="38"/>
      <c r="D231" s="161"/>
      <c r="E231" s="109"/>
      <c r="F231" s="109"/>
      <c r="I231" s="263"/>
      <c r="J231" s="117"/>
    </row>
    <row r="232" spans="1:10" s="1" customFormat="1" ht="15.9" customHeight="1">
      <c r="A232" s="44"/>
      <c r="B232" s="44"/>
      <c r="C232" s="89" t="s">
        <v>274</v>
      </c>
      <c r="D232" s="84"/>
      <c r="E232" s="44"/>
      <c r="F232" s="44"/>
      <c r="G232" s="109"/>
      <c r="H232" s="109"/>
      <c r="I232" s="263"/>
      <c r="J232" s="117"/>
    </row>
    <row r="233" spans="1:10" s="1" customFormat="1" ht="15.9" customHeight="1">
      <c r="A233" s="40"/>
      <c r="B233" s="40"/>
      <c r="C233" s="328" t="s">
        <v>652</v>
      </c>
      <c r="D233" s="85"/>
      <c r="E233" s="40"/>
      <c r="F233" s="32"/>
      <c r="G233" s="109"/>
      <c r="H233" s="109"/>
      <c r="J233" s="12"/>
    </row>
    <row r="234" spans="1:10" s="1" customFormat="1" ht="15.9" customHeight="1">
      <c r="A234" s="109"/>
      <c r="B234" s="33"/>
      <c r="C234" s="433" t="s">
        <v>654</v>
      </c>
      <c r="D234" s="161"/>
      <c r="E234" s="109"/>
      <c r="F234" s="161"/>
      <c r="G234" s="109"/>
      <c r="H234" s="109"/>
      <c r="I234" s="109"/>
      <c r="J234" s="24"/>
    </row>
    <row r="235" spans="1:10" s="1" customFormat="1" ht="15.9" customHeight="1">
      <c r="A235" s="109"/>
      <c r="B235" s="33"/>
      <c r="C235" s="374">
        <f>$I$134</f>
        <v>1914</v>
      </c>
      <c r="D235" s="161"/>
      <c r="E235" s="109"/>
      <c r="F235" s="161"/>
      <c r="G235" s="109"/>
      <c r="H235" s="109"/>
      <c r="I235" s="24"/>
      <c r="J235" s="24"/>
    </row>
    <row r="236" spans="1:10" s="1" customFormat="1" ht="15.9" customHeight="1">
      <c r="A236" s="109"/>
      <c r="B236" s="33"/>
      <c r="C236" s="363">
        <f>$J$134</f>
        <v>1</v>
      </c>
      <c r="D236" s="161"/>
      <c r="E236" s="109"/>
      <c r="F236" s="161"/>
      <c r="G236" s="109"/>
      <c r="H236" s="107"/>
      <c r="I236" s="89"/>
      <c r="J236" s="118"/>
    </row>
    <row r="237" spans="1:10" s="1" customFormat="1" ht="15.9" customHeight="1">
      <c r="A237" s="109"/>
      <c r="B237" s="33"/>
      <c r="C237" s="44"/>
      <c r="D237" s="161"/>
      <c r="E237" s="109"/>
      <c r="F237" s="161"/>
      <c r="G237" s="109"/>
      <c r="H237" s="107"/>
      <c r="I237" s="263"/>
      <c r="J237" s="117"/>
    </row>
    <row r="238" spans="1:10" s="1" customFormat="1" ht="15.9" customHeight="1">
      <c r="A238" s="109"/>
      <c r="B238" s="33"/>
      <c r="D238" s="161"/>
      <c r="E238" s="109"/>
      <c r="F238" s="161"/>
      <c r="G238" s="109"/>
      <c r="H238" s="109"/>
      <c r="I238" s="263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4"/>
      <c r="J239" s="24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36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109"/>
      <c r="I241" s="109"/>
      <c r="J241" s="24"/>
    </row>
    <row r="242" spans="1:10" s="1" customFormat="1" ht="15.9" customHeight="1">
      <c r="A242" s="109"/>
      <c r="B242" s="33"/>
      <c r="C242" s="89" t="s">
        <v>276</v>
      </c>
      <c r="D242" s="161"/>
      <c r="E242" s="109"/>
      <c r="F242" s="161"/>
      <c r="G242" s="109"/>
      <c r="H242" s="109"/>
      <c r="I242" s="24"/>
      <c r="J242" s="24"/>
    </row>
    <row r="243" spans="1:10" s="1" customFormat="1" ht="15.9" customHeight="1">
      <c r="A243" s="109"/>
      <c r="B243" s="33"/>
      <c r="C243" s="328" t="s">
        <v>275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" customHeight="1">
      <c r="A244" s="109"/>
      <c r="B244" s="33"/>
      <c r="C244" s="327" t="s">
        <v>273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.9" customHeight="1">
      <c r="A245" s="109"/>
      <c r="B245" s="33"/>
      <c r="C245" s="374">
        <f>$I$135</f>
        <v>1940</v>
      </c>
      <c r="D245" s="161"/>
      <c r="E245" s="109"/>
      <c r="F245" s="161"/>
      <c r="G245" s="109"/>
      <c r="H245" s="109"/>
      <c r="I245" s="44"/>
      <c r="J245" s="119"/>
    </row>
    <row r="246" spans="1:10" s="1" customFormat="1" ht="15.9" customHeight="1">
      <c r="A246" s="109"/>
      <c r="B246" s="33"/>
      <c r="C246" s="363">
        <f>$J$135</f>
        <v>1</v>
      </c>
      <c r="D246" s="161"/>
      <c r="E246" s="109"/>
      <c r="F246" s="161"/>
      <c r="G246" s="109"/>
      <c r="H246" s="109"/>
      <c r="I246" s="32"/>
      <c r="J246" s="40"/>
    </row>
    <row r="247" spans="1:10" s="1" customFormat="1" ht="15.9" customHeight="1">
      <c r="A247" s="109"/>
      <c r="B247" s="33"/>
      <c r="C247" s="161"/>
      <c r="D247" s="161"/>
      <c r="E247" s="109"/>
      <c r="F247" s="161"/>
      <c r="G247" s="109"/>
      <c r="H247" s="109"/>
      <c r="J247" s="12"/>
    </row>
    <row r="248" spans="1:10" s="1" customFormat="1" ht="15.9" customHeight="1">
      <c r="A248" s="109"/>
      <c r="B248" s="33"/>
      <c r="C248" s="33"/>
      <c r="D248" s="161"/>
      <c r="E248" s="109"/>
      <c r="F248" s="109"/>
      <c r="G248" s="44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0"/>
      <c r="H250" s="109"/>
      <c r="I250" s="24"/>
      <c r="J250" s="24"/>
    </row>
    <row r="251" spans="1:10" s="1" customFormat="1" ht="15.9" customHeight="1">
      <c r="A251" s="109"/>
      <c r="B251" s="33"/>
      <c r="D251" s="161"/>
      <c r="E251" s="109"/>
      <c r="F251" s="109"/>
      <c r="G251" s="109"/>
      <c r="H251" s="109"/>
      <c r="I251" s="24"/>
      <c r="J251" s="24"/>
    </row>
    <row r="252" spans="1:10" s="1" customFormat="1" ht="15.9" customHeight="1">
      <c r="A252" s="44"/>
      <c r="B252" s="44"/>
      <c r="D252" s="84"/>
      <c r="E252" s="44"/>
      <c r="F252" s="44"/>
      <c r="G252" s="109"/>
      <c r="H252" s="109"/>
      <c r="I252" s="24"/>
      <c r="J252" s="24"/>
    </row>
    <row r="253" spans="1:10" s="1" customFormat="1" ht="15.9" customHeight="1">
      <c r="A253" s="40"/>
      <c r="B253" s="40"/>
      <c r="C253" s="89" t="s">
        <v>277</v>
      </c>
      <c r="D253" s="85"/>
      <c r="E253" s="40"/>
      <c r="F253" s="32"/>
      <c r="G253" s="109"/>
      <c r="I253" s="24"/>
      <c r="J253" s="24"/>
    </row>
    <row r="254" spans="1:10" s="1" customFormat="1" ht="15.9" customHeight="1">
      <c r="A254" s="27"/>
      <c r="B254" s="33"/>
      <c r="C254" s="328" t="s">
        <v>275</v>
      </c>
      <c r="D254" s="161"/>
      <c r="E254" s="109"/>
      <c r="F254" s="109"/>
      <c r="G254" s="109"/>
      <c r="I254" s="24"/>
      <c r="J254" s="24"/>
    </row>
    <row r="255" spans="1:10" s="1" customFormat="1" ht="15.9" customHeight="1">
      <c r="A255" s="27"/>
      <c r="B255" s="33"/>
      <c r="C255" s="327" t="s">
        <v>273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74">
        <f>$I$136</f>
        <v>1940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63">
        <f>$J$136</f>
        <v>1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3"/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46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161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33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89" t="s">
        <v>278</v>
      </c>
      <c r="D263" s="161"/>
      <c r="E263" s="109"/>
      <c r="F263" s="109"/>
      <c r="G263" s="109"/>
      <c r="H263" s="109"/>
      <c r="I263" s="24"/>
      <c r="J263" s="24"/>
    </row>
    <row r="264" spans="1:10" s="1" customFormat="1" ht="15.9" customHeight="1">
      <c r="A264" s="27"/>
      <c r="B264" s="33"/>
      <c r="C264" s="328" t="s">
        <v>287</v>
      </c>
      <c r="D264" s="328"/>
      <c r="E264" s="328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7" t="s">
        <v>279</v>
      </c>
      <c r="D265" s="327"/>
      <c r="E265" s="327"/>
      <c r="F265" s="109"/>
      <c r="G265" s="109"/>
      <c r="H265" s="109"/>
      <c r="J265" s="12"/>
    </row>
    <row r="266" spans="1:10" s="1" customFormat="1" ht="15.9" customHeight="1">
      <c r="A266" s="27"/>
      <c r="B266" s="33"/>
      <c r="C266" s="374">
        <f>$I$137</f>
        <v>2500</v>
      </c>
      <c r="D266" s="161"/>
      <c r="E266" s="109"/>
      <c r="F266" s="109"/>
      <c r="G266" s="33"/>
      <c r="H266" s="33"/>
      <c r="J266" s="12"/>
    </row>
    <row r="267" spans="1:10" s="1" customFormat="1" ht="15.9" customHeight="1">
      <c r="A267" s="27"/>
      <c r="B267" s="33"/>
      <c r="C267" s="363">
        <f>$J$137+$J$138</f>
        <v>2</v>
      </c>
      <c r="D267" s="161"/>
      <c r="E267" s="109"/>
      <c r="F267" s="109"/>
      <c r="G267" s="109"/>
      <c r="H267" s="109"/>
      <c r="J267" s="12"/>
    </row>
    <row r="268" spans="1:10" s="1" customFormat="1" ht="15.9" customHeight="1">
      <c r="A268" s="27"/>
      <c r="B268" s="33"/>
      <c r="D268" s="89"/>
      <c r="E268" s="8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D270" s="328"/>
      <c r="E270" s="328"/>
      <c r="F270" s="109"/>
      <c r="G270" s="109"/>
      <c r="H270" s="109"/>
      <c r="J270" s="12"/>
    </row>
    <row r="271" spans="1:10" s="1" customFormat="1" ht="15.9" customHeight="1">
      <c r="A271" s="27"/>
      <c r="B271" s="33"/>
      <c r="D271" s="328"/>
      <c r="E271" s="328"/>
      <c r="F271" s="109"/>
      <c r="G271" s="109"/>
      <c r="I271" s="24"/>
      <c r="J271" s="24"/>
    </row>
    <row r="272" spans="1:10" s="1" customFormat="1" ht="15.9" customHeight="1">
      <c r="A272" s="27"/>
      <c r="B272" s="33"/>
      <c r="C272" s="33"/>
      <c r="D272" s="161"/>
      <c r="E272" s="109"/>
      <c r="F272" s="109"/>
      <c r="G272" s="109"/>
      <c r="I272" s="24"/>
      <c r="J272" s="24"/>
    </row>
    <row r="273" spans="1:10" s="1" customFormat="1" ht="15.9" customHeight="1">
      <c r="A273" s="27"/>
      <c r="B273" s="33"/>
      <c r="C273" s="89" t="s">
        <v>280</v>
      </c>
      <c r="D273" s="162"/>
      <c r="E273" s="24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328" t="s">
        <v>649</v>
      </c>
      <c r="D274" s="328"/>
      <c r="E274" s="328"/>
      <c r="F274" s="109"/>
      <c r="G274" s="109"/>
      <c r="I274" s="109"/>
      <c r="J274" s="24"/>
    </row>
    <row r="275" spans="1:10" s="1" customFormat="1" ht="15.9" customHeight="1">
      <c r="A275" s="27"/>
      <c r="B275" s="33"/>
      <c r="C275" s="433" t="s">
        <v>650</v>
      </c>
      <c r="D275" s="327"/>
      <c r="E275" s="327"/>
      <c r="F275" s="109"/>
      <c r="G275" s="109"/>
      <c r="I275" s="109"/>
      <c r="J275" s="24"/>
    </row>
    <row r="276" spans="1:10" s="1" customFormat="1" ht="15.9" customHeight="1">
      <c r="A276" s="27"/>
      <c r="B276" s="33"/>
      <c r="C276" s="374">
        <f>$I$139</f>
        <v>2404</v>
      </c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363">
        <f>$J$139+$J$140</f>
        <v>2</v>
      </c>
      <c r="F277" s="109"/>
      <c r="G277" s="109"/>
      <c r="I277" s="109"/>
      <c r="J277" s="24"/>
    </row>
    <row r="278" spans="1:10" s="1" customFormat="1" ht="15.9" customHeight="1">
      <c r="A278" s="27"/>
      <c r="B278" s="33"/>
      <c r="F278" s="109"/>
      <c r="G278" s="109"/>
      <c r="H278" s="109"/>
      <c r="J278" s="12"/>
    </row>
    <row r="279" spans="1:10" s="1" customFormat="1" ht="15.9" customHeight="1">
      <c r="A279" s="27"/>
      <c r="B279" s="33"/>
      <c r="C279" s="33"/>
      <c r="D279" s="161"/>
      <c r="E279" s="109"/>
      <c r="F279" s="109"/>
      <c r="G279" s="109"/>
      <c r="H279" s="109"/>
      <c r="J279" s="12"/>
    </row>
    <row r="280" spans="1:10" s="1" customFormat="1" ht="15.9" customHeight="1">
      <c r="A280" s="27"/>
      <c r="B280" s="33"/>
      <c r="F280" s="109"/>
      <c r="G280" s="109"/>
      <c r="H280" s="109"/>
      <c r="J280" s="12"/>
    </row>
    <row r="281" spans="1:10" s="1" customFormat="1" ht="15.9" customHeight="1">
      <c r="A281" s="27"/>
      <c r="B281" s="33"/>
      <c r="F281" s="109"/>
      <c r="G281" s="109"/>
      <c r="H281" s="109"/>
      <c r="I281" s="162"/>
      <c r="J281" s="24"/>
    </row>
    <row r="282" spans="1:10" s="1" customFormat="1" ht="15.9" customHeight="1">
      <c r="A282" s="27"/>
      <c r="B282" s="33"/>
      <c r="C282" s="89" t="s">
        <v>283</v>
      </c>
      <c r="F282" s="109"/>
      <c r="G282" s="109"/>
      <c r="H282" s="109"/>
      <c r="I282" s="109"/>
      <c r="J282" s="24"/>
    </row>
    <row r="283" spans="1:10" s="1" customFormat="1" ht="15.9" customHeight="1">
      <c r="A283" s="27"/>
      <c r="B283" s="33"/>
      <c r="C283" s="94" t="s">
        <v>428</v>
      </c>
      <c r="D283" s="161"/>
      <c r="E283" s="109"/>
      <c r="F283" s="109"/>
      <c r="G283" s="109"/>
      <c r="H283" s="109"/>
      <c r="I283" s="24"/>
      <c r="J283" s="24"/>
    </row>
    <row r="284" spans="1:10" s="1" customFormat="1" ht="15.9" customHeight="1">
      <c r="A284" s="27"/>
      <c r="B284" s="33"/>
      <c r="C284" s="327" t="s">
        <v>429</v>
      </c>
      <c r="D284" s="161"/>
      <c r="E284" s="109"/>
      <c r="F284" s="109"/>
      <c r="G284" s="109"/>
      <c r="H284" s="109"/>
      <c r="I284" s="24"/>
      <c r="J284" s="24"/>
    </row>
    <row r="285" spans="1:10" s="1" customFormat="1" ht="15.9" customHeight="1">
      <c r="A285" s="27"/>
      <c r="B285" s="33"/>
      <c r="C285" s="328" t="s">
        <v>281</v>
      </c>
      <c r="D285" s="328"/>
      <c r="E285" s="328"/>
      <c r="F285" s="109"/>
      <c r="G285" s="109"/>
      <c r="I285" s="24"/>
      <c r="J285" s="24"/>
    </row>
    <row r="286" spans="1:10" s="23" customFormat="1" ht="15.9" customHeight="1">
      <c r="A286" s="27"/>
      <c r="B286" s="33"/>
      <c r="C286" s="327" t="s">
        <v>282</v>
      </c>
      <c r="D286" s="327"/>
      <c r="E286" s="327"/>
      <c r="F286" s="109"/>
      <c r="G286" s="109"/>
      <c r="H286" s="1"/>
      <c r="I286" s="109"/>
      <c r="J286" s="109"/>
    </row>
    <row r="287" spans="1:10" s="1" customFormat="1" ht="15.9" customHeight="1">
      <c r="A287" s="27"/>
      <c r="B287" s="33"/>
      <c r="C287" s="374">
        <f>$I$141</f>
        <v>62.045454545454547</v>
      </c>
      <c r="F287" s="109"/>
      <c r="G287" s="109"/>
      <c r="I287" s="44"/>
      <c r="J287" s="119"/>
    </row>
    <row r="288" spans="1:10" s="1" customFormat="1" ht="15.9" customHeight="1">
      <c r="A288" s="27"/>
      <c r="B288" s="33"/>
      <c r="C288" s="363">
        <f>$J$141+$J$142</f>
        <v>22</v>
      </c>
      <c r="D288" s="161"/>
      <c r="E288" s="109"/>
      <c r="F288" s="109"/>
      <c r="G288" s="109"/>
      <c r="H288" s="161"/>
      <c r="I288" s="32"/>
      <c r="J288" s="40"/>
    </row>
    <row r="289" spans="1:10" s="1" customFormat="1" ht="15.9" customHeight="1">
      <c r="A289" s="27"/>
      <c r="B289" s="33"/>
      <c r="C289" s="374">
        <f>$I$143</f>
        <v>2408</v>
      </c>
      <c r="D289" s="161"/>
      <c r="E289" s="109"/>
      <c r="F289" s="109"/>
      <c r="G289" s="109"/>
      <c r="H289" s="109"/>
      <c r="I289" s="24"/>
      <c r="J289" s="24"/>
    </row>
    <row r="290" spans="1:10" s="1" customFormat="1" ht="15.9" customHeight="1">
      <c r="A290" s="27"/>
      <c r="B290" s="33"/>
      <c r="C290" s="363">
        <f>$J$143+$J$144+$J$145+$J$146</f>
        <v>22</v>
      </c>
      <c r="D290" s="161"/>
      <c r="E290" s="109"/>
      <c r="F290" s="109"/>
      <c r="G290" s="109"/>
      <c r="H290" s="109"/>
      <c r="I290" s="24"/>
      <c r="J290" s="24"/>
    </row>
    <row r="291" spans="1:10" s="1" customFormat="1" ht="15.9" customHeight="1">
      <c r="A291" s="27"/>
      <c r="B291" s="33"/>
      <c r="D291" s="161"/>
      <c r="E291" s="109"/>
      <c r="F291" s="109"/>
      <c r="G291" s="109"/>
      <c r="H291" s="109"/>
      <c r="I291" s="24"/>
      <c r="J291" s="24"/>
    </row>
    <row r="292" spans="1:10" s="1" customFormat="1" ht="15.9" customHeight="1">
      <c r="A292" s="27"/>
      <c r="B292" s="33"/>
      <c r="C292" s="33"/>
      <c r="D292" s="161"/>
      <c r="E292" s="109"/>
      <c r="F292" s="109"/>
      <c r="G292" s="109"/>
      <c r="H292" s="109"/>
      <c r="I292" s="109"/>
      <c r="J292" s="24"/>
    </row>
    <row r="293" spans="1:10" s="1" customFormat="1" ht="15.9" customHeight="1">
      <c r="A293" s="27"/>
      <c r="B293" s="33"/>
      <c r="C293" s="23"/>
      <c r="D293" s="161"/>
      <c r="E293" s="109"/>
      <c r="F293" s="109"/>
      <c r="G293" s="109"/>
      <c r="H293" s="109"/>
      <c r="I293" s="109"/>
      <c r="J293" s="24"/>
    </row>
    <row r="294" spans="1:10" s="1" customFormat="1" ht="15.9" customHeight="1">
      <c r="A294" s="27"/>
      <c r="B294" s="33"/>
      <c r="C294" s="89" t="s">
        <v>284</v>
      </c>
      <c r="D294" s="161"/>
      <c r="E294" s="109"/>
      <c r="F294" s="109"/>
      <c r="G294" s="109"/>
      <c r="H294" s="109"/>
      <c r="I294" s="109"/>
      <c r="J294" s="24"/>
    </row>
    <row r="295" spans="1:10" s="1" customFormat="1" ht="15.9" customHeight="1">
      <c r="A295" s="27"/>
      <c r="B295" s="33"/>
      <c r="C295" s="94" t="s">
        <v>428</v>
      </c>
      <c r="D295" s="161"/>
      <c r="E295" s="109"/>
      <c r="F295" s="109"/>
      <c r="G295" s="44"/>
      <c r="H295" s="44"/>
      <c r="I295" s="109"/>
      <c r="J295" s="24"/>
    </row>
    <row r="296" spans="1:10" s="1" customFormat="1" ht="15.9" customHeight="1">
      <c r="A296" s="27"/>
      <c r="B296" s="33"/>
      <c r="C296" s="327" t="s">
        <v>430</v>
      </c>
      <c r="D296" s="328"/>
      <c r="E296" s="328"/>
      <c r="F296" s="109"/>
      <c r="G296" s="40"/>
      <c r="H296" s="32"/>
      <c r="I296" s="109"/>
      <c r="J296" s="24"/>
    </row>
    <row r="297" spans="1:10" s="1" customFormat="1" ht="15.9" customHeight="1">
      <c r="A297" s="41"/>
      <c r="B297" s="33"/>
      <c r="C297" s="328" t="s">
        <v>286</v>
      </c>
      <c r="D297" s="327"/>
      <c r="E297" s="327"/>
      <c r="F297" s="109"/>
      <c r="G297" s="109"/>
      <c r="H297" s="109"/>
      <c r="I297" s="109"/>
      <c r="J297" s="24"/>
    </row>
    <row r="298" spans="1:10" s="1" customFormat="1" ht="15.9" customHeight="1">
      <c r="A298" s="44"/>
      <c r="B298" s="44"/>
      <c r="C298" s="327" t="s">
        <v>285</v>
      </c>
      <c r="D298" s="86"/>
      <c r="E298" s="79"/>
      <c r="F298" s="44"/>
      <c r="G298" s="109"/>
      <c r="H298" s="109"/>
      <c r="I298" s="109"/>
      <c r="J298" s="24"/>
    </row>
    <row r="299" spans="1:10" s="1" customFormat="1" ht="15.9" customHeight="1">
      <c r="A299" s="40"/>
      <c r="B299" s="40"/>
      <c r="C299" s="374">
        <f>$I$147</f>
        <v>62.045454545454547</v>
      </c>
      <c r="D299" s="87"/>
      <c r="E299" s="80"/>
      <c r="F299" s="32"/>
      <c r="G299" s="109"/>
      <c r="H299" s="109"/>
      <c r="I299" s="109"/>
      <c r="J299" s="24"/>
    </row>
    <row r="300" spans="1:10" s="1" customFormat="1" ht="15.9" customHeight="1">
      <c r="A300" s="109"/>
      <c r="B300" s="33"/>
      <c r="C300" s="363">
        <f>$J$147</f>
        <v>22</v>
      </c>
      <c r="D300" s="15"/>
      <c r="F300" s="109"/>
      <c r="G300" s="109"/>
      <c r="H300" s="109"/>
      <c r="I300" s="109"/>
      <c r="J300" s="24"/>
    </row>
    <row r="301" spans="1:10" s="1" customFormat="1" ht="15.9" customHeight="1">
      <c r="A301" s="109"/>
      <c r="B301" s="33"/>
      <c r="C301" s="374">
        <f>$I$148</f>
        <v>2258</v>
      </c>
      <c r="D301" s="15"/>
      <c r="F301" s="109"/>
      <c r="G301" s="109"/>
      <c r="H301" s="109"/>
      <c r="I301" s="109"/>
      <c r="J301" s="24"/>
    </row>
    <row r="302" spans="1:10" s="1" customFormat="1" ht="15.9" customHeight="1">
      <c r="A302" s="109"/>
      <c r="B302" s="33"/>
      <c r="C302" s="363">
        <f>$J$148</f>
        <v>22</v>
      </c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C305" s="89" t="s">
        <v>288</v>
      </c>
      <c r="D305" s="161"/>
      <c r="E305" s="109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C306" s="328" t="s">
        <v>281</v>
      </c>
      <c r="D306" s="328"/>
      <c r="E306" s="328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542" t="s">
        <v>282</v>
      </c>
      <c r="D307" s="542"/>
      <c r="E307" s="542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374">
        <f>$I$149</f>
        <v>2408</v>
      </c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63">
        <f>$J$149+$J$150</f>
        <v>2</v>
      </c>
      <c r="D309" s="328"/>
      <c r="E309" s="328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D310" s="15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D311" s="15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25"/>
      <c r="B313" s="33"/>
      <c r="D313" s="162"/>
      <c r="E313" s="24"/>
      <c r="F313" s="109"/>
      <c r="G313" s="109"/>
      <c r="H313" s="109"/>
      <c r="I313" s="27"/>
      <c r="J313" s="99" t="str">
        <f>LEFT($J$111,14)&amp;"-03"</f>
        <v>FG-240-11P5L6R-03</v>
      </c>
    </row>
    <row r="314" spans="1:14" ht="12.75" customHeight="1">
      <c r="A314" s="17"/>
      <c r="B314" s="26"/>
      <c r="C314" s="26"/>
      <c r="D314" s="83"/>
      <c r="E314" s="25"/>
      <c r="F314" s="25"/>
      <c r="G314" s="25"/>
      <c r="H314" s="25"/>
      <c r="I314" s="179"/>
      <c r="J314" s="179"/>
    </row>
    <row r="315" spans="1:14" ht="30" customHeight="1">
      <c r="I315" s="95"/>
      <c r="J315" s="90" t="str">
        <f>$J$2</f>
        <v>HOMELIFE</v>
      </c>
      <c r="K315" s="11"/>
      <c r="L315" s="11"/>
      <c r="M315" s="2"/>
      <c r="N315" s="2"/>
    </row>
    <row r="316" spans="1:14" ht="24.9" customHeight="1">
      <c r="B316" s="265"/>
      <c r="C316" s="5"/>
      <c r="D316" s="95"/>
      <c r="E316" s="95"/>
      <c r="F316" s="95"/>
      <c r="G316" s="95"/>
      <c r="H316" s="95"/>
      <c r="I316" s="28"/>
      <c r="J316" s="91" t="str">
        <f>$J$3</f>
        <v>Fabricators Guide</v>
      </c>
      <c r="K316" s="11"/>
      <c r="L316" s="11"/>
      <c r="M316" s="2"/>
      <c r="N316" s="2"/>
    </row>
    <row r="317" spans="1:14" ht="24.9" customHeight="1">
      <c r="B317" s="265"/>
      <c r="C317" s="28"/>
      <c r="D317" s="28"/>
      <c r="E317" s="28"/>
      <c r="F317" s="28"/>
      <c r="G317" s="28"/>
      <c r="H317" s="28"/>
      <c r="I317" s="28"/>
      <c r="J317" s="91" t="str">
        <f>$J$4</f>
        <v xml:space="preserve">240 Series Bi Fold Door </v>
      </c>
      <c r="K317" s="48"/>
      <c r="L317" s="48"/>
      <c r="M317" s="4"/>
      <c r="N317" s="4"/>
    </row>
    <row r="318" spans="1:14" s="1" customFormat="1" ht="15" customHeight="1" thickBot="1">
      <c r="A318" s="78"/>
      <c r="B318" s="8"/>
      <c r="C318" s="28"/>
      <c r="D318" s="28"/>
      <c r="E318" s="28"/>
      <c r="F318" s="28"/>
      <c r="G318" s="28"/>
      <c r="H318" s="28"/>
      <c r="I318" s="78"/>
      <c r="J318" s="113"/>
      <c r="K318" s="4"/>
      <c r="L318" s="4"/>
      <c r="M318" s="4"/>
      <c r="N318" s="4"/>
    </row>
    <row r="319" spans="1:14" ht="24.9" customHeight="1" thickBot="1">
      <c r="A319" s="502" t="s">
        <v>33</v>
      </c>
      <c r="B319" s="503"/>
      <c r="C319" s="503"/>
      <c r="D319" s="503"/>
      <c r="E319" s="503"/>
      <c r="F319" s="503"/>
      <c r="G319" s="503"/>
      <c r="H319" s="503"/>
      <c r="I319" s="503"/>
      <c r="J319" s="504"/>
      <c r="K319" s="4"/>
      <c r="L319" s="4"/>
      <c r="M319" s="4"/>
      <c r="N319" s="4"/>
    </row>
    <row r="321" spans="1:10" s="1" customFormat="1" ht="15" customHeight="1">
      <c r="A321" s="63"/>
      <c r="B321"/>
      <c r="C321"/>
      <c r="D321" s="81"/>
      <c r="E321"/>
      <c r="F321"/>
      <c r="G321"/>
      <c r="H321"/>
      <c r="I321" s="160"/>
      <c r="J321" s="116"/>
    </row>
    <row r="322" spans="1:10" s="1" customFormat="1" ht="15" customHeight="1">
      <c r="A322" s="17"/>
      <c r="B322" s="72"/>
      <c r="C322" s="56"/>
      <c r="D322" s="30"/>
      <c r="E322" s="29"/>
      <c r="F322" s="160"/>
      <c r="G322" s="160"/>
      <c r="H322" s="160"/>
      <c r="I322" s="31"/>
      <c r="J322" s="17"/>
    </row>
    <row r="323" spans="1:10" s="1" customFormat="1" ht="15" customHeight="1">
      <c r="A323" s="17"/>
      <c r="B323" s="56"/>
      <c r="C323" s="56"/>
      <c r="D323" s="30"/>
      <c r="E323" s="29"/>
      <c r="F323" s="30"/>
      <c r="G323" s="31"/>
      <c r="H323" s="31"/>
      <c r="I323" s="17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09"/>
      <c r="B325" s="56"/>
      <c r="C325" s="30"/>
      <c r="D325" s="30"/>
      <c r="E325" s="29"/>
      <c r="F325" s="30"/>
      <c r="G325" s="17"/>
      <c r="H325" s="31"/>
      <c r="I325" s="109"/>
      <c r="J325" s="109"/>
    </row>
    <row r="326" spans="1:10" s="1" customFormat="1" ht="15" customHeight="1">
      <c r="A326" s="109"/>
      <c r="B326" s="33"/>
      <c r="C326" s="161"/>
      <c r="D326" s="161"/>
      <c r="E326" s="109"/>
      <c r="F326" s="161"/>
      <c r="G326" s="109"/>
      <c r="H326" s="34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35"/>
      <c r="F327" s="163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1"/>
      <c r="G328" s="109"/>
      <c r="H328" s="34"/>
      <c r="I328" s="42"/>
      <c r="J328" s="109"/>
    </row>
    <row r="329" spans="1:10" s="1" customFormat="1" ht="15" customHeight="1">
      <c r="A329" s="39"/>
      <c r="B329" s="33"/>
      <c r="C329" s="42"/>
      <c r="D329" s="161"/>
      <c r="E329" s="109"/>
      <c r="F329" s="505"/>
      <c r="G329" s="505"/>
      <c r="H329" s="262"/>
      <c r="I329" s="163"/>
      <c r="J329" s="109"/>
    </row>
    <row r="330" spans="1:10" s="1" customFormat="1" ht="15" customHeight="1">
      <c r="A330" s="92"/>
      <c r="B330" s="39"/>
      <c r="C330" s="163"/>
      <c r="D330" s="161"/>
      <c r="E330" s="109"/>
      <c r="F330" s="507"/>
      <c r="G330" s="507"/>
      <c r="H330" s="262"/>
      <c r="I330" s="161"/>
      <c r="J330" s="109"/>
    </row>
    <row r="331" spans="1:10" s="1" customFormat="1" ht="15" customHeight="1">
      <c r="A331" s="64" t="str">
        <f>A18</f>
        <v>240-11 Panel (5L6R)</v>
      </c>
      <c r="B331" s="92"/>
      <c r="C331" s="161"/>
      <c r="D331" s="161"/>
      <c r="E331" s="109"/>
      <c r="F331" s="262"/>
      <c r="G331" s="262"/>
      <c r="H331" s="262"/>
      <c r="I331" s="109"/>
      <c r="J331" s="109"/>
    </row>
    <row r="332" spans="1:10" s="1" customFormat="1" ht="15" customHeight="1">
      <c r="A332" s="76" t="str">
        <f>A19</f>
        <v xml:space="preserve">Outside Bi Fold Door </v>
      </c>
      <c r="B332" s="92"/>
      <c r="C332" s="161"/>
      <c r="D332" s="161"/>
      <c r="E332" s="109"/>
      <c r="F332" s="262"/>
      <c r="G332" s="262"/>
      <c r="H332" s="262"/>
      <c r="I332" s="109"/>
      <c r="J332" s="109"/>
    </row>
    <row r="333" spans="1:10" s="1" customFormat="1" ht="15.9" customHeight="1">
      <c r="A333" s="109"/>
      <c r="B333" s="45"/>
      <c r="C333" s="42"/>
      <c r="D333" s="161"/>
      <c r="E333" s="109"/>
      <c r="F333" s="507"/>
      <c r="G333" s="507"/>
      <c r="H333" s="262"/>
      <c r="I333" s="109"/>
      <c r="J333" s="109"/>
    </row>
    <row r="334" spans="1:10" s="1" customFormat="1" ht="15.9" customHeight="1">
      <c r="A334" s="39"/>
      <c r="B334" s="109"/>
      <c r="C334" s="161"/>
      <c r="D334" s="161"/>
      <c r="E334" s="109"/>
      <c r="F334" s="37"/>
      <c r="G334" s="38"/>
      <c r="H334" s="109"/>
      <c r="I334" s="109"/>
      <c r="J334" s="109"/>
    </row>
    <row r="335" spans="1:10" s="1" customFormat="1" ht="15.9" customHeight="1">
      <c r="A335" s="44"/>
      <c r="C335" s="43"/>
      <c r="D335" s="161"/>
      <c r="E335" s="109"/>
      <c r="F335" s="109"/>
      <c r="G335" s="109"/>
      <c r="H335" s="109"/>
      <c r="I335" s="44"/>
      <c r="J335" s="119"/>
    </row>
    <row r="336" spans="1:10" s="1" customFormat="1" ht="15.9" customHeight="1">
      <c r="A336" s="40"/>
      <c r="C336" s="44"/>
      <c r="D336" s="84"/>
      <c r="E336" s="44"/>
      <c r="F336" s="44"/>
      <c r="G336" s="44"/>
      <c r="H336" s="44"/>
      <c r="I336" s="32"/>
      <c r="J336" s="40"/>
    </row>
    <row r="337" spans="1:10" s="1" customFormat="1" ht="15.9" customHeight="1">
      <c r="A337" s="109"/>
      <c r="C337" s="161"/>
      <c r="D337" s="85"/>
      <c r="E337" s="40"/>
      <c r="F337" s="32"/>
      <c r="G337" s="40"/>
      <c r="H337" s="32"/>
      <c r="I337" s="24"/>
      <c r="J337" s="24"/>
    </row>
    <row r="338" spans="1:10" s="1" customFormat="1" ht="15.9" customHeight="1">
      <c r="A338" s="109"/>
      <c r="C338" s="163"/>
      <c r="D338" s="161"/>
      <c r="E338" s="109"/>
      <c r="F338" s="161"/>
      <c r="G338" s="109"/>
      <c r="H338" s="109"/>
      <c r="I338" s="24"/>
      <c r="J338" s="24"/>
    </row>
    <row r="339" spans="1:10" s="1" customFormat="1" ht="15.9" customHeight="1">
      <c r="A339" s="109"/>
      <c r="B339" s="33"/>
      <c r="C339" s="161"/>
      <c r="D339" s="161"/>
      <c r="E339" s="109"/>
      <c r="F339" s="161"/>
      <c r="G339" s="109"/>
      <c r="H339" s="109"/>
      <c r="I339" s="162"/>
      <c r="J339" s="162"/>
    </row>
    <row r="340" spans="1:10" s="1" customFormat="1" ht="15.9" customHeight="1">
      <c r="A340" s="109"/>
      <c r="B340" s="33"/>
      <c r="C340" s="44"/>
      <c r="D340" s="161"/>
      <c r="E340" s="109"/>
      <c r="F340" s="161"/>
      <c r="G340" s="109"/>
      <c r="H340" s="162"/>
      <c r="I340" s="161"/>
      <c r="J340" s="161"/>
    </row>
    <row r="341" spans="1:10" s="1" customFormat="1" ht="15.9" customHeight="1">
      <c r="A341" s="109"/>
      <c r="B341" s="33"/>
      <c r="C341" s="42"/>
      <c r="D341" s="161"/>
      <c r="E341" s="109"/>
      <c r="F341" s="161"/>
      <c r="G341" s="109"/>
      <c r="H341" s="161"/>
      <c r="I341" s="161"/>
      <c r="J341" s="161"/>
    </row>
    <row r="342" spans="1:10" s="1" customFormat="1" ht="15.9" customHeight="1">
      <c r="A342" s="109"/>
      <c r="B342" s="33"/>
      <c r="C342" s="163"/>
      <c r="D342" s="161"/>
      <c r="E342" s="109"/>
      <c r="F342" s="161"/>
      <c r="G342" s="109"/>
      <c r="H342" s="161"/>
      <c r="I342" s="109"/>
      <c r="J342" s="24"/>
    </row>
    <row r="343" spans="1:10" s="1" customFormat="1" ht="15.9" customHeight="1">
      <c r="A343" s="109"/>
      <c r="B343" s="33"/>
      <c r="C343" s="161"/>
      <c r="D343" s="161"/>
      <c r="E343" s="109"/>
      <c r="F343" s="161"/>
      <c r="G343" s="109"/>
      <c r="H343" s="109"/>
      <c r="I343" s="24"/>
      <c r="J343" s="24"/>
    </row>
    <row r="344" spans="1:10" s="1" customFormat="1" ht="15.9" customHeight="1">
      <c r="A344" s="109"/>
      <c r="B344" s="33"/>
      <c r="C344" s="33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44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161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3"/>
      <c r="D349" s="161"/>
      <c r="E349" s="109"/>
      <c r="F349" s="161"/>
      <c r="G349" s="109"/>
      <c r="H349" s="109"/>
      <c r="I349" s="109"/>
      <c r="J349" s="24"/>
    </row>
    <row r="350" spans="1:10" s="1" customFormat="1" ht="15.9" customHeight="1">
      <c r="A350" s="109"/>
      <c r="B350" s="33"/>
      <c r="C350" s="161"/>
      <c r="D350" s="161"/>
      <c r="E350" s="109"/>
      <c r="F350" s="161"/>
      <c r="G350" s="109"/>
      <c r="H350" s="109"/>
      <c r="I350" s="24"/>
      <c r="J350" s="24"/>
    </row>
    <row r="351" spans="1:10" s="1" customFormat="1" ht="15.9" customHeight="1">
      <c r="A351" s="109"/>
      <c r="B351" s="33"/>
      <c r="C351" s="33"/>
      <c r="D351" s="161"/>
      <c r="E351" s="109"/>
      <c r="F351" s="109"/>
      <c r="G351" s="109"/>
      <c r="H351" s="109"/>
      <c r="I351" s="24"/>
      <c r="J351" s="24"/>
    </row>
    <row r="352" spans="1:10" s="1" customFormat="1" ht="15" customHeight="1">
      <c r="A352" s="109"/>
      <c r="B352" s="33"/>
      <c r="C352" s="33"/>
      <c r="D352" s="161"/>
      <c r="E352" s="109"/>
      <c r="F352" s="109"/>
      <c r="G352" s="109"/>
      <c r="H352" s="107"/>
      <c r="I352" s="24"/>
      <c r="J352" s="24"/>
    </row>
    <row r="353" spans="1:10" s="23" customFormat="1" ht="15.9" customHeight="1">
      <c r="A353" s="109"/>
      <c r="B353" s="33"/>
      <c r="C353" s="33"/>
      <c r="D353" s="161"/>
      <c r="E353" s="109"/>
      <c r="F353" s="109"/>
      <c r="G353" s="109"/>
      <c r="H353" s="109"/>
      <c r="I353" s="109"/>
      <c r="J353" s="109"/>
    </row>
    <row r="354" spans="1:10" s="1" customFormat="1" ht="15.9" customHeight="1">
      <c r="A354" s="44"/>
      <c r="B354" s="33"/>
      <c r="C354" s="33"/>
      <c r="D354" s="161"/>
      <c r="E354" s="109"/>
      <c r="F354" s="109"/>
      <c r="G354" s="109"/>
      <c r="H354" s="109"/>
      <c r="I354" s="44"/>
      <c r="J354" s="119"/>
    </row>
    <row r="355" spans="1:10" s="1" customFormat="1" ht="15.9" customHeight="1">
      <c r="A355" s="40"/>
      <c r="B355" s="44"/>
      <c r="C355" s="44"/>
      <c r="D355" s="84"/>
      <c r="E355" s="44"/>
      <c r="F355" s="44"/>
      <c r="G355" s="44"/>
      <c r="H355" s="44"/>
      <c r="I355" s="32"/>
      <c r="J355" s="40"/>
    </row>
    <row r="356" spans="1:10" s="1" customFormat="1" ht="15.9" customHeight="1">
      <c r="A356" s="27"/>
      <c r="B356" s="40"/>
      <c r="C356" s="44"/>
      <c r="D356" s="85"/>
      <c r="E356" s="40"/>
      <c r="F356" s="32"/>
      <c r="G356" s="40"/>
      <c r="H356" s="32"/>
      <c r="I356" s="24"/>
      <c r="J356" s="24"/>
    </row>
    <row r="357" spans="1:10" s="1" customFormat="1" ht="15.9" customHeight="1">
      <c r="A357" s="27"/>
      <c r="B357" s="33"/>
      <c r="C357" s="42"/>
      <c r="D357" s="161"/>
      <c r="E357" s="109"/>
      <c r="F357" s="109"/>
      <c r="G357" s="109"/>
      <c r="H357" s="42"/>
      <c r="I357" s="163"/>
      <c r="J357" s="163"/>
    </row>
    <row r="358" spans="1:10" s="1" customFormat="1" ht="15.9" customHeight="1">
      <c r="A358" s="27"/>
      <c r="B358" s="33"/>
      <c r="C358" s="163"/>
      <c r="D358" s="161"/>
      <c r="E358" s="109"/>
      <c r="F358" s="109"/>
      <c r="G358" s="109"/>
      <c r="H358" s="163"/>
      <c r="I358" s="161"/>
      <c r="J358" s="161"/>
    </row>
    <row r="359" spans="1:10" s="1" customFormat="1" ht="15.9" customHeight="1">
      <c r="A359" s="27"/>
      <c r="B359" s="33"/>
      <c r="C359" s="161"/>
      <c r="D359" s="161"/>
      <c r="E359" s="109"/>
      <c r="F359" s="109"/>
      <c r="G359" s="109"/>
      <c r="H359" s="161"/>
      <c r="I359" s="24"/>
      <c r="J359" s="24"/>
    </row>
    <row r="360" spans="1:10" s="1" customFormat="1" ht="15.9" customHeight="1">
      <c r="A360" s="27"/>
      <c r="B360" s="33"/>
      <c r="C360" s="33"/>
      <c r="D360" s="161"/>
      <c r="E360" s="109"/>
      <c r="F360" s="109"/>
      <c r="G360" s="109"/>
      <c r="H360" s="109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46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161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33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B369" s="33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D371" s="161"/>
      <c r="E371" s="109"/>
      <c r="F371" s="109"/>
      <c r="G371" s="33"/>
      <c r="H371" s="33"/>
      <c r="I371" s="24"/>
      <c r="J371" s="24"/>
    </row>
    <row r="372" spans="1:10" s="1" customFormat="1" ht="15.9" customHeight="1">
      <c r="A372" s="27"/>
      <c r="B372" s="33"/>
      <c r="C372" s="33"/>
      <c r="D372" s="161"/>
      <c r="E372" s="109"/>
      <c r="F372" s="109"/>
      <c r="G372" s="109"/>
      <c r="H372" s="109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42"/>
      <c r="I375" s="163"/>
      <c r="J375" s="163"/>
    </row>
    <row r="376" spans="1:10" s="1" customFormat="1" ht="15.9" customHeight="1">
      <c r="A376" s="27"/>
      <c r="B376" s="33"/>
      <c r="C376" s="47"/>
      <c r="D376" s="161"/>
      <c r="E376" s="109"/>
      <c r="F376" s="109"/>
      <c r="G376" s="109"/>
      <c r="H376" s="163"/>
      <c r="I376" s="161"/>
      <c r="J376" s="161"/>
    </row>
    <row r="377" spans="1:10" s="1" customFormat="1" ht="15.9" customHeight="1">
      <c r="A377" s="27"/>
      <c r="B377" s="33"/>
      <c r="C377" s="46"/>
      <c r="D377" s="161"/>
      <c r="E377" s="109"/>
      <c r="F377" s="109"/>
      <c r="G377" s="109"/>
      <c r="H377" s="161"/>
      <c r="I377" s="24"/>
      <c r="J377" s="24"/>
    </row>
    <row r="378" spans="1:10" s="1" customFormat="1" ht="15.9" customHeight="1">
      <c r="A378" s="27"/>
      <c r="B378" s="33"/>
      <c r="C378" s="161"/>
      <c r="D378" s="161"/>
      <c r="E378" s="109"/>
      <c r="F378" s="109"/>
      <c r="G378" s="109"/>
      <c r="H378" s="42"/>
      <c r="I378" s="163"/>
      <c r="J378" s="163"/>
    </row>
    <row r="379" spans="1:10" s="1" customFormat="1" ht="15.9" customHeight="1">
      <c r="A379" s="27"/>
      <c r="B379" s="33"/>
      <c r="C379" s="33"/>
      <c r="D379" s="161"/>
      <c r="E379" s="109"/>
      <c r="F379" s="109"/>
      <c r="G379" s="109"/>
      <c r="H379" s="163"/>
      <c r="I379" s="161"/>
      <c r="J379" s="161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1"/>
      <c r="I380" s="24"/>
      <c r="J380" s="24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09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109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64"/>
      <c r="J387" s="16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64"/>
      <c r="I388" s="165"/>
      <c r="J388" s="165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5"/>
      <c r="I389" s="161"/>
      <c r="J389" s="161"/>
    </row>
    <row r="390" spans="1:10" s="1" customFormat="1" ht="15.9" customHeight="1">
      <c r="A390" s="27"/>
      <c r="B390" s="33"/>
      <c r="C390" s="47"/>
      <c r="D390" s="161"/>
      <c r="E390" s="109"/>
      <c r="F390" s="109"/>
      <c r="G390" s="109"/>
      <c r="H390" s="161"/>
      <c r="I390" s="24"/>
      <c r="J390" s="24"/>
    </row>
    <row r="391" spans="1:10" s="1" customFormat="1" ht="15.9" customHeight="1">
      <c r="A391" s="27"/>
      <c r="B391" s="33"/>
      <c r="C391" s="46"/>
      <c r="D391" s="161"/>
      <c r="E391" s="109"/>
      <c r="F391" s="109"/>
      <c r="G391" s="109"/>
      <c r="H391" s="109"/>
      <c r="I391" s="109"/>
      <c r="J391" s="24"/>
    </row>
    <row r="392" spans="1:10" s="1" customFormat="1" ht="15.9" customHeight="1">
      <c r="A392" s="27"/>
      <c r="B392" s="33"/>
      <c r="C392" s="161"/>
      <c r="D392" s="161"/>
      <c r="E392" s="109"/>
      <c r="F392" s="109"/>
      <c r="G392" s="109"/>
      <c r="H392" s="109"/>
      <c r="I392" s="24"/>
      <c r="J392" s="24"/>
    </row>
    <row r="393" spans="1:10" s="1" customFormat="1" ht="15.9" customHeight="1">
      <c r="A393" s="27"/>
      <c r="B393" s="33"/>
      <c r="C393" s="33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41"/>
      <c r="B395" s="33"/>
      <c r="C395" s="33"/>
      <c r="D395" s="161"/>
      <c r="E395" s="109"/>
      <c r="F395" s="109"/>
      <c r="G395" s="109"/>
      <c r="H395" s="109"/>
      <c r="I395" s="109"/>
      <c r="J395" s="109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23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1" customFormat="1" ht="15.9" customHeight="1">
      <c r="A404" s="44"/>
      <c r="B404" s="33"/>
      <c r="C404" s="33"/>
      <c r="D404" s="161"/>
      <c r="E404" s="109"/>
      <c r="F404" s="109"/>
      <c r="G404" s="109"/>
      <c r="H404" s="109"/>
      <c r="I404" s="44"/>
      <c r="J404" s="119"/>
    </row>
    <row r="405" spans="1:10" s="1" customFormat="1" ht="15.9" customHeight="1">
      <c r="A405" s="44"/>
      <c r="B405" s="44"/>
      <c r="C405" s="44"/>
      <c r="D405" s="84"/>
      <c r="E405" s="44"/>
      <c r="F405" s="44"/>
      <c r="G405" s="44"/>
      <c r="H405" s="44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109"/>
      <c r="B418" s="44"/>
      <c r="C418" s="44"/>
      <c r="D418" s="84"/>
      <c r="E418" s="44"/>
      <c r="F418" s="44"/>
      <c r="G418" s="44"/>
      <c r="H418" s="44"/>
      <c r="I418" s="24"/>
      <c r="J418" s="24"/>
      <c r="K418" s="71"/>
    </row>
    <row r="419" spans="1:14" s="1" customFormat="1" ht="15.9" customHeight="1">
      <c r="A419" s="109"/>
      <c r="B419" s="33"/>
      <c r="C419" s="33"/>
      <c r="D419" s="161"/>
      <c r="E419" s="109"/>
      <c r="F419" s="109"/>
      <c r="G419" s="109"/>
      <c r="H419" s="109"/>
      <c r="I419" s="24"/>
    </row>
    <row r="420" spans="1:14" ht="18">
      <c r="A420" s="109"/>
      <c r="B420" s="33"/>
      <c r="C420" s="33"/>
      <c r="D420" s="161"/>
      <c r="E420" s="109"/>
      <c r="F420" s="109"/>
      <c r="G420" s="109"/>
      <c r="H420" s="109"/>
      <c r="I420" s="109"/>
      <c r="J420" s="99" t="str">
        <f>LEFT($J$111,14)&amp;"-04"</f>
        <v>FG-240-11P5L6R-04</v>
      </c>
      <c r="K420" s="7"/>
      <c r="L420" s="7"/>
      <c r="M420" s="2"/>
      <c r="N420" s="2"/>
    </row>
    <row r="421" spans="1:14" ht="12.75" customHeight="1">
      <c r="A421" s="109"/>
      <c r="B421" s="33"/>
      <c r="C421" s="33"/>
      <c r="D421" s="161"/>
      <c r="E421" s="109"/>
      <c r="F421" s="109"/>
      <c r="G421" s="109"/>
      <c r="H421" s="109"/>
      <c r="I421" s="109"/>
      <c r="J421" s="114"/>
      <c r="K421" s="7"/>
      <c r="L421" s="7"/>
      <c r="M421" s="2"/>
      <c r="N421" s="2"/>
    </row>
    <row r="422" spans="1:14" ht="30" customHeight="1">
      <c r="B422" s="33"/>
      <c r="C422" s="33"/>
      <c r="D422" s="161"/>
      <c r="E422" s="109"/>
      <c r="F422" s="109"/>
      <c r="G422" s="109"/>
      <c r="H422" s="109"/>
      <c r="I422" s="95"/>
      <c r="J422" s="90" t="str">
        <f>J2</f>
        <v>HOMELIFE</v>
      </c>
      <c r="K422" s="11"/>
      <c r="L422" s="11"/>
      <c r="M422" s="2"/>
      <c r="N422" s="2"/>
    </row>
    <row r="423" spans="1:14" ht="24.9" customHeight="1">
      <c r="B423" s="265"/>
      <c r="C423" s="5"/>
      <c r="D423" s="95"/>
      <c r="E423" s="95"/>
      <c r="F423" s="95"/>
      <c r="G423" s="95"/>
      <c r="H423" s="95"/>
      <c r="I423" s="28"/>
      <c r="J423" s="91" t="str">
        <f>J3</f>
        <v>Fabricators Guide</v>
      </c>
      <c r="K423" s="11"/>
      <c r="L423" s="11"/>
      <c r="M423" s="2"/>
      <c r="N423" s="2"/>
    </row>
    <row r="424" spans="1:14" ht="24.9" customHeight="1">
      <c r="B424" s="265"/>
      <c r="C424" s="28"/>
      <c r="D424" s="28"/>
      <c r="E424" s="28"/>
      <c r="F424" s="28"/>
      <c r="G424" s="28"/>
      <c r="H424" s="28"/>
      <c r="I424" s="28"/>
      <c r="J424" s="91" t="str">
        <f>J4</f>
        <v xml:space="preserve">240 Series Bi Fold Door </v>
      </c>
      <c r="K424" s="48"/>
      <c r="L424" s="48"/>
      <c r="M424" s="4"/>
      <c r="N424" s="4"/>
    </row>
    <row r="425" spans="1:14" s="1" customFormat="1" ht="15" customHeight="1" thickBot="1">
      <c r="A425" s="78"/>
      <c r="B425" s="8"/>
      <c r="C425" s="28"/>
      <c r="D425" s="28"/>
      <c r="E425" s="28"/>
      <c r="F425" s="28"/>
      <c r="G425" s="28"/>
      <c r="H425" s="28"/>
      <c r="I425" s="78"/>
      <c r="J425" s="100"/>
      <c r="K425" s="4"/>
      <c r="L425" s="4"/>
      <c r="M425" s="4"/>
      <c r="N425" s="4"/>
    </row>
    <row r="426" spans="1:14" s="1" customFormat="1" ht="24.9" customHeight="1" thickBot="1">
      <c r="A426" s="502" t="s">
        <v>34</v>
      </c>
      <c r="B426" s="503"/>
      <c r="C426" s="503"/>
      <c r="D426" s="503"/>
      <c r="E426" s="503"/>
      <c r="F426" s="503"/>
      <c r="G426" s="503"/>
      <c r="H426" s="503"/>
      <c r="I426" s="503"/>
      <c r="J426" s="504"/>
      <c r="K426" s="4"/>
      <c r="L426" s="4"/>
      <c r="M426" s="4"/>
      <c r="N426" s="4"/>
    </row>
    <row r="427" spans="1:14" s="1" customFormat="1" ht="15" customHeight="1">
      <c r="A427" s="193"/>
      <c r="B427" s="194"/>
      <c r="C427" s="194"/>
      <c r="D427" s="194"/>
      <c r="E427" s="194"/>
      <c r="F427" s="194"/>
      <c r="G427" s="194"/>
      <c r="H427" s="194"/>
      <c r="I427" s="193"/>
      <c r="K427" s="56"/>
      <c r="L427" s="56"/>
      <c r="M427" s="56"/>
      <c r="N427" s="56"/>
    </row>
    <row r="428" spans="1:14" s="1" customFormat="1" ht="15" customHeight="1">
      <c r="A428" s="45"/>
      <c r="B428" s="193"/>
      <c r="C428" s="193"/>
      <c r="D428" s="193"/>
      <c r="E428" s="193"/>
      <c r="F428" s="193"/>
      <c r="G428" s="193"/>
      <c r="H428" s="193"/>
      <c r="I428" s="44"/>
      <c r="J428" s="119"/>
    </row>
    <row r="429" spans="1:14" s="1" customFormat="1" ht="15" customHeight="1">
      <c r="A429" s="109"/>
      <c r="B429" s="39"/>
      <c r="C429" s="33"/>
      <c r="D429" s="161"/>
      <c r="E429" s="35"/>
      <c r="F429" s="39"/>
      <c r="G429" s="193"/>
      <c r="H429" s="44"/>
      <c r="I429" s="44"/>
      <c r="J429" s="119"/>
    </row>
    <row r="430" spans="1:14" s="1" customFormat="1" ht="15" customHeight="1">
      <c r="A430" s="109"/>
      <c r="B430" s="33"/>
      <c r="C430" s="33"/>
      <c r="D430" s="161"/>
      <c r="E430" s="35"/>
      <c r="F430" s="161"/>
      <c r="G430" s="193"/>
      <c r="H430" s="44"/>
      <c r="I430" s="44"/>
      <c r="J430" s="119"/>
    </row>
    <row r="431" spans="1:14" s="1" customFormat="1" ht="15" customHeight="1">
      <c r="A431" s="109"/>
      <c r="B431" s="56"/>
      <c r="C431" s="56"/>
      <c r="D431" s="30"/>
      <c r="E431" s="29"/>
      <c r="F431" s="30"/>
      <c r="H431" s="44"/>
      <c r="I431" s="44"/>
      <c r="J431" s="119"/>
    </row>
    <row r="432" spans="1:14" s="1" customFormat="1" ht="15" customHeight="1">
      <c r="A432" s="109"/>
      <c r="B432" s="33"/>
      <c r="C432" s="161"/>
      <c r="D432" s="161"/>
      <c r="E432" s="109"/>
      <c r="F432" s="161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35"/>
      <c r="F433" s="163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1"/>
      <c r="H434" s="44"/>
      <c r="I434" s="44"/>
      <c r="J434" s="119"/>
    </row>
    <row r="435" spans="1:10" s="1" customFormat="1" ht="15" customHeight="1">
      <c r="A435" s="39"/>
      <c r="B435" s="33"/>
      <c r="C435" s="42"/>
      <c r="D435" s="161"/>
      <c r="E435" s="109"/>
      <c r="F435" s="69"/>
      <c r="H435" s="44"/>
      <c r="I435" s="44"/>
      <c r="J435" s="119"/>
    </row>
    <row r="436" spans="1:10" s="1" customFormat="1" ht="15" customHeight="1">
      <c r="A436" s="92"/>
      <c r="B436" s="39"/>
      <c r="C436" s="163"/>
      <c r="D436" s="161"/>
      <c r="E436" s="109"/>
      <c r="F436" s="68"/>
      <c r="H436" s="44"/>
      <c r="I436" s="44"/>
      <c r="J436" s="119"/>
    </row>
    <row r="437" spans="1:10" s="1" customFormat="1" ht="15" customHeight="1">
      <c r="B437" s="92"/>
      <c r="C437" s="161"/>
      <c r="D437" s="161"/>
      <c r="E437" s="109"/>
      <c r="F437" s="262"/>
      <c r="H437" s="44"/>
      <c r="I437" s="44"/>
      <c r="J437" s="119"/>
    </row>
    <row r="438" spans="1:10" s="1" customFormat="1" ht="15" customHeight="1">
      <c r="A438" s="64" t="str">
        <f>A18</f>
        <v>240-11 Panel (5L6R)</v>
      </c>
      <c r="B438" s="92"/>
      <c r="C438" s="161"/>
      <c r="D438" s="161"/>
      <c r="E438" s="109"/>
      <c r="F438" s="262"/>
      <c r="H438" s="44"/>
      <c r="I438" s="44"/>
      <c r="J438" s="119"/>
    </row>
    <row r="439" spans="1:10" s="1" customFormat="1" ht="15.9" customHeight="1">
      <c r="A439" s="76" t="str">
        <f>A19</f>
        <v xml:space="preserve">Outside Bi Fold Door </v>
      </c>
      <c r="C439" s="42"/>
      <c r="D439" s="161"/>
      <c r="E439" s="109"/>
      <c r="F439" s="68"/>
      <c r="H439" s="44"/>
      <c r="I439" s="44"/>
      <c r="J439" s="119"/>
    </row>
    <row r="440" spans="1:10" s="1" customFormat="1" ht="15.9" customHeight="1">
      <c r="A440" s="39"/>
      <c r="C440" s="161"/>
      <c r="D440" s="161"/>
      <c r="E440" s="109"/>
      <c r="F440" s="37"/>
      <c r="H440" s="44"/>
      <c r="I440" s="44"/>
      <c r="J440" s="119"/>
    </row>
    <row r="441" spans="1:10" s="1" customFormat="1" ht="15.9" customHeight="1">
      <c r="A441" s="44"/>
      <c r="B441" s="38"/>
      <c r="C441" s="43"/>
      <c r="D441" s="161"/>
      <c r="E441" s="109"/>
      <c r="F441" s="109"/>
      <c r="H441" s="44"/>
      <c r="I441" s="44"/>
      <c r="J441" s="119"/>
    </row>
    <row r="442" spans="1:10" s="1" customFormat="1" ht="15.9" customHeight="1">
      <c r="A442" s="40"/>
      <c r="C442" s="44"/>
      <c r="D442" s="84"/>
      <c r="E442" s="44"/>
      <c r="F442" s="44"/>
      <c r="H442" s="44"/>
      <c r="I442" s="44"/>
      <c r="J442" s="119"/>
    </row>
    <row r="443" spans="1:10" s="1" customFormat="1" ht="35.1" customHeight="1">
      <c r="A443" s="109"/>
      <c r="C443" s="161"/>
      <c r="D443" s="85"/>
      <c r="E443" s="40"/>
      <c r="F443" s="32"/>
      <c r="H443" s="44"/>
      <c r="I443" s="24"/>
      <c r="J443" s="24"/>
    </row>
    <row r="444" spans="1:10" ht="15.6">
      <c r="B444" s="64"/>
      <c r="C444" s="163"/>
      <c r="D444" s="161"/>
      <c r="E444" s="109"/>
      <c r="F444" s="161"/>
      <c r="G444" s="109"/>
      <c r="H444" s="109"/>
    </row>
    <row r="449" spans="1:10" s="1" customFormat="1" ht="15.9" customHeight="1">
      <c r="A449" s="109"/>
      <c r="B449"/>
      <c r="C449"/>
      <c r="D449" s="81"/>
      <c r="E449"/>
      <c r="F449"/>
      <c r="G449"/>
      <c r="H449"/>
      <c r="I449" s="24"/>
      <c r="J449" s="24"/>
    </row>
    <row r="450" spans="1:10" s="1" customFormat="1" ht="15.9" customHeight="1">
      <c r="A450" s="109"/>
      <c r="B450" s="33"/>
      <c r="C450" s="33"/>
      <c r="D450" s="161"/>
      <c r="E450" s="109"/>
      <c r="F450" s="161"/>
      <c r="G450" s="109"/>
      <c r="H450" s="109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44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161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3"/>
      <c r="D455" s="161"/>
      <c r="E455" s="109"/>
      <c r="F455" s="161"/>
      <c r="G455" s="109"/>
      <c r="H455" s="109"/>
      <c r="I455" s="109"/>
      <c r="J455" s="24"/>
    </row>
    <row r="456" spans="1:10" s="1" customFormat="1" ht="15.9" customHeight="1">
      <c r="A456" s="109"/>
      <c r="B456" s="33"/>
      <c r="C456" s="161"/>
      <c r="D456" s="161"/>
      <c r="E456" s="109"/>
      <c r="F456" s="161"/>
      <c r="G456" s="109"/>
      <c r="H456" s="109"/>
      <c r="I456" s="24"/>
      <c r="J456" s="24"/>
    </row>
    <row r="457" spans="1:10" s="1" customFormat="1" ht="15.9" customHeight="1">
      <c r="A457" s="109"/>
      <c r="B457" s="33"/>
      <c r="C457" s="33"/>
      <c r="D457" s="161"/>
      <c r="E457" s="109"/>
      <c r="F457" s="109"/>
      <c r="G457" s="109"/>
      <c r="H457" s="109"/>
      <c r="I457" s="24"/>
      <c r="J457" s="24"/>
    </row>
    <row r="458" spans="1:10" s="1" customFormat="1" ht="15" customHeight="1">
      <c r="A458" s="109"/>
      <c r="B458" s="33"/>
      <c r="C458" s="33"/>
      <c r="D458" s="161"/>
      <c r="E458" s="109"/>
      <c r="F458" s="109"/>
      <c r="G458" s="109"/>
      <c r="H458" s="107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9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23" customFormat="1" ht="15.9" customHeight="1">
      <c r="A476" s="109"/>
      <c r="B476" s="33"/>
      <c r="C476" s="33"/>
      <c r="D476" s="161"/>
      <c r="E476" s="109"/>
      <c r="F476" s="109"/>
      <c r="G476" s="109"/>
      <c r="H476" s="109"/>
      <c r="I476" s="109"/>
      <c r="J476" s="109"/>
    </row>
    <row r="477" spans="1:10" s="1" customFormat="1" ht="15.9" customHeight="1">
      <c r="A477" s="44"/>
      <c r="B477" s="33"/>
      <c r="C477" s="33"/>
      <c r="D477" s="161"/>
      <c r="E477" s="109"/>
      <c r="F477" s="109"/>
      <c r="G477" s="109"/>
      <c r="H477" s="109"/>
      <c r="I477" s="44"/>
      <c r="J477" s="119"/>
    </row>
    <row r="478" spans="1:10" s="1" customFormat="1" ht="15.9" customHeight="1">
      <c r="A478" s="40"/>
      <c r="B478" s="44"/>
      <c r="C478" s="44"/>
      <c r="D478" s="84"/>
      <c r="E478" s="44"/>
      <c r="F478" s="44"/>
      <c r="G478" s="44"/>
      <c r="H478" s="44"/>
      <c r="I478" s="32"/>
      <c r="J478" s="40"/>
    </row>
    <row r="479" spans="1:10" s="1" customFormat="1" ht="15.9" customHeight="1">
      <c r="A479" s="27"/>
      <c r="B479" s="40"/>
      <c r="C479" s="44"/>
      <c r="D479" s="85"/>
      <c r="E479" s="40"/>
      <c r="F479" s="32"/>
      <c r="G479" s="40"/>
      <c r="H479" s="32"/>
      <c r="I479" s="24"/>
      <c r="J479" s="24"/>
    </row>
    <row r="480" spans="1:10" s="1" customFormat="1" ht="15.9" customHeight="1">
      <c r="A480" s="27"/>
      <c r="B480" s="33"/>
      <c r="C480" s="42"/>
      <c r="D480" s="161"/>
      <c r="E480" s="109"/>
      <c r="F480" s="109"/>
      <c r="G480" s="109"/>
      <c r="H480" s="42"/>
      <c r="I480" s="67"/>
      <c r="J480" s="165"/>
    </row>
    <row r="481" spans="1:10" s="1" customFormat="1" ht="15.9" customHeight="1">
      <c r="A481" s="27"/>
      <c r="B481" s="33"/>
      <c r="C481" s="163"/>
      <c r="D481" s="161"/>
      <c r="E481" s="109"/>
      <c r="F481" s="109"/>
      <c r="G481" s="109"/>
      <c r="H481" s="67"/>
      <c r="I481" s="38"/>
      <c r="J481" s="109"/>
    </row>
    <row r="482" spans="1:10" s="1" customFormat="1" ht="15.9" customHeight="1">
      <c r="A482" s="27"/>
      <c r="B482" s="33"/>
      <c r="C482" s="161"/>
      <c r="D482" s="161"/>
      <c r="E482" s="109"/>
      <c r="F482" s="109"/>
      <c r="G482" s="109"/>
      <c r="H482" s="38"/>
      <c r="I482" s="24"/>
      <c r="J482" s="24"/>
    </row>
    <row r="483" spans="1:10" s="1" customFormat="1" ht="15.9" customHeight="1">
      <c r="A483" s="27"/>
      <c r="B483" s="33"/>
      <c r="C483" s="33"/>
      <c r="D483" s="161"/>
      <c r="E483" s="109"/>
      <c r="F483" s="109"/>
      <c r="G483" s="109"/>
      <c r="H483" s="109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46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161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33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B492" s="33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D494" s="161"/>
      <c r="E494" s="109"/>
      <c r="F494" s="109"/>
      <c r="G494" s="33"/>
      <c r="H494" s="33"/>
      <c r="I494" s="24"/>
      <c r="J494" s="24"/>
    </row>
    <row r="495" spans="1:10" s="1" customFormat="1" ht="15.9" customHeight="1">
      <c r="A495" s="27"/>
      <c r="B495" s="33"/>
      <c r="C495" s="33"/>
      <c r="D495" s="161"/>
      <c r="E495" s="109"/>
      <c r="F495" s="109"/>
      <c r="G495" s="109"/>
      <c r="H495" s="109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42"/>
      <c r="I498" s="67"/>
      <c r="J498" s="165"/>
    </row>
    <row r="499" spans="1:10" s="1" customFormat="1" ht="15.9" customHeight="1">
      <c r="A499" s="27"/>
      <c r="B499" s="33"/>
      <c r="C499" s="47"/>
      <c r="D499" s="161"/>
      <c r="E499" s="109"/>
      <c r="F499" s="109"/>
      <c r="G499" s="109"/>
      <c r="H499" s="67"/>
      <c r="I499" s="38"/>
      <c r="J499" s="109"/>
    </row>
    <row r="500" spans="1:10" s="1" customFormat="1" ht="15.9" customHeight="1">
      <c r="A500" s="27"/>
      <c r="B500" s="33"/>
      <c r="C500" s="46"/>
      <c r="D500" s="161"/>
      <c r="E500" s="109"/>
      <c r="F500" s="109"/>
      <c r="G500" s="109"/>
      <c r="H500" s="38"/>
      <c r="I500" s="24"/>
      <c r="J500" s="24"/>
    </row>
    <row r="501" spans="1:10" s="1" customFormat="1" ht="15.9" customHeight="1">
      <c r="A501" s="27"/>
      <c r="B501" s="33"/>
      <c r="C501" s="161"/>
      <c r="D501" s="161"/>
      <c r="E501" s="109"/>
      <c r="F501" s="109"/>
      <c r="G501" s="109"/>
      <c r="H501" s="42"/>
      <c r="I501" s="67"/>
      <c r="J501" s="165"/>
    </row>
    <row r="502" spans="1:10" s="1" customFormat="1" ht="15.9" customHeight="1">
      <c r="A502" s="27"/>
      <c r="B502" s="33"/>
      <c r="C502" s="33"/>
      <c r="D502" s="161"/>
      <c r="E502" s="109"/>
      <c r="F502" s="109"/>
      <c r="G502" s="109"/>
      <c r="H502" s="67"/>
      <c r="I502" s="38"/>
      <c r="J502" s="109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38"/>
      <c r="I503" s="24"/>
      <c r="J503" s="24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109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109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44"/>
      <c r="B512" s="33"/>
      <c r="C512" s="33"/>
      <c r="D512" s="161"/>
      <c r="E512" s="109"/>
      <c r="F512" s="109"/>
      <c r="G512" s="109"/>
      <c r="H512" s="67"/>
      <c r="I512" s="44"/>
      <c r="J512" s="119"/>
    </row>
    <row r="513" spans="1:23" s="1" customFormat="1" ht="15.9" customHeight="1">
      <c r="A513" s="44"/>
      <c r="B513" s="44"/>
      <c r="C513" s="44"/>
      <c r="D513" s="84"/>
      <c r="E513" s="44"/>
      <c r="F513" s="44"/>
      <c r="G513" s="44"/>
      <c r="H513" s="44"/>
      <c r="I513" s="44"/>
      <c r="J513" s="119"/>
    </row>
    <row r="514" spans="1:23" s="1" customFormat="1" ht="15.9" customHeight="1">
      <c r="A514" s="44"/>
      <c r="B514" s="44"/>
      <c r="C514" s="44"/>
      <c r="D514" s="84"/>
      <c r="E514" s="44"/>
      <c r="F514" s="44"/>
      <c r="G514" s="44"/>
      <c r="H514" s="44"/>
      <c r="I514" s="44"/>
      <c r="J514" s="119"/>
    </row>
    <row r="515" spans="1:23" s="1" customFormat="1" ht="15.9" customHeight="1">
      <c r="B515" s="44"/>
      <c r="C515" s="44"/>
      <c r="D515" s="84"/>
      <c r="E515" s="44"/>
      <c r="F515" s="44"/>
      <c r="G515" s="44"/>
      <c r="H515" s="44"/>
    </row>
    <row r="516" spans="1:23" s="1" customFormat="1" ht="15.9" customHeight="1" thickBot="1"/>
    <row r="517" spans="1:23" s="1" customFormat="1" ht="24.9" customHeight="1" thickBot="1">
      <c r="A517" s="502" t="s">
        <v>401</v>
      </c>
      <c r="B517" s="503"/>
      <c r="C517" s="503"/>
      <c r="D517" s="503"/>
      <c r="E517" s="503"/>
      <c r="F517" s="503"/>
      <c r="G517" s="503"/>
      <c r="H517" s="503"/>
      <c r="I517" s="503"/>
      <c r="J517" s="504"/>
    </row>
    <row r="518" spans="1:23" s="1" customFormat="1" ht="35.1" customHeight="1" thickBot="1">
      <c r="A518" s="146" t="s">
        <v>2</v>
      </c>
      <c r="B518" s="147" t="s">
        <v>3</v>
      </c>
      <c r="C518" s="103" t="s">
        <v>3</v>
      </c>
      <c r="D518" s="104" t="s">
        <v>35</v>
      </c>
      <c r="E518" s="103" t="s">
        <v>5</v>
      </c>
      <c r="F518" s="252" t="s">
        <v>27</v>
      </c>
      <c r="G518" s="305"/>
      <c r="H518" s="104" t="s">
        <v>27</v>
      </c>
      <c r="I518" s="104" t="s">
        <v>26</v>
      </c>
      <c r="J518" s="115" t="s">
        <v>6</v>
      </c>
      <c r="N518" s="249" t="s">
        <v>3</v>
      </c>
      <c r="O518" s="249" t="s">
        <v>3</v>
      </c>
    </row>
    <row r="519" spans="1:23" s="1" customFormat="1" ht="15.9" customHeight="1">
      <c r="A519" s="150">
        <f>IF(C519="","",1)</f>
        <v>1</v>
      </c>
      <c r="B519" s="121" t="str">
        <f>IF($D$127=5,N519,IF($D$127=6,N520,IF($D$127=8,N521,IF($D$127=10,N522,IF($D$127=12,N523,IF($D$127=14,N524,IF($D$127=18,N525,IF($D$127=20,N526,IF($D$127=22,N527,)))))))))</f>
        <v>กระจก 5 mm (สูง) (กว้าง)</v>
      </c>
      <c r="C519" s="121" t="str">
        <f>IF($D$127=5,O519,IF($D$127=6,O520,IF($D$127=8,O521,IF($D$127=10,O522,IF($D$127=12,O523,IF($D$127=14,O524,IF($D$127=18,O525,IF($D$127=20,O526,IF($D$127=22,O527,)))))))))</f>
        <v>GLASS thk.5 mm (H) (W)</v>
      </c>
      <c r="D519" s="124">
        <f>$J$123-215</f>
        <v>2285</v>
      </c>
      <c r="E519" s="123" t="s">
        <v>11</v>
      </c>
      <c r="F519" s="527" t="s">
        <v>271</v>
      </c>
      <c r="G519" s="528"/>
      <c r="H519" s="123" t="s">
        <v>307</v>
      </c>
      <c r="I519" s="124">
        <f>(($J$126-185-(113.25*10))/11)-13</f>
        <v>49.045454545454547</v>
      </c>
      <c r="J519" s="299">
        <f>$J$120*11</f>
        <v>11</v>
      </c>
      <c r="N519" s="19" t="s">
        <v>194</v>
      </c>
      <c r="O519" s="19" t="s">
        <v>195</v>
      </c>
    </row>
    <row r="520" spans="1:23" s="1" customFormat="1" ht="15.9" customHeight="1">
      <c r="A520" s="152"/>
      <c r="B520" s="127"/>
      <c r="C520" s="127"/>
      <c r="D520" s="128" t="s">
        <v>0</v>
      </c>
      <c r="E520" s="129"/>
      <c r="F520" s="155"/>
      <c r="G520" s="156"/>
      <c r="H520" s="127"/>
      <c r="I520" s="130"/>
      <c r="J520" s="153"/>
      <c r="N520" s="19" t="s">
        <v>53</v>
      </c>
      <c r="O520" s="19" t="s">
        <v>54</v>
      </c>
    </row>
    <row r="521" spans="1:23" s="1" customFormat="1" ht="15.9" customHeight="1">
      <c r="A521" s="152"/>
      <c r="B521" s="127"/>
      <c r="C521" s="127"/>
      <c r="D521" s="128"/>
      <c r="E521" s="129"/>
      <c r="F521" s="155"/>
      <c r="G521" s="156"/>
      <c r="H521" s="129"/>
      <c r="I521" s="130"/>
      <c r="J521" s="153"/>
      <c r="N521" s="19" t="s">
        <v>257</v>
      </c>
      <c r="O521" s="19" t="s">
        <v>258</v>
      </c>
    </row>
    <row r="522" spans="1:23" s="1" customFormat="1" ht="15.9" customHeight="1">
      <c r="A522" s="129" t="str">
        <f>IF(B522="","",+A520+1)</f>
        <v/>
      </c>
      <c r="B522" s="127"/>
      <c r="C522" s="127"/>
      <c r="D522" s="128"/>
      <c r="E522" s="129"/>
      <c r="F522" s="155"/>
      <c r="G522" s="157"/>
      <c r="H522" s="129"/>
      <c r="I522" s="144"/>
      <c r="J522" s="130"/>
      <c r="N522" s="19" t="s">
        <v>259</v>
      </c>
      <c r="O522" s="19" t="s">
        <v>265</v>
      </c>
    </row>
    <row r="523" spans="1:23" s="1" customFormat="1" ht="15.9" customHeight="1">
      <c r="A523" s="135" t="str">
        <f>IF(B523="","",+A522+1)</f>
        <v/>
      </c>
      <c r="B523" s="133"/>
      <c r="C523" s="133"/>
      <c r="D523" s="134"/>
      <c r="E523" s="135"/>
      <c r="F523" s="158"/>
      <c r="G523" s="159"/>
      <c r="H523" s="135"/>
      <c r="I523" s="145"/>
      <c r="J523" s="136"/>
      <c r="N523" s="19" t="s">
        <v>260</v>
      </c>
      <c r="O523" s="19" t="s">
        <v>266</v>
      </c>
    </row>
    <row r="524" spans="1:23" s="1" customFormat="1" ht="15.9" customHeight="1">
      <c r="A524" s="17"/>
      <c r="B524" s="56"/>
      <c r="C524" s="56"/>
      <c r="D524" s="30"/>
      <c r="E524" s="17"/>
      <c r="F524" s="17"/>
      <c r="G524" s="17"/>
      <c r="H524" s="109"/>
      <c r="I524" s="109"/>
      <c r="J524" s="24"/>
      <c r="N524" s="19" t="s">
        <v>261</v>
      </c>
      <c r="O524" s="19" t="s">
        <v>267</v>
      </c>
    </row>
    <row r="525" spans="1:23">
      <c r="H525" s="294"/>
      <c r="I525" s="294"/>
      <c r="J525" s="99" t="str">
        <f>LEFT($J$111,14)&amp;"-05"</f>
        <v>FG-240-11P5L6R-05</v>
      </c>
      <c r="M525" s="1"/>
      <c r="N525" s="19" t="s">
        <v>262</v>
      </c>
      <c r="O525" s="19" t="s">
        <v>268</v>
      </c>
      <c r="P525" s="1"/>
      <c r="Q525" s="1"/>
      <c r="R525" s="1"/>
      <c r="S525" s="1"/>
      <c r="T525" s="1"/>
      <c r="U525" s="1"/>
      <c r="V525" s="1"/>
      <c r="W525" s="1"/>
    </row>
    <row r="526" spans="1:23">
      <c r="M526" s="1"/>
      <c r="N526" s="19" t="s">
        <v>263</v>
      </c>
      <c r="O526" s="19" t="s">
        <v>269</v>
      </c>
      <c r="P526" s="1"/>
      <c r="Q526" s="1"/>
      <c r="R526" s="1"/>
      <c r="S526" s="1"/>
      <c r="T526" s="1"/>
      <c r="U526" s="1"/>
      <c r="V526" s="1"/>
      <c r="W526" s="1"/>
    </row>
    <row r="527" spans="1:23">
      <c r="N527" s="19" t="s">
        <v>264</v>
      </c>
      <c r="O527" s="19" t="s">
        <v>270</v>
      </c>
    </row>
  </sheetData>
  <sheetProtection selectLockedCells="1" selectUnlockedCells="1"/>
  <dataConsolidate function="product">
    <dataRefs count="1">
      <dataRef ref="N129:N131" sheet="240_7Panel(6L1R)" r:id="rId1"/>
    </dataRefs>
  </dataConsolidate>
  <mergeCells count="46">
    <mergeCell ref="H169:H170"/>
    <mergeCell ref="A6:J6"/>
    <mergeCell ref="H120:I121"/>
    <mergeCell ref="J120:J121"/>
    <mergeCell ref="A117:J117"/>
    <mergeCell ref="D119:G119"/>
    <mergeCell ref="D121:G121"/>
    <mergeCell ref="I155:J155"/>
    <mergeCell ref="H123:I124"/>
    <mergeCell ref="J123:J124"/>
    <mergeCell ref="A125:B125"/>
    <mergeCell ref="H126:I127"/>
    <mergeCell ref="J126:J127"/>
    <mergeCell ref="D127:G127"/>
    <mergeCell ref="A131:J131"/>
    <mergeCell ref="I152:J152"/>
    <mergeCell ref="I153:J153"/>
    <mergeCell ref="I154:J154"/>
    <mergeCell ref="D129:G129"/>
    <mergeCell ref="D123:G123"/>
    <mergeCell ref="D125:G125"/>
    <mergeCell ref="A171:J171"/>
    <mergeCell ref="I156:J156"/>
    <mergeCell ref="D157:D158"/>
    <mergeCell ref="H157:H158"/>
    <mergeCell ref="I157:J158"/>
    <mergeCell ref="I159:J159"/>
    <mergeCell ref="I160:J163"/>
    <mergeCell ref="I164:J165"/>
    <mergeCell ref="I166:J166"/>
    <mergeCell ref="D159:D160"/>
    <mergeCell ref="D161:D166"/>
    <mergeCell ref="D167:D168"/>
    <mergeCell ref="D169:D170"/>
    <mergeCell ref="H161:H166"/>
    <mergeCell ref="H159:H160"/>
    <mergeCell ref="H167:H168"/>
    <mergeCell ref="A212:J212"/>
    <mergeCell ref="C307:E307"/>
    <mergeCell ref="F519:G519"/>
    <mergeCell ref="A517:J517"/>
    <mergeCell ref="A426:J426"/>
    <mergeCell ref="A319:J319"/>
    <mergeCell ref="F333:G333"/>
    <mergeCell ref="F329:G329"/>
    <mergeCell ref="F330:G330"/>
  </mergeCells>
  <dataValidations count="4">
    <dataValidation type="list" allowBlank="1" showInputMessage="1" showErrorMessage="1" sqref="C205">
      <formula1>$O$173:$O$191</formula1>
    </dataValidation>
    <dataValidation type="list" allowBlank="1" showInputMessage="1" showErrorMessage="1" sqref="D123:G123">
      <formula1>$P$118:$P$127</formula1>
    </dataValidation>
    <dataValidation type="list" allowBlank="1" showInputMessage="1" showErrorMessage="1" sqref="D127:G127">
      <formula1>$N$119:$N$127</formula1>
    </dataValidation>
    <dataValidation type="list" allowBlank="1" showInputMessage="1" showErrorMessage="1" sqref="D129:G129">
      <formula1>$O$119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6" max="9" man="1"/>
    <brk id="313" max="16383" man="1"/>
    <brk id="420" max="9" man="1"/>
  </rowBreaks>
  <drawing r:id="rId3"/>
  <legacyDrawing r:id="rId4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6">
    <tabColor theme="5" tint="-0.249977111117893"/>
  </sheetPr>
  <dimension ref="A1:X528"/>
  <sheetViews>
    <sheetView showGridLines="0" view="pageBreakPreview" topLeftCell="A114" zoomScale="75" zoomScaleNormal="75" zoomScaleSheetLayoutView="75" workbookViewId="0">
      <selection activeCell="H119" sqref="H119"/>
    </sheetView>
  </sheetViews>
  <sheetFormatPr defaultRowHeight="14.4" outlineLevelRow="1" outlineLevelCol="1"/>
  <cols>
    <col min="1" max="1" width="7" customWidth="1"/>
    <col min="2" max="2" width="40.6640625" customWidth="1"/>
    <col min="3" max="3" width="55.664062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9" bestFit="1" customWidth="1"/>
    <col min="9" max="9" width="15.109375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2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65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65"/>
      <c r="E3" s="265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208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/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>
      <c r="G55" s="10"/>
    </row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358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65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65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8">
      <c r="A118" s="12"/>
      <c r="C118" s="8"/>
      <c r="D118" s="15"/>
      <c r="E118" s="13"/>
      <c r="J118" s="264"/>
      <c r="K118" s="11"/>
      <c r="L118" s="56"/>
      <c r="M118" s="56"/>
      <c r="N118" s="243" t="s">
        <v>191</v>
      </c>
      <c r="O118" s="12" t="s">
        <v>227</v>
      </c>
      <c r="P118" s="247" t="s">
        <v>16</v>
      </c>
    </row>
    <row r="119" spans="1:16" s="1" customFormat="1" ht="15" customHeight="1">
      <c r="A119" s="12"/>
      <c r="C119" s="110" t="s">
        <v>635</v>
      </c>
      <c r="D119" s="524"/>
      <c r="E119" s="525"/>
      <c r="F119" s="525"/>
      <c r="G119" s="526"/>
      <c r="I119" s="16"/>
      <c r="J119" s="12"/>
      <c r="N119" s="244">
        <v>5</v>
      </c>
      <c r="O119" s="12" t="s">
        <v>243</v>
      </c>
      <c r="P119" s="335" t="s">
        <v>389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5">
        <v>6</v>
      </c>
      <c r="O120" s="12" t="s">
        <v>244</v>
      </c>
      <c r="P120" s="336" t="s">
        <v>390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8</v>
      </c>
      <c r="P121" s="336" t="s">
        <v>391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10</v>
      </c>
      <c r="P122" s="336" t="s">
        <v>392</v>
      </c>
    </row>
    <row r="123" spans="1:16" s="1" customFormat="1" ht="15" customHeight="1">
      <c r="A123" s="12"/>
      <c r="C123" s="110" t="s">
        <v>629</v>
      </c>
      <c r="D123" s="524" t="s">
        <v>15</v>
      </c>
      <c r="E123" s="525"/>
      <c r="F123" s="525"/>
      <c r="G123" s="526"/>
      <c r="H123" s="519" t="s">
        <v>638</v>
      </c>
      <c r="I123" s="520"/>
      <c r="J123" s="517">
        <v>2500</v>
      </c>
      <c r="N123" s="245">
        <v>12</v>
      </c>
      <c r="P123" s="335" t="s">
        <v>393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14</v>
      </c>
      <c r="P124" s="335" t="s">
        <v>394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262"/>
      <c r="L125" s="77"/>
      <c r="N125" s="245">
        <v>18</v>
      </c>
      <c r="P125" s="335" t="s">
        <v>395</v>
      </c>
    </row>
    <row r="126" spans="1:16" s="1" customFormat="1" ht="15" customHeight="1">
      <c r="A126" s="264"/>
      <c r="B126" s="264"/>
      <c r="C126" s="423" t="s">
        <v>631</v>
      </c>
      <c r="D126" s="15"/>
      <c r="H126" s="519" t="s">
        <v>639</v>
      </c>
      <c r="I126" s="520"/>
      <c r="J126" s="517">
        <v>2000</v>
      </c>
      <c r="K126" s="262"/>
      <c r="L126" s="77"/>
      <c r="N126" s="245">
        <v>20</v>
      </c>
      <c r="P126" s="335" t="s">
        <v>396</v>
      </c>
    </row>
    <row r="127" spans="1:16" s="1" customFormat="1" ht="15" customHeight="1">
      <c r="A127" s="264"/>
      <c r="B127" s="264"/>
      <c r="C127" s="110" t="s">
        <v>633</v>
      </c>
      <c r="D127" s="534">
        <v>5</v>
      </c>
      <c r="E127" s="535"/>
      <c r="F127" s="535"/>
      <c r="G127" s="536"/>
      <c r="H127" s="520"/>
      <c r="I127" s="520"/>
      <c r="J127" s="518"/>
      <c r="N127" s="245">
        <v>22</v>
      </c>
      <c r="P127" s="335" t="s">
        <v>397</v>
      </c>
    </row>
    <row r="128" spans="1:16" s="1" customFormat="1" ht="18.75" customHeight="1">
      <c r="C128" s="423" t="s">
        <v>632</v>
      </c>
      <c r="I128" s="12"/>
      <c r="J128" s="12"/>
    </row>
    <row r="129" spans="1:23" s="1" customFormat="1" ht="15" customHeight="1">
      <c r="A129" s="88" t="str">
        <f>A18</f>
        <v>240-11 Panel (6L5R)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1940</v>
      </c>
      <c r="J133" s="125">
        <f t="shared" ref="J133:J151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22</v>
      </c>
      <c r="U133" s="283" t="s">
        <v>306</v>
      </c>
      <c r="V133" s="307">
        <f>($J$126-185-(113.25*10))/11</f>
        <v>62.045454545454547</v>
      </c>
      <c r="W133" s="286">
        <f>$J$120*T133</f>
        <v>22</v>
      </c>
    </row>
    <row r="134" spans="1:23" s="1" customFormat="1" ht="18" customHeight="1">
      <c r="A134" s="143">
        <f t="shared" ref="A134:A150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1914</v>
      </c>
      <c r="J134" s="131">
        <f t="shared" ref="J134:J139" si="2"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22</v>
      </c>
      <c r="U134" s="129" t="s">
        <v>306</v>
      </c>
      <c r="V134" s="178">
        <f t="shared" ref="V134:V135" si="3">($J$126-185-(113.25*10))/11</f>
        <v>62.045454545454547</v>
      </c>
      <c r="W134" s="131">
        <f t="shared" ref="W134:W135" si="4">$J$120*T134</f>
        <v>22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1940</v>
      </c>
      <c r="J135" s="131">
        <f t="shared" si="2"/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22</v>
      </c>
      <c r="U135" s="135" t="s">
        <v>306</v>
      </c>
      <c r="V135" s="308">
        <f t="shared" si="3"/>
        <v>62.045454545454547</v>
      </c>
      <c r="W135" s="293">
        <f t="shared" si="4"/>
        <v>22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1940</v>
      </c>
      <c r="J136" s="131">
        <f t="shared" si="2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22</v>
      </c>
      <c r="U136" s="283" t="s">
        <v>64</v>
      </c>
      <c r="V136" s="288">
        <f>$J$123-242</f>
        <v>2258</v>
      </c>
      <c r="W136" s="286">
        <f>$J$120*T136</f>
        <v>22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2500</v>
      </c>
      <c r="J137" s="131">
        <f t="shared" si="2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22</v>
      </c>
      <c r="U137" s="129" t="s">
        <v>64</v>
      </c>
      <c r="V137" s="130">
        <f>$J$123-242</f>
        <v>2258</v>
      </c>
      <c r="W137" s="131">
        <f t="shared" ref="W137:W138" si="5">$J$120*T137</f>
        <v>22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2500</v>
      </c>
      <c r="J138" s="131">
        <f t="shared" si="2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22</v>
      </c>
      <c r="U138" s="135" t="s">
        <v>64</v>
      </c>
      <c r="V138" s="136">
        <f>$J$123-242</f>
        <v>2258</v>
      </c>
      <c r="W138" s="293">
        <f t="shared" si="5"/>
        <v>22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2404</v>
      </c>
      <c r="J139" s="131">
        <f t="shared" si="2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2404</v>
      </c>
      <c r="J140" s="131">
        <f t="shared" ref="J140" si="6">$J$120*G140</f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11</v>
      </c>
      <c r="H141" s="268" t="s">
        <v>306</v>
      </c>
      <c r="I141" s="178">
        <f>($J$126-185-(113.25*10))/11</f>
        <v>62.045454545454547</v>
      </c>
      <c r="J141" s="131">
        <f t="shared" ref="J141:J150" si="7">$J$120*G141</f>
        <v>11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11</v>
      </c>
      <c r="H142" s="268" t="s">
        <v>306</v>
      </c>
      <c r="I142" s="178">
        <f>($J$126-185-(113.25*10))/11</f>
        <v>62.045454545454547</v>
      </c>
      <c r="J142" s="131">
        <f t="shared" si="7"/>
        <v>11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16</v>
      </c>
      <c r="H143" s="143" t="s">
        <v>63</v>
      </c>
      <c r="I143" s="130">
        <f>$J$123-92</f>
        <v>2408</v>
      </c>
      <c r="J143" s="131">
        <f t="shared" si="7"/>
        <v>16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2</v>
      </c>
      <c r="H144" s="143" t="s">
        <v>63</v>
      </c>
      <c r="I144" s="130">
        <f>$J$123-92</f>
        <v>2408</v>
      </c>
      <c r="J144" s="131">
        <f t="shared" si="7"/>
        <v>2</v>
      </c>
      <c r="N144" s="98"/>
    </row>
    <row r="145" spans="1:14" s="1" customFormat="1" ht="18" customHeight="1">
      <c r="A145" s="143">
        <f t="shared" si="1"/>
        <v>13</v>
      </c>
      <c r="B145" s="140" t="s">
        <v>8</v>
      </c>
      <c r="C145" s="140" t="s">
        <v>151</v>
      </c>
      <c r="D145" s="139" t="s">
        <v>50</v>
      </c>
      <c r="E145" s="143">
        <v>1.1060000000000001</v>
      </c>
      <c r="F145" s="139" t="s">
        <v>496</v>
      </c>
      <c r="G145" s="143">
        <v>3</v>
      </c>
      <c r="H145" s="143" t="s">
        <v>63</v>
      </c>
      <c r="I145" s="130">
        <f>$J$123-92</f>
        <v>2408</v>
      </c>
      <c r="J145" s="131">
        <f t="shared" si="7"/>
        <v>3</v>
      </c>
      <c r="N145" s="98"/>
    </row>
    <row r="146" spans="1:14" s="1" customFormat="1" ht="18" customHeight="1">
      <c r="A146" s="143">
        <f t="shared" si="1"/>
        <v>14</v>
      </c>
      <c r="B146" s="140" t="s">
        <v>116</v>
      </c>
      <c r="C146" s="140" t="s">
        <v>99</v>
      </c>
      <c r="D146" s="139" t="s">
        <v>50</v>
      </c>
      <c r="E146" s="143">
        <v>1.1060000000000001</v>
      </c>
      <c r="F146" s="139" t="s">
        <v>507</v>
      </c>
      <c r="G146" s="143">
        <v>1</v>
      </c>
      <c r="H146" s="143" t="s">
        <v>63</v>
      </c>
      <c r="I146" s="130">
        <f>$J$123-92</f>
        <v>2408</v>
      </c>
      <c r="J146" s="131">
        <f t="shared" si="7"/>
        <v>1</v>
      </c>
      <c r="N146" s="98"/>
    </row>
    <row r="147" spans="1:14" s="1" customFormat="1" ht="18" customHeight="1">
      <c r="A147" s="143">
        <f t="shared" si="1"/>
        <v>15</v>
      </c>
      <c r="B147" s="140" t="str">
        <f t="shared" ref="B147:I147" si="8">IF($D$127=5,O133,IF($D$127=6,O133,IF($D$127=8,O134,IF($D$127=10,O134,IF($D$127=12,O134,IF($D$127=14,O135,IF($D$127=18,O135,IF($D$127=20,O135,IF($D$127=22,O135,)))))))))</f>
        <v>5-6mm คิ้วตบกระจกแนวนอน</v>
      </c>
      <c r="C147" s="140" t="str">
        <f t="shared" si="8"/>
        <v>5-6mm GLAZING BEAD HORIZONTAL</v>
      </c>
      <c r="D147" s="140" t="str">
        <f t="shared" si="8"/>
        <v>B24008</v>
      </c>
      <c r="E147" s="140">
        <f t="shared" si="8"/>
        <v>0.23100000000000001</v>
      </c>
      <c r="F147" s="140" t="str">
        <f t="shared" si="8"/>
        <v>B24008-001</v>
      </c>
      <c r="G147" s="143">
        <f t="shared" si="8"/>
        <v>22</v>
      </c>
      <c r="H147" s="129" t="str">
        <f t="shared" si="8"/>
        <v>(W-185-(113.25 × 10))/11</v>
      </c>
      <c r="I147" s="178">
        <f t="shared" si="8"/>
        <v>62.045454545454547</v>
      </c>
      <c r="J147" s="131">
        <f t="shared" si="7"/>
        <v>22</v>
      </c>
      <c r="N147" s="98"/>
    </row>
    <row r="148" spans="1:14" s="1" customFormat="1" ht="18" customHeight="1">
      <c r="A148" s="143">
        <f t="shared" si="1"/>
        <v>16</v>
      </c>
      <c r="B148" s="140" t="str">
        <f t="shared" ref="B148:I148" si="9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40" t="str">
        <f t="shared" si="9"/>
        <v>5-6mm GLAZING BEAD VERTICAL</v>
      </c>
      <c r="D148" s="140" t="str">
        <f t="shared" si="9"/>
        <v>B24008</v>
      </c>
      <c r="E148" s="140">
        <f t="shared" si="9"/>
        <v>0.23100000000000001</v>
      </c>
      <c r="F148" s="140" t="str">
        <f t="shared" si="9"/>
        <v>B24008-002</v>
      </c>
      <c r="G148" s="143">
        <f t="shared" si="9"/>
        <v>22</v>
      </c>
      <c r="H148" s="129" t="str">
        <f t="shared" si="9"/>
        <v>H-242</v>
      </c>
      <c r="I148" s="144">
        <f t="shared" si="9"/>
        <v>2258</v>
      </c>
      <c r="J148" s="131">
        <f t="shared" si="7"/>
        <v>22</v>
      </c>
      <c r="N148" s="98"/>
    </row>
    <row r="149" spans="1:14" s="1" customFormat="1" ht="18" customHeight="1">
      <c r="A149" s="143">
        <f t="shared" si="1"/>
        <v>17</v>
      </c>
      <c r="B149" s="140" t="s">
        <v>125</v>
      </c>
      <c r="C149" s="140" t="s">
        <v>124</v>
      </c>
      <c r="D149" s="139" t="s">
        <v>123</v>
      </c>
      <c r="E149" s="143"/>
      <c r="F149" s="139" t="s">
        <v>362</v>
      </c>
      <c r="G149" s="143">
        <v>1</v>
      </c>
      <c r="H149" s="143" t="s">
        <v>63</v>
      </c>
      <c r="I149" s="130">
        <f>$J$123-92</f>
        <v>2408</v>
      </c>
      <c r="J149" s="131">
        <f t="shared" si="7"/>
        <v>1</v>
      </c>
      <c r="N149" s="98"/>
    </row>
    <row r="150" spans="1:14" s="1" customFormat="1" ht="18" customHeight="1">
      <c r="A150" s="143">
        <f t="shared" si="1"/>
        <v>18</v>
      </c>
      <c r="B150" s="140" t="s">
        <v>125</v>
      </c>
      <c r="C150" s="140" t="s">
        <v>124</v>
      </c>
      <c r="D150" s="139" t="s">
        <v>123</v>
      </c>
      <c r="E150" s="143"/>
      <c r="F150" s="139" t="s">
        <v>363</v>
      </c>
      <c r="G150" s="143">
        <v>1</v>
      </c>
      <c r="H150" s="143" t="s">
        <v>63</v>
      </c>
      <c r="I150" s="130">
        <f>$J$123-92</f>
        <v>2408</v>
      </c>
      <c r="J150" s="131">
        <f t="shared" si="7"/>
        <v>1</v>
      </c>
      <c r="N150" s="98"/>
    </row>
    <row r="151" spans="1:14" s="1" customFormat="1" ht="18" customHeight="1" thickBot="1">
      <c r="A151" s="143" t="str">
        <f>IF(B151="","",+A140+1)</f>
        <v/>
      </c>
      <c r="B151" s="167"/>
      <c r="C151" s="167"/>
      <c r="D151" s="168"/>
      <c r="E151" s="166"/>
      <c r="F151" s="168"/>
      <c r="G151" s="166"/>
      <c r="H151" s="166"/>
      <c r="I151" s="171"/>
      <c r="J151" s="172">
        <f t="shared" si="0"/>
        <v>0</v>
      </c>
    </row>
    <row r="152" spans="1:14" s="1" customFormat="1" ht="27" outlineLevel="1" thickBot="1">
      <c r="A152" s="169" t="s">
        <v>2</v>
      </c>
      <c r="B152" s="169" t="s">
        <v>29</v>
      </c>
      <c r="C152" s="169" t="s">
        <v>3</v>
      </c>
      <c r="D152" s="169" t="s">
        <v>4</v>
      </c>
      <c r="E152" s="169" t="s">
        <v>5</v>
      </c>
      <c r="F152" s="177" t="s">
        <v>85</v>
      </c>
      <c r="G152" s="169" t="s">
        <v>22</v>
      </c>
      <c r="H152" s="170" t="s">
        <v>23</v>
      </c>
      <c r="I152" s="540"/>
      <c r="J152" s="541"/>
    </row>
    <row r="153" spans="1:14" s="1" customFormat="1" ht="15" customHeight="1" outlineLevel="1">
      <c r="A153" s="21">
        <f>IF(B153="","",1)</f>
        <v>1</v>
      </c>
      <c r="B153" s="173" t="str">
        <f t="shared" ref="B153:C159" si="10">B133</f>
        <v>เฟรมบน</v>
      </c>
      <c r="C153" s="173" t="str">
        <f t="shared" si="10"/>
        <v>HEAD</v>
      </c>
      <c r="D153" s="174" t="str">
        <f>VLOOKUP(C153,$C$133:$H$151,2,0)</f>
        <v>B24001</v>
      </c>
      <c r="E153" s="175">
        <f t="shared" ref="E153:E159" si="11">VLOOKUP(C153,$C$133:$H$151,3,0)</f>
        <v>1.603</v>
      </c>
      <c r="F153" s="353">
        <f>VLOOKUP(C153,$C$133:$J$151,7,0)</f>
        <v>1940</v>
      </c>
      <c r="G153" s="175">
        <f t="shared" ref="G153:G159" si="12">VLOOKUP(C153,$C$133:$J$151,8,0)</f>
        <v>1</v>
      </c>
      <c r="H153" s="191">
        <f>ROUNDUP((F153*G153)/6400,0)</f>
        <v>1</v>
      </c>
      <c r="I153" s="501"/>
      <c r="J153" s="501"/>
    </row>
    <row r="154" spans="1:14" s="1" customFormat="1" ht="15" customHeight="1" outlineLevel="1">
      <c r="A154" s="18">
        <f t="shared" ref="A154" si="13">IF(B154="","",+A153+1)</f>
        <v>2</v>
      </c>
      <c r="B154" s="173" t="str">
        <f t="shared" si="10"/>
        <v>บังใบบน</v>
      </c>
      <c r="C154" s="173" t="str">
        <f t="shared" si="10"/>
        <v>DOOR STOP HEAD</v>
      </c>
      <c r="D154" s="174" t="str">
        <f>VLOOKUP(C154,$C$133:$H$151,2,0)</f>
        <v>B24002</v>
      </c>
      <c r="E154" s="175">
        <f t="shared" si="11"/>
        <v>0.27800000000000002</v>
      </c>
      <c r="F154" s="353">
        <f t="shared" ref="F154:F159" si="14">VLOOKUP(C154,$C$133:$I$151,7,0)</f>
        <v>1914</v>
      </c>
      <c r="G154" s="175">
        <f t="shared" si="12"/>
        <v>1</v>
      </c>
      <c r="H154" s="192">
        <f>ROUNDUP((F154*G154)/6400,0)</f>
        <v>1</v>
      </c>
      <c r="I154" s="501"/>
      <c r="J154" s="501"/>
    </row>
    <row r="155" spans="1:14" s="1" customFormat="1" ht="15" customHeight="1" outlineLevel="1">
      <c r="A155" s="18">
        <f t="shared" ref="A155:A159" si="15">IF(B155="","",+A154+1)</f>
        <v>3</v>
      </c>
      <c r="B155" s="173" t="str">
        <f t="shared" si="10"/>
        <v xml:space="preserve">เฟรมล่าง </v>
      </c>
      <c r="C155" s="173" t="str">
        <f t="shared" si="10"/>
        <v>SILL</v>
      </c>
      <c r="D155" s="174" t="str">
        <f>VLOOKUP(C155,$C$133:$H$151,2,0)</f>
        <v>B24003</v>
      </c>
      <c r="E155" s="175">
        <f t="shared" si="11"/>
        <v>1.603</v>
      </c>
      <c r="F155" s="353">
        <f t="shared" si="14"/>
        <v>1940</v>
      </c>
      <c r="G155" s="175">
        <f t="shared" si="12"/>
        <v>1</v>
      </c>
      <c r="H155" s="192">
        <f>ROUNDUP((F155*G155)/6400,0)</f>
        <v>1</v>
      </c>
      <c r="I155" s="501"/>
      <c r="J155" s="501"/>
    </row>
    <row r="156" spans="1:14" s="1" customFormat="1" ht="15" customHeight="1" outlineLevel="1">
      <c r="A156" s="18">
        <f>IF(B156="","",+A155+1)</f>
        <v>4</v>
      </c>
      <c r="B156" s="173" t="str">
        <f t="shared" si="10"/>
        <v>ตัวตับธรณี</v>
      </c>
      <c r="C156" s="173" t="str">
        <f t="shared" si="10"/>
        <v>DOOR STOP SILL</v>
      </c>
      <c r="D156" s="174" t="str">
        <f>VLOOKUP(C156,$C$133:$H$151,2,0)</f>
        <v>B24004</v>
      </c>
      <c r="E156" s="175">
        <f t="shared" si="11"/>
        <v>0.51600000000000001</v>
      </c>
      <c r="F156" s="353">
        <f t="shared" si="14"/>
        <v>1940</v>
      </c>
      <c r="G156" s="175">
        <f t="shared" si="12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si="15"/>
        <v>5</v>
      </c>
      <c r="B157" s="173" t="str">
        <f t="shared" si="10"/>
        <v>เฟรมข้าง (ซ้าย)</v>
      </c>
      <c r="C157" s="173" t="str">
        <f t="shared" si="10"/>
        <v>JAMB (L)</v>
      </c>
      <c r="D157" s="508" t="str">
        <f>VLOOKUP(C157,$C$133:$H$151,2,0)</f>
        <v>B24005</v>
      </c>
      <c r="E157" s="175">
        <f t="shared" si="11"/>
        <v>0.89300000000000002</v>
      </c>
      <c r="F157" s="353">
        <f t="shared" si="14"/>
        <v>2500</v>
      </c>
      <c r="G157" s="175">
        <f t="shared" si="12"/>
        <v>1</v>
      </c>
      <c r="H157" s="516">
        <f>ROUNDUP(((F157*G157)+(F158*G158))/6400,0)</f>
        <v>1</v>
      </c>
      <c r="I157" s="506"/>
      <c r="J157" s="506"/>
    </row>
    <row r="158" spans="1:14" s="1" customFormat="1" ht="15" customHeight="1" outlineLevel="1">
      <c r="A158" s="18">
        <f t="shared" si="15"/>
        <v>6</v>
      </c>
      <c r="B158" s="173" t="str">
        <f t="shared" si="10"/>
        <v>เฟรมข้าง (ขวา)</v>
      </c>
      <c r="C158" s="173" t="str">
        <f t="shared" si="10"/>
        <v>JAMB (R)</v>
      </c>
      <c r="D158" s="509"/>
      <c r="E158" s="175">
        <f t="shared" si="11"/>
        <v>0.89300000000000002</v>
      </c>
      <c r="F158" s="353">
        <f t="shared" si="14"/>
        <v>2500</v>
      </c>
      <c r="G158" s="175">
        <f t="shared" si="12"/>
        <v>1</v>
      </c>
      <c r="H158" s="516"/>
      <c r="I158" s="506"/>
      <c r="J158" s="506"/>
    </row>
    <row r="159" spans="1:14" s="1" customFormat="1" ht="15" customHeight="1" outlineLevel="1">
      <c r="A159" s="18">
        <f t="shared" si="15"/>
        <v>7</v>
      </c>
      <c r="B159" s="173" t="str">
        <f t="shared" si="10"/>
        <v>บังใบข้าง (ซ้าย)</v>
      </c>
      <c r="C159" s="173" t="str">
        <f t="shared" si="10"/>
        <v>DOOR STOP JAMB (L)</v>
      </c>
      <c r="D159" s="508" t="str">
        <f>VLOOKUP(C159,$C$133:$H$151,2,0)</f>
        <v>B24006</v>
      </c>
      <c r="E159" s="175">
        <f t="shared" si="11"/>
        <v>0.23499999999999999</v>
      </c>
      <c r="F159" s="353">
        <f t="shared" si="14"/>
        <v>2404</v>
      </c>
      <c r="G159" s="175">
        <f t="shared" si="12"/>
        <v>1</v>
      </c>
      <c r="H159" s="516">
        <f>ROUNDUP(((F159*G159)+(F160*G160))/6400,0)</f>
        <v>1</v>
      </c>
      <c r="I159" s="501"/>
      <c r="J159" s="501"/>
    </row>
    <row r="160" spans="1:14" s="1" customFormat="1" ht="15" customHeight="1" outlineLevel="1">
      <c r="A160" s="18">
        <f t="shared" ref="A160:A170" si="16">IF(B160="","",+A159+1)</f>
        <v>8</v>
      </c>
      <c r="B160" s="173" t="str">
        <f t="shared" ref="B160:C160" si="17">B140</f>
        <v>บังใบข้าง (ขวา)</v>
      </c>
      <c r="C160" s="173" t="str">
        <f t="shared" si="17"/>
        <v>DOOR STOP JAMB (R)</v>
      </c>
      <c r="D160" s="509"/>
      <c r="E160" s="175">
        <f t="shared" ref="E160:E170" si="18">VLOOKUP(C160,$C$133:$H$151,3,0)</f>
        <v>0.23499999999999999</v>
      </c>
      <c r="F160" s="353">
        <f t="shared" ref="F160:F170" si="19">VLOOKUP(C160,$C$133:$I$151,7,0)</f>
        <v>2404</v>
      </c>
      <c r="G160" s="175">
        <f t="shared" ref="G160:G170" si="20">VLOOKUP(C160,$C$133:$J$151,8,0)</f>
        <v>1</v>
      </c>
      <c r="H160" s="516"/>
      <c r="I160" s="506"/>
      <c r="J160" s="506"/>
    </row>
    <row r="161" spans="1:23" s="1" customFormat="1" ht="13.8" outlineLevel="1">
      <c r="A161" s="18">
        <f t="shared" si="16"/>
        <v>9</v>
      </c>
      <c r="B161" s="173" t="str">
        <f t="shared" ref="B161:C161" si="21">B141</f>
        <v>ขวางบน</v>
      </c>
      <c r="C161" s="173" t="str">
        <f t="shared" si="21"/>
        <v>SASH (Hor) (T)</v>
      </c>
      <c r="D161" s="508" t="str">
        <f t="shared" ref="D161:D169" si="22">VLOOKUP(C161,$C$133:$H$151,2,0)</f>
        <v>B24007</v>
      </c>
      <c r="E161" s="175">
        <f t="shared" si="18"/>
        <v>1.1060000000000001</v>
      </c>
      <c r="F161" s="353">
        <f t="shared" si="19"/>
        <v>62.045454545454547</v>
      </c>
      <c r="G161" s="175">
        <f t="shared" si="20"/>
        <v>11</v>
      </c>
      <c r="H161" s="512">
        <f>ROUNDUP(((F161*G161)+(F162*G162)+(F163*G163)+(F164*G164)+(F165*G165)+(F166*G166))/6400,0)</f>
        <v>9</v>
      </c>
      <c r="I161" s="506"/>
      <c r="J161" s="506"/>
    </row>
    <row r="162" spans="1:23" s="1" customFormat="1" ht="13.8" outlineLevel="1">
      <c r="A162" s="18">
        <f t="shared" si="16"/>
        <v>10</v>
      </c>
      <c r="B162" s="173" t="str">
        <f t="shared" ref="B162:C162" si="23">B142</f>
        <v>ขวางล่าง</v>
      </c>
      <c r="C162" s="173" t="str">
        <f t="shared" si="23"/>
        <v>SASH (Hor) (B)</v>
      </c>
      <c r="D162" s="510"/>
      <c r="E162" s="175">
        <f t="shared" si="18"/>
        <v>1.1060000000000001</v>
      </c>
      <c r="F162" s="353">
        <f t="shared" si="19"/>
        <v>62.045454545454547</v>
      </c>
      <c r="G162" s="175">
        <f t="shared" si="20"/>
        <v>11</v>
      </c>
      <c r="H162" s="514"/>
      <c r="I162" s="506"/>
      <c r="J162" s="506"/>
    </row>
    <row r="163" spans="1:23" s="1" customFormat="1" ht="13.8" outlineLevel="1">
      <c r="A163" s="18">
        <f t="shared" si="16"/>
        <v>11</v>
      </c>
      <c r="B163" s="173" t="str">
        <f t="shared" ref="B163:C163" si="24">B143</f>
        <v>เสา</v>
      </c>
      <c r="C163" s="173" t="str">
        <f t="shared" si="24"/>
        <v xml:space="preserve">SASH (Ver) </v>
      </c>
      <c r="D163" s="510"/>
      <c r="E163" s="175">
        <f t="shared" si="18"/>
        <v>1.1060000000000001</v>
      </c>
      <c r="F163" s="353">
        <f t="shared" si="19"/>
        <v>2408</v>
      </c>
      <c r="G163" s="175">
        <f t="shared" si="20"/>
        <v>16</v>
      </c>
      <c r="H163" s="514"/>
      <c r="I163" s="506"/>
      <c r="J163" s="506"/>
    </row>
    <row r="164" spans="1:23" s="1" customFormat="1" ht="13.8" outlineLevel="1">
      <c r="A164" s="18">
        <f t="shared" si="16"/>
        <v>12</v>
      </c>
      <c r="B164" s="173" t="str">
        <f t="shared" ref="B164:C164" si="25">B144</f>
        <v>เสากุญแจ</v>
      </c>
      <c r="C164" s="173" t="str">
        <f t="shared" si="25"/>
        <v xml:space="preserve">SASH (Ver) LOCK </v>
      </c>
      <c r="D164" s="510"/>
      <c r="E164" s="175">
        <f t="shared" si="18"/>
        <v>1.1060000000000001</v>
      </c>
      <c r="F164" s="353">
        <f t="shared" si="19"/>
        <v>2408</v>
      </c>
      <c r="G164" s="175">
        <f t="shared" si="20"/>
        <v>2</v>
      </c>
      <c r="H164" s="514"/>
      <c r="I164" s="506"/>
      <c r="J164" s="506"/>
    </row>
    <row r="165" spans="1:23" s="1" customFormat="1" ht="13.8" outlineLevel="1">
      <c r="A165" s="18">
        <f t="shared" si="16"/>
        <v>13</v>
      </c>
      <c r="B165" s="173" t="str">
        <f t="shared" ref="B165:C165" si="26">B145</f>
        <v>เสากุญแจ</v>
      </c>
      <c r="C165" s="173" t="str">
        <f t="shared" si="26"/>
        <v xml:space="preserve">SASH (Ver) LOCK  </v>
      </c>
      <c r="D165" s="510"/>
      <c r="E165" s="175">
        <f t="shared" si="18"/>
        <v>1.1060000000000001</v>
      </c>
      <c r="F165" s="353">
        <f t="shared" si="19"/>
        <v>2408</v>
      </c>
      <c r="G165" s="175">
        <f t="shared" si="20"/>
        <v>3</v>
      </c>
      <c r="H165" s="514"/>
      <c r="I165" s="506"/>
      <c r="J165" s="506"/>
    </row>
    <row r="166" spans="1:23" s="1" customFormat="1" ht="15" customHeight="1" outlineLevel="1">
      <c r="A166" s="18">
        <f t="shared" si="16"/>
        <v>14</v>
      </c>
      <c r="B166" s="173" t="str">
        <f t="shared" ref="B166:C166" si="27">B146</f>
        <v>เสากุญแจมือจับ</v>
      </c>
      <c r="C166" s="173" t="str">
        <f t="shared" si="27"/>
        <v>SASH (Ver) LOCK HANDLE</v>
      </c>
      <c r="D166" s="509"/>
      <c r="E166" s="175">
        <f t="shared" si="18"/>
        <v>1.1060000000000001</v>
      </c>
      <c r="F166" s="353">
        <f t="shared" si="19"/>
        <v>2408</v>
      </c>
      <c r="G166" s="175">
        <f t="shared" si="20"/>
        <v>1</v>
      </c>
      <c r="H166" s="515"/>
      <c r="I166" s="501"/>
      <c r="J166" s="501"/>
    </row>
    <row r="167" spans="1:23" s="1" customFormat="1" ht="15" customHeight="1" outlineLevel="1">
      <c r="A167" s="18">
        <f t="shared" si="16"/>
        <v>15</v>
      </c>
      <c r="B167" s="173" t="str">
        <f t="shared" ref="B167:C167" si="28">B147</f>
        <v>5-6mm คิ้วตบกระจกแนวนอน</v>
      </c>
      <c r="C167" s="173" t="str">
        <f t="shared" si="28"/>
        <v>5-6mm GLAZING BEAD HORIZONTAL</v>
      </c>
      <c r="D167" s="508" t="str">
        <f t="shared" si="22"/>
        <v>B24008</v>
      </c>
      <c r="E167" s="175">
        <f t="shared" si="18"/>
        <v>0.23100000000000001</v>
      </c>
      <c r="F167" s="353">
        <f t="shared" si="19"/>
        <v>62.045454545454547</v>
      </c>
      <c r="G167" s="175">
        <f t="shared" si="20"/>
        <v>22</v>
      </c>
      <c r="H167" s="516">
        <f>ROUNDUP(((F167*G167)+(F168*G168))/6400,0)</f>
        <v>8</v>
      </c>
      <c r="I167" s="266"/>
      <c r="J167" s="266"/>
    </row>
    <row r="168" spans="1:23" s="1" customFormat="1" ht="15" customHeight="1" outlineLevel="1">
      <c r="A168" s="18">
        <f t="shared" si="16"/>
        <v>16</v>
      </c>
      <c r="B168" s="173" t="str">
        <f t="shared" ref="B168:C168" si="29">B148</f>
        <v>5-6mm คิ้วตบกระจกแนวตั้ง</v>
      </c>
      <c r="C168" s="173" t="str">
        <f t="shared" si="29"/>
        <v>5-6mm GLAZING BEAD VERTICAL</v>
      </c>
      <c r="D168" s="509"/>
      <c r="E168" s="175">
        <f t="shared" si="18"/>
        <v>0.23100000000000001</v>
      </c>
      <c r="F168" s="353">
        <f t="shared" si="19"/>
        <v>2258</v>
      </c>
      <c r="G168" s="175">
        <f t="shared" si="20"/>
        <v>22</v>
      </c>
      <c r="H168" s="516"/>
      <c r="I168" s="266"/>
      <c r="J168" s="266"/>
    </row>
    <row r="169" spans="1:23" s="1" customFormat="1" ht="13.8" outlineLevel="1">
      <c r="A169" s="18">
        <f t="shared" si="16"/>
        <v>17</v>
      </c>
      <c r="B169" s="173" t="str">
        <f t="shared" ref="B169:C169" si="30">B149</f>
        <v>บังใบ</v>
      </c>
      <c r="C169" s="173" t="str">
        <f t="shared" si="30"/>
        <v>SASH STOP</v>
      </c>
      <c r="D169" s="508" t="str">
        <f t="shared" si="22"/>
        <v>B24009</v>
      </c>
      <c r="E169" s="175">
        <f t="shared" si="18"/>
        <v>0</v>
      </c>
      <c r="F169" s="353">
        <f t="shared" si="19"/>
        <v>2408</v>
      </c>
      <c r="G169" s="175">
        <f t="shared" si="20"/>
        <v>1</v>
      </c>
      <c r="H169" s="516">
        <f>ROUNDUP(((F169*G169)+(F170*G170))/6400,0)</f>
        <v>1</v>
      </c>
      <c r="I169" s="266"/>
      <c r="J169" s="266"/>
    </row>
    <row r="170" spans="1:23" s="1" customFormat="1" outlineLevel="1" thickBot="1">
      <c r="A170" s="18">
        <f t="shared" si="16"/>
        <v>18</v>
      </c>
      <c r="B170" s="173" t="str">
        <f t="shared" ref="B170:C170" si="31">B150</f>
        <v>บังใบ</v>
      </c>
      <c r="C170" s="173" t="str">
        <f t="shared" si="31"/>
        <v>SASH STOP</v>
      </c>
      <c r="D170" s="511"/>
      <c r="E170" s="175">
        <f t="shared" si="18"/>
        <v>0</v>
      </c>
      <c r="F170" s="353">
        <f t="shared" si="19"/>
        <v>2408</v>
      </c>
      <c r="G170" s="175">
        <f t="shared" si="20"/>
        <v>1</v>
      </c>
      <c r="H170" s="516"/>
      <c r="I170" s="266"/>
      <c r="J170" s="266"/>
    </row>
    <row r="171" spans="1:23" s="1" customFormat="1" ht="24.9" customHeight="1" thickBot="1">
      <c r="A171" s="529" t="s">
        <v>9</v>
      </c>
      <c r="B171" s="530"/>
      <c r="C171" s="530"/>
      <c r="D171" s="530"/>
      <c r="E171" s="530"/>
      <c r="F171" s="530"/>
      <c r="G171" s="530"/>
      <c r="H171" s="530"/>
      <c r="I171" s="530"/>
      <c r="J171" s="531"/>
    </row>
    <row r="172" spans="1:23" s="1" customFormat="1" ht="35.1" customHeight="1" thickBot="1">
      <c r="A172" s="102" t="s">
        <v>2</v>
      </c>
      <c r="B172" s="103" t="s">
        <v>29</v>
      </c>
      <c r="C172" s="103" t="s">
        <v>3</v>
      </c>
      <c r="D172" s="103" t="s">
        <v>199</v>
      </c>
      <c r="E172" s="103" t="s">
        <v>5</v>
      </c>
      <c r="F172" s="104" t="s">
        <v>28</v>
      </c>
      <c r="G172" s="103" t="s">
        <v>19</v>
      </c>
      <c r="H172" s="104" t="s">
        <v>200</v>
      </c>
      <c r="I172" s="104" t="s">
        <v>20</v>
      </c>
      <c r="J172" s="115" t="s">
        <v>201</v>
      </c>
      <c r="N172" s="101" t="s">
        <v>191</v>
      </c>
      <c r="O172" s="246" t="s">
        <v>29</v>
      </c>
      <c r="P172" s="246" t="s">
        <v>3</v>
      </c>
      <c r="Q172" s="246" t="s">
        <v>199</v>
      </c>
      <c r="R172" s="246" t="s">
        <v>5</v>
      </c>
      <c r="S172" s="246" t="s">
        <v>28</v>
      </c>
      <c r="T172" s="246" t="s">
        <v>19</v>
      </c>
      <c r="U172" s="246" t="s">
        <v>200</v>
      </c>
      <c r="V172" s="246" t="s">
        <v>20</v>
      </c>
      <c r="W172" s="246" t="s">
        <v>201</v>
      </c>
    </row>
    <row r="173" spans="1:23" s="1" customFormat="1" ht="18" customHeight="1">
      <c r="A173" s="200">
        <f>IF(B173="","",1)</f>
        <v>1</v>
      </c>
      <c r="B173" s="140" t="s">
        <v>111</v>
      </c>
      <c r="C173" s="140" t="s">
        <v>67</v>
      </c>
      <c r="D173" s="139" t="s">
        <v>74</v>
      </c>
      <c r="E173" s="143"/>
      <c r="F173" s="143" t="s">
        <v>74</v>
      </c>
      <c r="G173" s="143" t="s">
        <v>202</v>
      </c>
      <c r="H173" s="143">
        <v>22</v>
      </c>
      <c r="I173" s="130"/>
      <c r="J173" s="131">
        <f>$J$120*H173</f>
        <v>22</v>
      </c>
      <c r="N173" s="101" t="s">
        <v>226</v>
      </c>
      <c r="O173" s="280" t="s">
        <v>252</v>
      </c>
      <c r="P173" s="290" t="s">
        <v>248</v>
      </c>
      <c r="Q173" s="280" t="s">
        <v>69</v>
      </c>
      <c r="R173" s="213"/>
      <c r="S173" s="213" t="s">
        <v>69</v>
      </c>
      <c r="T173" s="213" t="s">
        <v>198</v>
      </c>
      <c r="U173" s="291">
        <f>((($I$141*$G$141)+($I$142*$G$142)+($I$143*$G$143)+($I$144*$G$144)+($I$145*$G$145)+($I$146*$G$146))/1000)*$J$120</f>
        <v>54.341000000000001</v>
      </c>
      <c r="V173" s="291">
        <v>100</v>
      </c>
      <c r="W173" s="292">
        <f>ROUNDUP((U173)/100,0)</f>
        <v>1</v>
      </c>
    </row>
    <row r="174" spans="1:23" s="1" customFormat="1" ht="18" customHeight="1">
      <c r="A174" s="201">
        <f>IF(B174="","",+A173+1)</f>
        <v>2</v>
      </c>
      <c r="B174" s="140" t="s">
        <v>106</v>
      </c>
      <c r="C174" s="140" t="s">
        <v>503</v>
      </c>
      <c r="D174" s="139" t="s">
        <v>75</v>
      </c>
      <c r="E174" s="143"/>
      <c r="F174" s="143" t="s">
        <v>75</v>
      </c>
      <c r="G174" s="143" t="s">
        <v>202</v>
      </c>
      <c r="H174" s="143">
        <v>2</v>
      </c>
      <c r="I174" s="130"/>
      <c r="J174" s="131">
        <f t="shared" ref="J174:J201" si="32">$J$120*H174</f>
        <v>2</v>
      </c>
      <c r="N174" s="101" t="s">
        <v>230</v>
      </c>
      <c r="O174" s="280" t="s">
        <v>253</v>
      </c>
      <c r="P174" s="290" t="s">
        <v>249</v>
      </c>
      <c r="Q174" s="280" t="s">
        <v>188</v>
      </c>
      <c r="R174" s="213"/>
      <c r="S174" s="213" t="s">
        <v>188</v>
      </c>
      <c r="T174" s="213" t="s">
        <v>198</v>
      </c>
      <c r="U174" s="291">
        <f>((($I$141*$G$141)+($I$142*$G$142)+($I$143*$G$143)+($I$144*$G$144)+($I$145*$G$145)+($I$146*$G$146))/1000)*$J$120</f>
        <v>54.341000000000001</v>
      </c>
      <c r="V174" s="291">
        <v>100</v>
      </c>
      <c r="W174" s="292">
        <f t="shared" ref="W174:W177" si="33">ROUNDUP((U174)/100,0)</f>
        <v>1</v>
      </c>
    </row>
    <row r="175" spans="1:23" s="1" customFormat="1" ht="18" customHeight="1">
      <c r="A175" s="201">
        <f t="shared" ref="A175:A204" si="34">IF(B175="","",+A174+1)</f>
        <v>3</v>
      </c>
      <c r="B175" s="140" t="s">
        <v>107</v>
      </c>
      <c r="C175" s="140" t="s">
        <v>504</v>
      </c>
      <c r="D175" s="139" t="s">
        <v>76</v>
      </c>
      <c r="E175" s="143"/>
      <c r="F175" s="143" t="s">
        <v>76</v>
      </c>
      <c r="G175" s="143" t="s">
        <v>202</v>
      </c>
      <c r="H175" s="143">
        <v>2</v>
      </c>
      <c r="I175" s="130"/>
      <c r="J175" s="131">
        <f t="shared" si="32"/>
        <v>2</v>
      </c>
      <c r="N175" s="101" t="s">
        <v>229</v>
      </c>
      <c r="O175" s="290" t="s">
        <v>254</v>
      </c>
      <c r="P175" s="290" t="s">
        <v>250</v>
      </c>
      <c r="Q175" s="280" t="s">
        <v>70</v>
      </c>
      <c r="R175" s="213"/>
      <c r="S175" s="213" t="s">
        <v>70</v>
      </c>
      <c r="T175" s="213" t="s">
        <v>198</v>
      </c>
      <c r="U175" s="291">
        <f>((($I$141*$G$141)+($I$142*$G$142)+($I$143*$G$143)+($I$144*$G$144)+($I$145*$G$145)+($I$146*$G$146))/1000)*$J$120</f>
        <v>54.341000000000001</v>
      </c>
      <c r="V175" s="291">
        <v>100</v>
      </c>
      <c r="W175" s="292">
        <f t="shared" si="33"/>
        <v>1</v>
      </c>
    </row>
    <row r="176" spans="1:23" s="1" customFormat="1" ht="18" customHeight="1">
      <c r="A176" s="201">
        <f t="shared" si="34"/>
        <v>4</v>
      </c>
      <c r="B176" s="140" t="s">
        <v>108</v>
      </c>
      <c r="C176" s="140" t="s">
        <v>10</v>
      </c>
      <c r="D176" s="139">
        <v>9</v>
      </c>
      <c r="E176" s="143"/>
      <c r="F176" s="143">
        <v>9</v>
      </c>
      <c r="G176" s="143" t="s">
        <v>202</v>
      </c>
      <c r="H176" s="143">
        <v>8</v>
      </c>
      <c r="I176" s="130"/>
      <c r="J176" s="131">
        <f t="shared" si="32"/>
        <v>8</v>
      </c>
      <c r="N176" s="101" t="s">
        <v>231</v>
      </c>
      <c r="O176" s="290" t="s">
        <v>255</v>
      </c>
      <c r="P176" s="290" t="s">
        <v>251</v>
      </c>
      <c r="Q176" s="280" t="s">
        <v>189</v>
      </c>
      <c r="R176" s="213"/>
      <c r="S176" s="213" t="s">
        <v>189</v>
      </c>
      <c r="T176" s="213" t="s">
        <v>198</v>
      </c>
      <c r="U176" s="291">
        <f>((($I$141*$G$141)+($I$142*$G$142)+($I$143*$G$143)+($I$144*$G$144)+($I$145*$G$145)+($I$146*$G$146))/1000)*$J$120</f>
        <v>54.341000000000001</v>
      </c>
      <c r="V176" s="291">
        <v>100</v>
      </c>
      <c r="W176" s="292">
        <f t="shared" si="33"/>
        <v>1</v>
      </c>
    </row>
    <row r="177" spans="1:23" s="1" customFormat="1" ht="18" customHeight="1">
      <c r="A177" s="201">
        <f t="shared" si="34"/>
        <v>5</v>
      </c>
      <c r="B177" s="140" t="s">
        <v>109</v>
      </c>
      <c r="C177" s="140" t="s">
        <v>68</v>
      </c>
      <c r="D177" s="139">
        <v>9</v>
      </c>
      <c r="E177" s="143"/>
      <c r="F177" s="143">
        <v>9</v>
      </c>
      <c r="G177" s="143" t="s">
        <v>202</v>
      </c>
      <c r="H177" s="143">
        <v>110</v>
      </c>
      <c r="I177" s="130"/>
      <c r="J177" s="131">
        <f t="shared" si="32"/>
        <v>110</v>
      </c>
      <c r="N177" s="101" t="s">
        <v>232</v>
      </c>
      <c r="O177" s="290" t="s">
        <v>256</v>
      </c>
      <c r="P177" s="290" t="s">
        <v>247</v>
      </c>
      <c r="Q177" s="280" t="s">
        <v>233</v>
      </c>
      <c r="R177" s="213"/>
      <c r="S177" s="213" t="s">
        <v>233</v>
      </c>
      <c r="T177" s="213" t="s">
        <v>198</v>
      </c>
      <c r="U177" s="291">
        <f>((($I$141*$G$141)+($I$142*$G$142)+($I$143*$G$143)+($I$144*$G$144)+($I$145*$G$145)+($I$146*$G$146))/1000)*$J$120</f>
        <v>54.341000000000001</v>
      </c>
      <c r="V177" s="291">
        <v>100</v>
      </c>
      <c r="W177" s="292">
        <f t="shared" si="33"/>
        <v>1</v>
      </c>
    </row>
    <row r="178" spans="1:23" s="1" customFormat="1" ht="18" customHeight="1">
      <c r="A178" s="201">
        <f t="shared" si="34"/>
        <v>6</v>
      </c>
      <c r="B178" s="140" t="s">
        <v>132</v>
      </c>
      <c r="C178" s="140" t="s">
        <v>79</v>
      </c>
      <c r="D178" s="139" t="s">
        <v>82</v>
      </c>
      <c r="E178" s="143"/>
      <c r="F178" s="143" t="s">
        <v>82</v>
      </c>
      <c r="G178" s="143" t="s">
        <v>185</v>
      </c>
      <c r="H178" s="143">
        <v>2</v>
      </c>
      <c r="I178" s="130"/>
      <c r="J178" s="131">
        <f>$J$120*H178</f>
        <v>2</v>
      </c>
    </row>
    <row r="179" spans="1:23" s="1" customFormat="1" ht="18" customHeight="1">
      <c r="A179" s="201">
        <f t="shared" si="34"/>
        <v>7</v>
      </c>
      <c r="B179" s="140" t="s">
        <v>143</v>
      </c>
      <c r="C179" s="140" t="s">
        <v>121</v>
      </c>
      <c r="D179" s="139" t="s">
        <v>103</v>
      </c>
      <c r="E179" s="143"/>
      <c r="F179" s="143" t="s">
        <v>103</v>
      </c>
      <c r="G179" s="143" t="s">
        <v>185</v>
      </c>
      <c r="H179" s="143">
        <v>3</v>
      </c>
      <c r="I179" s="130"/>
      <c r="J179" s="131"/>
    </row>
    <row r="180" spans="1:23" s="1" customFormat="1" ht="18" customHeight="1">
      <c r="A180" s="201">
        <f t="shared" si="34"/>
        <v>8</v>
      </c>
      <c r="B180" s="140" t="s">
        <v>118</v>
      </c>
      <c r="C180" s="140" t="s">
        <v>77</v>
      </c>
      <c r="D180" s="139" t="s">
        <v>80</v>
      </c>
      <c r="E180" s="143"/>
      <c r="F180" s="143" t="s">
        <v>80</v>
      </c>
      <c r="G180" s="143" t="s">
        <v>185</v>
      </c>
      <c r="H180" s="143">
        <v>1</v>
      </c>
      <c r="I180" s="130"/>
      <c r="J180" s="131">
        <f t="shared" si="32"/>
        <v>1</v>
      </c>
    </row>
    <row r="181" spans="1:23" s="1" customFormat="1" ht="18" customHeight="1">
      <c r="A181" s="201">
        <f t="shared" si="34"/>
        <v>9</v>
      </c>
      <c r="B181" s="140" t="s">
        <v>120</v>
      </c>
      <c r="C181" s="140" t="s">
        <v>94</v>
      </c>
      <c r="D181" s="139" t="s">
        <v>96</v>
      </c>
      <c r="E181" s="143"/>
      <c r="F181" s="143" t="s">
        <v>96</v>
      </c>
      <c r="G181" s="143" t="s">
        <v>185</v>
      </c>
      <c r="H181" s="143">
        <v>1</v>
      </c>
      <c r="I181" s="130"/>
      <c r="J181" s="131">
        <f t="shared" si="32"/>
        <v>1</v>
      </c>
    </row>
    <row r="182" spans="1:23" s="1" customFormat="1" ht="18" customHeight="1">
      <c r="A182" s="201">
        <f t="shared" si="34"/>
        <v>10</v>
      </c>
      <c r="B182" s="140" t="s">
        <v>119</v>
      </c>
      <c r="C182" s="140" t="s">
        <v>78</v>
      </c>
      <c r="D182" s="139" t="s">
        <v>81</v>
      </c>
      <c r="E182" s="143"/>
      <c r="F182" s="143" t="s">
        <v>81</v>
      </c>
      <c r="G182" s="143" t="s">
        <v>185</v>
      </c>
      <c r="H182" s="143">
        <v>1</v>
      </c>
      <c r="I182" s="130"/>
      <c r="J182" s="131">
        <f>$J$120*H182</f>
        <v>1</v>
      </c>
      <c r="N182" s="56"/>
      <c r="O182" s="56"/>
      <c r="P182" s="56"/>
      <c r="Q182" s="289"/>
      <c r="R182" s="289"/>
      <c r="S182" s="289"/>
      <c r="T182" s="17"/>
      <c r="U182" s="17"/>
      <c r="V182" s="17"/>
      <c r="W182" s="56"/>
    </row>
    <row r="183" spans="1:23" s="1" customFormat="1" ht="18" customHeight="1">
      <c r="A183" s="201">
        <f t="shared" si="34"/>
        <v>11</v>
      </c>
      <c r="B183" s="140" t="s">
        <v>131</v>
      </c>
      <c r="C183" s="140" t="s">
        <v>100</v>
      </c>
      <c r="D183" s="139" t="s">
        <v>102</v>
      </c>
      <c r="E183" s="143"/>
      <c r="F183" s="143" t="s">
        <v>102</v>
      </c>
      <c r="G183" s="143" t="s">
        <v>185</v>
      </c>
      <c r="H183" s="143">
        <v>4</v>
      </c>
      <c r="I183" s="144"/>
      <c r="J183" s="131">
        <f t="shared" si="32"/>
        <v>4</v>
      </c>
      <c r="N183" s="101" t="s">
        <v>227</v>
      </c>
      <c r="O183" s="246" t="s">
        <v>29</v>
      </c>
      <c r="P183" s="246" t="s">
        <v>3</v>
      </c>
      <c r="Q183" s="246" t="s">
        <v>199</v>
      </c>
      <c r="R183" s="246" t="s">
        <v>5</v>
      </c>
      <c r="S183" s="246" t="s">
        <v>28</v>
      </c>
      <c r="T183" s="246" t="s">
        <v>19</v>
      </c>
      <c r="U183" s="246" t="s">
        <v>200</v>
      </c>
      <c r="V183" s="246" t="s">
        <v>20</v>
      </c>
      <c r="W183" s="246" t="s">
        <v>201</v>
      </c>
    </row>
    <row r="184" spans="1:23" s="1" customFormat="1" ht="18" customHeight="1">
      <c r="A184" s="201">
        <f t="shared" si="34"/>
        <v>12</v>
      </c>
      <c r="B184" s="140" t="s">
        <v>113</v>
      </c>
      <c r="C184" s="140" t="s">
        <v>502</v>
      </c>
      <c r="D184" s="139" t="s">
        <v>83</v>
      </c>
      <c r="E184" s="143"/>
      <c r="F184" s="143" t="s">
        <v>83</v>
      </c>
      <c r="G184" s="143" t="s">
        <v>185</v>
      </c>
      <c r="H184" s="143">
        <v>5</v>
      </c>
      <c r="I184" s="144"/>
      <c r="J184" s="131">
        <f t="shared" ref="J184:J188" si="35">$J$120*H184</f>
        <v>5</v>
      </c>
      <c r="N184" s="101" t="s">
        <v>240</v>
      </c>
      <c r="O184" s="290" t="s">
        <v>234</v>
      </c>
      <c r="P184" s="290" t="s">
        <v>236</v>
      </c>
      <c r="Q184" s="280" t="s">
        <v>190</v>
      </c>
      <c r="R184" s="213"/>
      <c r="S184" s="213" t="s">
        <v>190</v>
      </c>
      <c r="T184" s="213" t="s">
        <v>198</v>
      </c>
      <c r="U184" s="291">
        <f>((($I$134*$G$134)+($I$136*$G$136)+($I$139*$G$139))/1000)*$J$120</f>
        <v>6.258</v>
      </c>
      <c r="V184" s="291">
        <v>300</v>
      </c>
      <c r="W184" s="292">
        <f>ROUNDUP((U184)/V184,0)</f>
        <v>1</v>
      </c>
    </row>
    <row r="185" spans="1:23" s="1" customFormat="1" ht="18" customHeight="1">
      <c r="A185" s="201">
        <f t="shared" si="34"/>
        <v>13</v>
      </c>
      <c r="B185" s="140" t="s">
        <v>122</v>
      </c>
      <c r="C185" s="140" t="s">
        <v>101</v>
      </c>
      <c r="D185" s="139" t="s">
        <v>104</v>
      </c>
      <c r="E185" s="143"/>
      <c r="F185" s="143" t="s">
        <v>104</v>
      </c>
      <c r="G185" s="143" t="s">
        <v>185</v>
      </c>
      <c r="H185" s="143">
        <v>1</v>
      </c>
      <c r="I185" s="130"/>
      <c r="J185" s="131">
        <f t="shared" si="35"/>
        <v>1</v>
      </c>
      <c r="N185" s="101" t="s">
        <v>241</v>
      </c>
      <c r="O185" s="290" t="s">
        <v>235</v>
      </c>
      <c r="P185" s="290" t="s">
        <v>238</v>
      </c>
      <c r="Q185" s="280" t="s">
        <v>71</v>
      </c>
      <c r="R185" s="213"/>
      <c r="S185" s="213" t="s">
        <v>71</v>
      </c>
      <c r="T185" s="213" t="s">
        <v>198</v>
      </c>
      <c r="U185" s="291">
        <f>((($I$134*$G$134)+($I$136*$G$136)+($I$139*$G$139))/1000)*$J$120</f>
        <v>6.258</v>
      </c>
      <c r="V185" s="291">
        <v>100</v>
      </c>
      <c r="W185" s="292">
        <f t="shared" ref="W185:W187" si="36">ROUNDUP((U185)/V185,0)</f>
        <v>1</v>
      </c>
    </row>
    <row r="186" spans="1:23" s="1" customFormat="1" ht="18" customHeight="1">
      <c r="A186" s="201">
        <f t="shared" si="34"/>
        <v>14</v>
      </c>
      <c r="B186" s="140" t="s">
        <v>112</v>
      </c>
      <c r="C186" s="140" t="s">
        <v>114</v>
      </c>
      <c r="D186" s="128" t="s">
        <v>520</v>
      </c>
      <c r="E186" s="129"/>
      <c r="F186" s="129" t="s">
        <v>520</v>
      </c>
      <c r="G186" s="143" t="s">
        <v>202</v>
      </c>
      <c r="H186" s="143">
        <v>10</v>
      </c>
      <c r="I186" s="130"/>
      <c r="J186" s="131">
        <f t="shared" si="35"/>
        <v>10</v>
      </c>
      <c r="N186" s="101" t="s">
        <v>240</v>
      </c>
      <c r="O186" s="290" t="s">
        <v>245</v>
      </c>
      <c r="P186" s="290" t="s">
        <v>237</v>
      </c>
      <c r="Q186" s="280" t="s">
        <v>72</v>
      </c>
      <c r="R186" s="213"/>
      <c r="S186" s="213" t="s">
        <v>72</v>
      </c>
      <c r="T186" s="213" t="s">
        <v>198</v>
      </c>
      <c r="U186" s="291">
        <f>((($I$141*$G$141*2)+($I$143*$G$143*2)+($I$144*$G$144*2)+($I$145*($G$145-1)*2))/1000)*$J$120</f>
        <v>97.685000000000002</v>
      </c>
      <c r="V186" s="291">
        <v>350</v>
      </c>
      <c r="W186" s="292">
        <f t="shared" si="36"/>
        <v>1</v>
      </c>
    </row>
    <row r="187" spans="1:23" s="1" customFormat="1" ht="18" customHeight="1">
      <c r="A187" s="201">
        <f t="shared" si="34"/>
        <v>15</v>
      </c>
      <c r="B187" s="140" t="s">
        <v>115</v>
      </c>
      <c r="C187" s="140" t="s">
        <v>45</v>
      </c>
      <c r="D187" s="139" t="s">
        <v>84</v>
      </c>
      <c r="E187" s="143"/>
      <c r="F187" s="143" t="s">
        <v>84</v>
      </c>
      <c r="G187" s="143" t="s">
        <v>202</v>
      </c>
      <c r="H187" s="143">
        <v>1</v>
      </c>
      <c r="I187" s="130"/>
      <c r="J187" s="131">
        <f t="shared" si="35"/>
        <v>1</v>
      </c>
      <c r="N187" s="101" t="s">
        <v>241</v>
      </c>
      <c r="O187" s="290" t="s">
        <v>246</v>
      </c>
      <c r="P187" s="290" t="s">
        <v>239</v>
      </c>
      <c r="Q187" s="280" t="s">
        <v>193</v>
      </c>
      <c r="R187" s="213"/>
      <c r="S187" s="213" t="s">
        <v>193</v>
      </c>
      <c r="T187" s="213" t="s">
        <v>198</v>
      </c>
      <c r="U187" s="291">
        <f>((($I$141*$G$141*2)+($I$143*$G$143*2)+($I$144*$G$144*2)+($I$145*($G$145-1)*2))/1000)*$J$120</f>
        <v>97.685000000000002</v>
      </c>
      <c r="V187" s="291">
        <v>100</v>
      </c>
      <c r="W187" s="292">
        <f t="shared" si="36"/>
        <v>1</v>
      </c>
    </row>
    <row r="188" spans="1:23" s="1" customFormat="1" ht="18" customHeight="1">
      <c r="A188" s="201">
        <f t="shared" si="34"/>
        <v>16</v>
      </c>
      <c r="B188" s="140" t="s">
        <v>110</v>
      </c>
      <c r="C188" s="140" t="s">
        <v>66</v>
      </c>
      <c r="D188" s="139" t="s">
        <v>73</v>
      </c>
      <c r="E188" s="143"/>
      <c r="F188" s="143" t="s">
        <v>73</v>
      </c>
      <c r="G188" s="143" t="s">
        <v>202</v>
      </c>
      <c r="H188" s="143">
        <v>5</v>
      </c>
      <c r="I188" s="130"/>
      <c r="J188" s="131">
        <f t="shared" si="35"/>
        <v>5</v>
      </c>
    </row>
    <row r="189" spans="1:23" s="1" customFormat="1" ht="18" customHeight="1">
      <c r="A189" s="201">
        <f t="shared" si="34"/>
        <v>17</v>
      </c>
      <c r="B189" s="140" t="s">
        <v>512</v>
      </c>
      <c r="C189" s="140" t="s">
        <v>135</v>
      </c>
      <c r="D189" s="139" t="s">
        <v>137</v>
      </c>
      <c r="E189" s="143"/>
      <c r="F189" s="143" t="s">
        <v>137</v>
      </c>
      <c r="G189" s="143" t="s">
        <v>198</v>
      </c>
      <c r="H189" s="261">
        <f>((($I$149*$G$149)+($I$150*$G$150))/1000)*$J$120</f>
        <v>4.8159999999999998</v>
      </c>
      <c r="I189" s="258">
        <v>100</v>
      </c>
      <c r="J189" s="260">
        <f>ROUNDUP((H189)/100,0)</f>
        <v>1</v>
      </c>
    </row>
    <row r="190" spans="1:23" s="1" customFormat="1" ht="18" customHeight="1">
      <c r="A190" s="201">
        <f t="shared" si="34"/>
        <v>18</v>
      </c>
      <c r="B190" s="140" t="s">
        <v>513</v>
      </c>
      <c r="C190" s="140" t="s">
        <v>136</v>
      </c>
      <c r="D190" s="139" t="s">
        <v>138</v>
      </c>
      <c r="E190" s="143"/>
      <c r="F190" s="143" t="s">
        <v>138</v>
      </c>
      <c r="G190" s="143" t="s">
        <v>198</v>
      </c>
      <c r="H190" s="261">
        <f>((($I$146*$G$146*2))/1000)*$J$120</f>
        <v>4.8159999999999998</v>
      </c>
      <c r="I190" s="258">
        <v>100</v>
      </c>
      <c r="J190" s="260">
        <f t="shared" ref="J190:J194" si="37">ROUNDUP((H190)/100,0)</f>
        <v>1</v>
      </c>
    </row>
    <row r="191" spans="1:23" s="1" customFormat="1" ht="18" customHeight="1">
      <c r="A191" s="201">
        <f t="shared" si="34"/>
        <v>19</v>
      </c>
      <c r="B191" s="139" t="str">
        <f>IF($D$129="Standard",$O$184,IF($D$129="Soumdproof",$O$185,))</f>
        <v>ยางเฟรมกันน้ำ (ธรรมดา)</v>
      </c>
      <c r="C191" s="139" t="str">
        <f>IF($D$129="Standard",$P$184,IF($D$129="Soumdproof",$P$185,))</f>
        <v>FRAME SEAL (Standard)</v>
      </c>
      <c r="D191" s="139" t="str">
        <f>IF($D$129="Standard",$Q$184,IF($D$129="Soumdproof",$Q$185,))</f>
        <v>02-026</v>
      </c>
      <c r="E191" s="143">
        <f>IF($D$129="Standard",R189,IF($D$129="Soumdproof",R190,))</f>
        <v>0</v>
      </c>
      <c r="F191" s="143" t="str">
        <f>IF($D$129="Standard",$S$184,IF($D$129="Soumdproof",$S$185,))</f>
        <v>02-026</v>
      </c>
      <c r="G191" s="143" t="str">
        <f>IF($D$129="Standard",$T$184,IF($D$129="Soumdproof",$T$185,))</f>
        <v>M</v>
      </c>
      <c r="H191" s="261">
        <f>IF($D$129="Standard",$U$184,IF($D$129="Soumdproof",$U$185,))</f>
        <v>6.258</v>
      </c>
      <c r="I191" s="258">
        <f>IF($D$129="Standard",$V$184,IF($D$129="Soumdproof",$V$185,))</f>
        <v>300</v>
      </c>
      <c r="J191" s="260">
        <f t="shared" si="37"/>
        <v>1</v>
      </c>
    </row>
    <row r="192" spans="1:23" s="1" customFormat="1" ht="18" customHeight="1">
      <c r="A192" s="201">
        <f t="shared" si="34"/>
        <v>20</v>
      </c>
      <c r="B192" s="139" t="str">
        <f>IF($D$129="Standard",$O$186,IF($D$129="Soumdproof",$O$187,))</f>
        <v>ยางแซชกันน้ำ (ธรรมดา)</v>
      </c>
      <c r="C192" s="139" t="str">
        <f>IF($D$129="Standard",$P$186,IF($D$129="Soumdproof",$P$187,))</f>
        <v>SASH SEAL FOAM (Standard)</v>
      </c>
      <c r="D192" s="139" t="str">
        <f>IF($D$129="Standard",$Q$186,IF($D$129="Soumdproof",$Q$187,))</f>
        <v>02-031</v>
      </c>
      <c r="E192" s="143">
        <f>IF($D$129="Standard",R191,IF($D$129="Soumdproof",R192,))</f>
        <v>0</v>
      </c>
      <c r="F192" s="143" t="str">
        <f>IF($D$129="Standard",$S$186,IF($D$129="Soumdproof",$S$187,))</f>
        <v>02-031</v>
      </c>
      <c r="G192" s="143" t="str">
        <f>IF($D$129="Standard",$T$186,IF($D$129="Soumdproof",$T$187,))</f>
        <v>M</v>
      </c>
      <c r="H192" s="261">
        <f>IF($D$129="Standard",$U$186,IF($D$129="Soumdproof",$U$187,))</f>
        <v>97.685000000000002</v>
      </c>
      <c r="I192" s="258">
        <f>IF($D$129="Standard",$V$186,IF($D$129="Soumdproof",$V$187,))</f>
        <v>350</v>
      </c>
      <c r="J192" s="260">
        <f t="shared" si="37"/>
        <v>1</v>
      </c>
    </row>
    <row r="193" spans="1:24" ht="18" customHeight="1">
      <c r="A193" s="201">
        <f t="shared" si="34"/>
        <v>21</v>
      </c>
      <c r="B193" s="241" t="str">
        <f>IF($D$127=5,$O$175,IF($D$127=6,$O$176,IF($D$127=8,$O$177,IF($D$127=10,$O$175,IF($D$127=12,$O$175,IF($D$127=14,$O$177,IF($D$127=18,$O$175,IF($D$127=20,$O$176,IF($D$127=22,"")))))))))</f>
        <v>5,8,10,12,18 mmยางอัดกระจก</v>
      </c>
      <c r="C193" s="241" t="str">
        <f>IF($D$127=5,$P$175,IF($D$127=6,$P$176,IF($D$127=8,$P$177,IF($D$127=10,$P$175,IF($D$127=12,$P$175,IF($D$127=14,$P$177,IF($D$127=18,$P$175,IF($D$127=20,$P$176,IF($D$127=22,"")))))))))</f>
        <v>5,8,10,12,18 mm ROLL IN WEDGE</v>
      </c>
      <c r="D193" s="241" t="str">
        <f>IF($D$127=5,$Q$175,IF($D$127=6,$Q$176,IF($D$127=8,$Q$177,IF($D$127=10,$Q$175,IF($D$127=12,$Q$175,IF($D$127=14,$Q$177,IF($D$127=18,$Q$175,IF($D$127=20,$Q$176,IF($D$127=22,"")))))))))</f>
        <v>02-033</v>
      </c>
      <c r="E193" s="241">
        <f>IF($D$127=5,R180,IF($D$127=6,R181,IF($D$127=8,R182,IF($D$127=10,R180,IF($D$127=12,R180,IF($D$127=14,R182,IF($D$127=18,R180,IF($D$127=20,R181,IF($D$127=22,"",)))))))))</f>
        <v>0</v>
      </c>
      <c r="F193" s="242" t="str">
        <f>IF($D$127=5,$S$175,IF($D$127=6,$S$176,IF($D$127=8,$S$177,IF($D$127=10,$S$175,IF($D$127=12,$S$175,IF($D$127=14,$S$177,IF($D$127=18,$S$175,IF($D$127=20,$S$176,IF($D$127=22,"")))))))))</f>
        <v>02-033</v>
      </c>
      <c r="G193" s="242" t="str">
        <f>IF($D$127=5,$T$175,IF($D$127=6,$T$176,IF($D$127=8,$T$177,IF($D$127=10,$T$175,IF($D$127=12,$T$175,IF($D$127=14,$T$177,IF($D$127=18,$T$175,IF($D$127=20,$T$176,IF($D$127=22,"")))))))))</f>
        <v>M</v>
      </c>
      <c r="H193" s="261">
        <f>IF($D$127=5,$U$175,IF($D$127=6,$U$176,IF($D$127=8,$U$177,IF($D$127=10,$U$175*2,IF($D$127=12,$U$175,IF($D$127=14,$U$177*2,IF($D$127=18,$U$175,IF($D$127=20,$U$176,IF($D$127=22,"")))))))))</f>
        <v>54.341000000000001</v>
      </c>
      <c r="I193" s="258">
        <f>IF($D$127=5,$V$175,IF($D$127=6,$V$176,IF($D$127=8,$V$177,IF($D$127=10,$V$175,IF($D$127=12,$V$175,IF($D$127=14,$V$177,IF($D$127=18,$V$175,IF($D$127=20,$V$176,IF($D$127=22,"")))))))))</f>
        <v>100</v>
      </c>
      <c r="J193" s="260">
        <f t="shared" si="37"/>
        <v>1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s="1" customFormat="1" ht="18" customHeight="1">
      <c r="A194" s="201">
        <f t="shared" si="34"/>
        <v>22</v>
      </c>
      <c r="B194" s="241" t="str">
        <f>IF($D$127=5,$O$173,IF($D$127=6,$O$173,IF($D$127=8,$O$175,IF($D$127=10,"",IF($D$127=12,$O$174,IF($D$127=14,"",IF($D$127=18,$O$173,IF($D$127=20,$O$174,IF($D$127=22,"",)))))))))</f>
        <v>5,6,18 mm ยางรองกระจก</v>
      </c>
      <c r="C194" s="241" t="str">
        <f>IF($D$127=5,$P$173,IF($D$127=6,$P$173,IF($D$127=8,$P$175,IF($D$127=10,"",IF($D$127=12,$P$174,IF($D$127=14,"",IF($D$127=18,$P$173,IF($D$127=20,$P$174,IF($D$127=22,"",)))))))))</f>
        <v>5,6,18 mm CAPTIVE WEDGE</v>
      </c>
      <c r="D194" s="241" t="str">
        <f>IF($D$127=5,$Q$173,IF($D$127=6,$Q$173,IF($D$127=8,$Q$175,IF($D$127=10,"",IF($D$127=12,$Q$174,IF($D$127=14,"",IF($D$127=18,$Q$173,IF($D$127=20,$Q$174,IF($D$127=22,"",)))))))))</f>
        <v>02-022</v>
      </c>
      <c r="E194" s="241">
        <f>IF($D$127=5,R178,IF($D$127=6,R178,IF($D$127=8,R180,IF($D$127=10,"",IF($D$127=12,R179,IF($D$127=14,"",IF($D$127=18,R178,IF($D$127=20,R179,IF($D$127=22,"",)))))))))</f>
        <v>0</v>
      </c>
      <c r="F194" s="242" t="str">
        <f>IF($D$127=5,$S$173,IF($D$127=6,$S$173,IF($D$127=8,$S$175,IF($D$127=10,"",IF($D$127=12,$S$174,IF($D$127=14,"",IF($D$127=18,$S$173,IF($D$127=20,$S$174,IF($D$127=22,"",)))))))))</f>
        <v>02-022</v>
      </c>
      <c r="G194" s="242" t="str">
        <f>IF($D$127=5,$T$173,IF($D$127=6,$T$173,IF($D$127=8,$T$175,IF($D$127=10,"",IF($D$127=12,$T$174,IF($D$127=14,"",IF($D$127=18,$T$173,IF($D$127=20,$T$174,IF($D$127=22,"",)))))))))</f>
        <v>M</v>
      </c>
      <c r="H194" s="261">
        <f>IF($D$127=5,$U$173,IF($D$127=6,$U$173,IF($D$127=8,$U$175,IF($D$127=10,"",IF($D$127=12,$U$174,IF($D$127=14,"",IF($D$127=18,$U$173,IF($D$127=20,$U$174,IF($D$127=22,"")))))))))</f>
        <v>54.341000000000001</v>
      </c>
      <c r="I194" s="258">
        <f>IF($D$127=5,$V$173,IF($D$127=6,$V$173,IF($D$127=8,$V$175,IF($D$127=10,"",IF($D$127=12,$V$174,IF($D$127=14,"",IF($D$127=18,$V$173,IF($D$127=20,$V$174,IF($D$127=22,"",)))))))))</f>
        <v>100</v>
      </c>
      <c r="J194" s="260">
        <f t="shared" si="37"/>
        <v>1</v>
      </c>
    </row>
    <row r="195" spans="1:24" s="1" customFormat="1" ht="18" customHeight="1">
      <c r="A195" s="201" t="str">
        <f t="shared" si="34"/>
        <v/>
      </c>
      <c r="B195" s="140"/>
      <c r="C195" s="140"/>
      <c r="D195" s="139"/>
      <c r="E195" s="143"/>
      <c r="F195" s="143"/>
      <c r="G195" s="143"/>
      <c r="H195" s="143"/>
      <c r="I195" s="130"/>
      <c r="J195" s="131">
        <f>$J$120*H195</f>
        <v>0</v>
      </c>
    </row>
    <row r="196" spans="1:24" s="1" customFormat="1" ht="18" customHeight="1">
      <c r="A196" s="201" t="str">
        <f t="shared" si="34"/>
        <v/>
      </c>
      <c r="B196" s="140"/>
      <c r="C196" s="140"/>
      <c r="D196" s="139"/>
      <c r="E196" s="143"/>
      <c r="F196" s="143"/>
      <c r="G196" s="143"/>
      <c r="H196" s="143"/>
      <c r="I196" s="130"/>
      <c r="J196" s="131"/>
    </row>
    <row r="197" spans="1:24" s="1" customFormat="1" ht="18" customHeight="1">
      <c r="A197" s="201" t="str">
        <f t="shared" si="34"/>
        <v/>
      </c>
      <c r="B197" s="140"/>
      <c r="C197" s="140"/>
      <c r="D197" s="139"/>
      <c r="E197" s="143"/>
      <c r="F197" s="143"/>
      <c r="G197" s="143"/>
      <c r="H197" s="143"/>
      <c r="I197" s="130"/>
      <c r="J197" s="131">
        <f>$J$120*H197</f>
        <v>0</v>
      </c>
    </row>
    <row r="198" spans="1:24" s="1" customFormat="1" ht="18" customHeight="1">
      <c r="A198" s="201" t="str">
        <f t="shared" si="34"/>
        <v/>
      </c>
      <c r="B198" s="140"/>
      <c r="C198" s="140"/>
      <c r="D198" s="375"/>
      <c r="E198" s="376"/>
      <c r="F198" s="376"/>
      <c r="G198" s="143"/>
      <c r="H198" s="143"/>
      <c r="I198" s="130"/>
      <c r="J198" s="131">
        <f>$J$120*H198</f>
        <v>0</v>
      </c>
    </row>
    <row r="199" spans="1:24" s="1" customFormat="1" ht="18" customHeight="1">
      <c r="A199" s="201" t="str">
        <f t="shared" si="34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 t="shared" ref="J199" si="38">$J$120*H199</f>
        <v>0</v>
      </c>
    </row>
    <row r="200" spans="1:24" s="1" customFormat="1" ht="18" customHeight="1">
      <c r="A200" s="201" t="str">
        <f t="shared" si="34"/>
        <v/>
      </c>
      <c r="B200" s="140"/>
      <c r="C200" s="140"/>
      <c r="D200" s="139"/>
      <c r="E200" s="143"/>
      <c r="F200" s="143"/>
      <c r="G200" s="143"/>
      <c r="H200" s="143"/>
      <c r="I200" s="144"/>
      <c r="J200" s="131">
        <f t="shared" si="32"/>
        <v>0</v>
      </c>
    </row>
    <row r="201" spans="1:24" s="1" customFormat="1" ht="18" customHeight="1">
      <c r="A201" s="201" t="str">
        <f t="shared" si="34"/>
        <v/>
      </c>
      <c r="B201" s="140"/>
      <c r="C201" s="140"/>
      <c r="D201" s="139"/>
      <c r="E201" s="143"/>
      <c r="F201" s="143"/>
      <c r="G201" s="143"/>
      <c r="H201" s="143"/>
      <c r="I201" s="144"/>
      <c r="J201" s="131">
        <f t="shared" si="32"/>
        <v>0</v>
      </c>
    </row>
    <row r="202" spans="1:24" s="1" customFormat="1" ht="18" customHeight="1">
      <c r="A202" s="201" t="str">
        <f t="shared" si="34"/>
        <v/>
      </c>
      <c r="B202" s="140"/>
      <c r="C202" s="140"/>
      <c r="D202" s="139"/>
      <c r="E202" s="143"/>
      <c r="F202" s="143"/>
      <c r="G202" s="143"/>
      <c r="H202" s="143"/>
      <c r="I202" s="130"/>
      <c r="J202" s="131"/>
    </row>
    <row r="203" spans="1:24" s="1" customFormat="1" ht="18" customHeight="1">
      <c r="A203" s="201" t="str">
        <f t="shared" si="34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ref="J203:J205" si="39">$J$120*H203</f>
        <v>0</v>
      </c>
    </row>
    <row r="204" spans="1:24" s="1" customFormat="1" ht="18" customHeight="1">
      <c r="A204" s="201" t="str">
        <f t="shared" si="34"/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 t="shared" si="39"/>
        <v>0</v>
      </c>
    </row>
    <row r="205" spans="1:24" s="1" customFormat="1" ht="18" customHeight="1">
      <c r="A205" s="317" t="str">
        <f t="shared" ref="A205" si="40">IF(B205="","",+A204+1)</f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 t="shared" si="39"/>
        <v>0</v>
      </c>
    </row>
    <row r="206" spans="1:24" s="193" customFormat="1" ht="18" customHeight="1">
      <c r="A206" s="27"/>
      <c r="B206" s="161"/>
      <c r="C206" s="33"/>
      <c r="D206" s="161"/>
      <c r="E206" s="109"/>
      <c r="F206" s="161"/>
      <c r="G206" s="161"/>
      <c r="H206" s="161"/>
      <c r="I206" s="24"/>
      <c r="J206" s="24"/>
    </row>
    <row r="207" spans="1:24" ht="18" customHeight="1">
      <c r="A207" s="17"/>
      <c r="J207" s="99" t="str">
        <f>LEFT($J$111,14)&amp;"-02"</f>
        <v>FG-240-11P6L5R-02</v>
      </c>
    </row>
    <row r="208" spans="1:24" ht="12.75" customHeight="1">
      <c r="B208" s="56"/>
      <c r="C208" s="56"/>
      <c r="D208" s="30"/>
      <c r="E208" s="17"/>
      <c r="F208" s="17"/>
      <c r="G208" s="17"/>
      <c r="H208" s="17"/>
      <c r="K208" s="7"/>
      <c r="L208" s="7"/>
      <c r="M208" s="2"/>
      <c r="N208" s="2"/>
    </row>
    <row r="209" spans="1:14" ht="30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265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265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/>
      <c r="C215"/>
      <c r="D215" s="81"/>
      <c r="E215"/>
      <c r="F215"/>
      <c r="G215"/>
      <c r="H215"/>
      <c r="I215" s="160"/>
      <c r="J215" s="116"/>
    </row>
    <row r="216" spans="1:14" s="1" customFormat="1" ht="15" customHeight="1">
      <c r="A216" s="17"/>
      <c r="B216" s="93"/>
      <c r="C216" s="56"/>
      <c r="D216" s="30"/>
      <c r="E216" s="29"/>
      <c r="F216" s="160"/>
      <c r="G216" s="160"/>
      <c r="H216" s="16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s="1" customFormat="1" ht="15.6">
      <c r="A218" s="109"/>
      <c r="B218" s="33"/>
      <c r="C218" s="327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272</v>
      </c>
      <c r="D220" s="30"/>
      <c r="E220" s="29"/>
      <c r="F220" s="30"/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89"/>
      <c r="J221" s="12"/>
    </row>
    <row r="222" spans="1:14" s="1" customFormat="1" ht="15" customHeight="1">
      <c r="A222" s="109"/>
      <c r="B222" s="33"/>
      <c r="C222" s="327" t="s">
        <v>273</v>
      </c>
      <c r="D222" s="161"/>
      <c r="E222" s="109"/>
      <c r="F222" s="161"/>
      <c r="J222" s="12"/>
    </row>
    <row r="223" spans="1:14" s="1" customFormat="1" ht="15" customHeight="1">
      <c r="A223" s="109"/>
      <c r="B223" s="33"/>
      <c r="C223" s="374">
        <f>$I$133</f>
        <v>1940</v>
      </c>
      <c r="D223" s="161"/>
      <c r="E223" s="35"/>
      <c r="F223" s="161"/>
      <c r="G223" s="68"/>
      <c r="J223" s="12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326"/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326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327"/>
      <c r="D229" s="161"/>
      <c r="E229" s="109"/>
      <c r="F229" s="161"/>
      <c r="H229" s="109"/>
      <c r="I229" s="263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263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263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263"/>
      <c r="J232" s="117"/>
    </row>
    <row r="233" spans="1:10" s="1" customFormat="1" ht="15.9" customHeight="1">
      <c r="A233" s="44"/>
      <c r="B233" s="44"/>
      <c r="C233" s="89" t="s">
        <v>274</v>
      </c>
      <c r="D233" s="84"/>
      <c r="E233" s="44"/>
      <c r="F233" s="44"/>
      <c r="G233" s="109"/>
      <c r="H233" s="109"/>
      <c r="I233" s="263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1914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263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63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109"/>
      <c r="J242" s="24"/>
    </row>
    <row r="243" spans="1:10" s="1" customFormat="1" ht="15.9" customHeight="1">
      <c r="A243" s="109"/>
      <c r="B243" s="33"/>
      <c r="C243" s="89" t="s">
        <v>276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.9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" customHeight="1">
      <c r="A245" s="109"/>
      <c r="B245" s="33"/>
      <c r="C245" s="327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1940</v>
      </c>
      <c r="D246" s="161"/>
      <c r="E246" s="109"/>
      <c r="F246" s="161"/>
      <c r="G246" s="109"/>
      <c r="H246" s="109"/>
      <c r="I246" s="44"/>
      <c r="J246" s="119"/>
    </row>
    <row r="247" spans="1:10" s="1" customFormat="1" ht="15.9" customHeight="1">
      <c r="A247" s="109"/>
      <c r="B247" s="33"/>
      <c r="C247" s="363">
        <f>$J$135</f>
        <v>1</v>
      </c>
      <c r="D247" s="161"/>
      <c r="E247" s="109"/>
      <c r="F247" s="161"/>
      <c r="G247" s="109"/>
      <c r="H247" s="109"/>
      <c r="I247" s="32"/>
      <c r="J247" s="40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0"/>
      <c r="H251" s="109"/>
      <c r="I251" s="24"/>
      <c r="J251" s="24"/>
    </row>
    <row r="252" spans="1:10" s="1" customFormat="1" ht="15.9" customHeight="1">
      <c r="A252" s="109"/>
      <c r="B252" s="33"/>
      <c r="D252" s="161"/>
      <c r="E252" s="109"/>
      <c r="F252" s="109"/>
      <c r="G252" s="109"/>
      <c r="H252" s="109"/>
      <c r="I252" s="24"/>
      <c r="J252" s="24"/>
    </row>
    <row r="253" spans="1:10" s="1" customFormat="1" ht="15.9" customHeight="1">
      <c r="A253" s="44"/>
      <c r="B253" s="44"/>
      <c r="D253" s="84"/>
      <c r="E253" s="44"/>
      <c r="F253" s="44"/>
      <c r="G253" s="109"/>
      <c r="H253" s="109"/>
      <c r="I253" s="24"/>
      <c r="J253" s="24"/>
    </row>
    <row r="254" spans="1:10" s="1" customFormat="1" ht="15.9" customHeight="1">
      <c r="A254" s="40"/>
      <c r="B254" s="40"/>
      <c r="C254" s="89" t="s">
        <v>277</v>
      </c>
      <c r="D254" s="85"/>
      <c r="E254" s="40"/>
      <c r="F254" s="32"/>
      <c r="G254" s="109"/>
      <c r="I254" s="24"/>
      <c r="J254" s="24"/>
    </row>
    <row r="255" spans="1:10" s="1" customFormat="1" ht="15.9" customHeight="1">
      <c r="A255" s="27"/>
      <c r="B255" s="33"/>
      <c r="C255" s="328" t="s">
        <v>275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27" t="s">
        <v>273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74">
        <f>$I$136</f>
        <v>1940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63">
        <f>$J$136</f>
        <v>1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46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161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89" t="s">
        <v>278</v>
      </c>
      <c r="D264" s="161"/>
      <c r="E264" s="109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8" t="s">
        <v>287</v>
      </c>
      <c r="D265" s="328"/>
      <c r="E265" s="328"/>
      <c r="F265" s="109"/>
      <c r="G265" s="109"/>
      <c r="H265" s="109"/>
      <c r="I265" s="24"/>
      <c r="J265" s="24"/>
    </row>
    <row r="266" spans="1:10" s="1" customFormat="1" ht="15.9" customHeight="1">
      <c r="A266" s="27"/>
      <c r="B266" s="33"/>
      <c r="C266" s="327" t="s">
        <v>279</v>
      </c>
      <c r="D266" s="327"/>
      <c r="E266" s="327"/>
      <c r="F266" s="109"/>
      <c r="G266" s="109"/>
      <c r="H266" s="109"/>
      <c r="J266" s="12"/>
    </row>
    <row r="267" spans="1:10" s="1" customFormat="1" ht="15.9" customHeight="1">
      <c r="A267" s="27"/>
      <c r="B267" s="33"/>
      <c r="C267" s="374">
        <f>$I$137</f>
        <v>2500</v>
      </c>
      <c r="D267" s="161"/>
      <c r="E267" s="109"/>
      <c r="F267" s="109"/>
      <c r="G267" s="33"/>
      <c r="H267" s="33"/>
      <c r="J267" s="12"/>
    </row>
    <row r="268" spans="1:10" s="1" customFormat="1" ht="15.9" customHeight="1">
      <c r="A268" s="27"/>
      <c r="B268" s="33"/>
      <c r="C268" s="363">
        <f>$J$137+$J$138</f>
        <v>2</v>
      </c>
      <c r="D268" s="161"/>
      <c r="E268" s="10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D271" s="328"/>
      <c r="E271" s="328"/>
      <c r="F271" s="109"/>
      <c r="G271" s="109"/>
      <c r="H271" s="109"/>
      <c r="J271" s="12"/>
    </row>
    <row r="272" spans="1:10" s="1" customFormat="1" ht="15.9" customHeight="1">
      <c r="A272" s="27"/>
      <c r="B272" s="33"/>
      <c r="D272" s="328"/>
      <c r="E272" s="328"/>
      <c r="F272" s="109"/>
      <c r="G272" s="109"/>
      <c r="I272" s="24"/>
      <c r="J272" s="24"/>
    </row>
    <row r="273" spans="1:10" s="1" customFormat="1" ht="15.9" customHeight="1">
      <c r="A273" s="27"/>
      <c r="B273" s="33"/>
      <c r="C273" s="33"/>
      <c r="D273" s="161"/>
      <c r="E273" s="109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89" t="s">
        <v>280</v>
      </c>
      <c r="D274" s="162"/>
      <c r="E274" s="24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328" t="s">
        <v>649</v>
      </c>
      <c r="D275" s="328"/>
      <c r="E275" s="328"/>
      <c r="F275" s="109"/>
      <c r="G275" s="109"/>
      <c r="I275" s="109"/>
      <c r="J275" s="24"/>
    </row>
    <row r="276" spans="1:10" s="1" customFormat="1" ht="15.9" customHeight="1">
      <c r="A276" s="27"/>
      <c r="B276" s="33"/>
      <c r="C276" s="433" t="s">
        <v>650</v>
      </c>
      <c r="D276" s="327"/>
      <c r="E276" s="327"/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374">
        <f>$I$139</f>
        <v>2404</v>
      </c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363">
        <f>$J$139+$J$140</f>
        <v>2</v>
      </c>
      <c r="F278" s="109"/>
      <c r="G278" s="109"/>
      <c r="I278" s="109"/>
      <c r="J278" s="24"/>
    </row>
    <row r="279" spans="1:10" s="1" customFormat="1" ht="15.9" customHeight="1">
      <c r="A279" s="27"/>
      <c r="B279" s="33"/>
      <c r="F279" s="109"/>
      <c r="G279" s="109"/>
      <c r="H279" s="109"/>
      <c r="J279" s="12"/>
    </row>
    <row r="280" spans="1:10" s="1" customFormat="1" ht="15.9" customHeight="1">
      <c r="A280" s="27"/>
      <c r="B280" s="33"/>
      <c r="C280" s="33"/>
      <c r="D280" s="161"/>
      <c r="E280" s="109"/>
      <c r="F280" s="109"/>
      <c r="G280" s="109"/>
      <c r="H280" s="109"/>
      <c r="J280" s="12"/>
    </row>
    <row r="281" spans="1:10" s="1" customFormat="1" ht="15.9" customHeight="1">
      <c r="A281" s="27"/>
      <c r="B281" s="33"/>
      <c r="F281" s="109"/>
      <c r="G281" s="109"/>
      <c r="H281" s="109"/>
      <c r="J281" s="12"/>
    </row>
    <row r="282" spans="1:10" s="1" customFormat="1" ht="15.9" customHeight="1">
      <c r="A282" s="27"/>
      <c r="B282" s="33"/>
      <c r="F282" s="109"/>
      <c r="G282" s="109"/>
      <c r="H282" s="109"/>
      <c r="I282" s="162"/>
      <c r="J282" s="24"/>
    </row>
    <row r="283" spans="1:10" s="1" customFormat="1" ht="15.9" customHeight="1">
      <c r="A283" s="27"/>
      <c r="B283" s="33"/>
      <c r="C283" s="89" t="s">
        <v>283</v>
      </c>
      <c r="F283" s="109"/>
      <c r="G283" s="109"/>
      <c r="H283" s="109"/>
      <c r="I283" s="109"/>
      <c r="J283" s="24"/>
    </row>
    <row r="284" spans="1:10" s="1" customFormat="1" ht="15.9" customHeight="1">
      <c r="A284" s="27"/>
      <c r="B284" s="33"/>
      <c r="C284" s="94" t="s">
        <v>428</v>
      </c>
      <c r="D284" s="161"/>
      <c r="E284" s="109"/>
      <c r="F284" s="109"/>
      <c r="G284" s="109"/>
      <c r="H284" s="109"/>
      <c r="I284" s="24"/>
      <c r="J284" s="24"/>
    </row>
    <row r="285" spans="1:10" s="1" customFormat="1" ht="15.9" customHeight="1">
      <c r="A285" s="27"/>
      <c r="B285" s="33"/>
      <c r="C285" s="327" t="s">
        <v>430</v>
      </c>
      <c r="D285" s="161"/>
      <c r="E285" s="109"/>
      <c r="F285" s="109"/>
      <c r="G285" s="109"/>
      <c r="H285" s="109"/>
      <c r="I285" s="24"/>
      <c r="J285" s="24"/>
    </row>
    <row r="286" spans="1:10" s="1" customFormat="1" ht="15.9" customHeight="1">
      <c r="A286" s="27"/>
      <c r="B286" s="33"/>
      <c r="C286" s="328" t="s">
        <v>281</v>
      </c>
      <c r="D286" s="328"/>
      <c r="E286" s="328"/>
      <c r="F286" s="109"/>
      <c r="G286" s="109"/>
      <c r="I286" s="24"/>
      <c r="J286" s="24"/>
    </row>
    <row r="287" spans="1:10" s="23" customFormat="1" ht="15.9" customHeight="1">
      <c r="A287" s="27"/>
      <c r="B287" s="33"/>
      <c r="C287" s="327" t="s">
        <v>282</v>
      </c>
      <c r="D287" s="327"/>
      <c r="E287" s="327"/>
      <c r="F287" s="109"/>
      <c r="G287" s="109"/>
      <c r="H287" s="1"/>
      <c r="I287" s="109"/>
      <c r="J287" s="109"/>
    </row>
    <row r="288" spans="1:10" s="1" customFormat="1" ht="15.9" customHeight="1">
      <c r="A288" s="27"/>
      <c r="B288" s="33"/>
      <c r="C288" s="374">
        <f>$I$141</f>
        <v>62.045454545454547</v>
      </c>
      <c r="F288" s="109"/>
      <c r="G288" s="109"/>
      <c r="I288" s="44"/>
      <c r="J288" s="119"/>
    </row>
    <row r="289" spans="1:10" s="1" customFormat="1" ht="15.9" customHeight="1">
      <c r="A289" s="27"/>
      <c r="B289" s="33"/>
      <c r="C289" s="363">
        <f>$J$141+$J$142</f>
        <v>22</v>
      </c>
      <c r="D289" s="161"/>
      <c r="E289" s="109"/>
      <c r="F289" s="109"/>
      <c r="G289" s="109"/>
      <c r="H289" s="161"/>
      <c r="I289" s="32"/>
      <c r="J289" s="40"/>
    </row>
    <row r="290" spans="1:10" s="1" customFormat="1" ht="15.9" customHeight="1">
      <c r="A290" s="27"/>
      <c r="B290" s="33"/>
      <c r="C290" s="374">
        <f>$I$143</f>
        <v>2408</v>
      </c>
      <c r="D290" s="161"/>
      <c r="E290" s="109"/>
      <c r="F290" s="109"/>
      <c r="G290" s="109"/>
      <c r="H290" s="109"/>
      <c r="I290" s="24"/>
      <c r="J290" s="24"/>
    </row>
    <row r="291" spans="1:10" s="1" customFormat="1" ht="15.9" customHeight="1">
      <c r="A291" s="27"/>
      <c r="B291" s="33"/>
      <c r="C291" s="363">
        <f>$J$143+$J$144+$J$145+$J$146</f>
        <v>22</v>
      </c>
      <c r="D291" s="161"/>
      <c r="E291" s="109"/>
      <c r="F291" s="109"/>
      <c r="G291" s="109"/>
      <c r="H291" s="109"/>
      <c r="I291" s="24"/>
      <c r="J291" s="24"/>
    </row>
    <row r="292" spans="1:10" s="1" customFormat="1" ht="15.9" customHeight="1">
      <c r="A292" s="27"/>
      <c r="B292" s="33"/>
      <c r="D292" s="161"/>
      <c r="E292" s="109"/>
      <c r="F292" s="109"/>
      <c r="G292" s="109"/>
      <c r="H292" s="109"/>
      <c r="I292" s="24"/>
      <c r="J292" s="24"/>
    </row>
    <row r="293" spans="1:10" s="1" customFormat="1" ht="15.9" customHeight="1">
      <c r="A293" s="27"/>
      <c r="B293" s="33"/>
      <c r="C293" s="33"/>
      <c r="D293" s="161"/>
      <c r="E293" s="109"/>
      <c r="F293" s="109"/>
      <c r="G293" s="109"/>
      <c r="H293" s="109"/>
      <c r="I293" s="109"/>
      <c r="J293" s="24"/>
    </row>
    <row r="294" spans="1:10" s="1" customFormat="1" ht="15.9" customHeight="1">
      <c r="A294" s="27"/>
      <c r="B294" s="33"/>
      <c r="C294" s="23"/>
      <c r="D294" s="161"/>
      <c r="E294" s="109"/>
      <c r="F294" s="109"/>
      <c r="G294" s="109"/>
      <c r="H294" s="109"/>
      <c r="I294" s="109"/>
      <c r="J294" s="24"/>
    </row>
    <row r="295" spans="1:10" s="1" customFormat="1" ht="15.9" customHeight="1">
      <c r="A295" s="27"/>
      <c r="B295" s="33"/>
      <c r="C295" s="89" t="s">
        <v>284</v>
      </c>
      <c r="D295" s="161"/>
      <c r="E295" s="109"/>
      <c r="F295" s="109"/>
      <c r="G295" s="109"/>
      <c r="H295" s="109"/>
      <c r="I295" s="109"/>
      <c r="J295" s="24"/>
    </row>
    <row r="296" spans="1:10" s="1" customFormat="1" ht="15.9" customHeight="1">
      <c r="A296" s="27"/>
      <c r="B296" s="33"/>
      <c r="C296" s="94" t="s">
        <v>428</v>
      </c>
      <c r="D296" s="161"/>
      <c r="E296" s="109"/>
      <c r="F296" s="109"/>
      <c r="G296" s="44"/>
      <c r="H296" s="44"/>
      <c r="I296" s="109"/>
      <c r="J296" s="24"/>
    </row>
    <row r="297" spans="1:10" s="1" customFormat="1" ht="15.9" customHeight="1">
      <c r="A297" s="27"/>
      <c r="B297" s="33"/>
      <c r="C297" s="327" t="s">
        <v>430</v>
      </c>
      <c r="D297" s="328"/>
      <c r="E297" s="328"/>
      <c r="F297" s="109"/>
      <c r="G297" s="40"/>
      <c r="H297" s="32"/>
      <c r="I297" s="109"/>
      <c r="J297" s="24"/>
    </row>
    <row r="298" spans="1:10" s="1" customFormat="1" ht="15.9" customHeight="1">
      <c r="A298" s="41"/>
      <c r="B298" s="33"/>
      <c r="C298" s="328" t="s">
        <v>286</v>
      </c>
      <c r="D298" s="327"/>
      <c r="E298" s="327"/>
      <c r="F298" s="109"/>
      <c r="G298" s="109"/>
      <c r="H298" s="109"/>
      <c r="I298" s="109"/>
      <c r="J298" s="24"/>
    </row>
    <row r="299" spans="1:10" s="1" customFormat="1" ht="15.9" customHeight="1">
      <c r="A299" s="44"/>
      <c r="B299" s="44"/>
      <c r="C299" s="327" t="s">
        <v>285</v>
      </c>
      <c r="D299" s="86"/>
      <c r="E299" s="79"/>
      <c r="F299" s="44"/>
      <c r="G299" s="109"/>
      <c r="H299" s="109"/>
      <c r="I299" s="109"/>
      <c r="J299" s="24"/>
    </row>
    <row r="300" spans="1:10" s="1" customFormat="1" ht="15.9" customHeight="1">
      <c r="A300" s="40"/>
      <c r="B300" s="40"/>
      <c r="C300" s="374">
        <f>$I$147</f>
        <v>62.045454545454547</v>
      </c>
      <c r="D300" s="87"/>
      <c r="E300" s="80"/>
      <c r="F300" s="32"/>
      <c r="G300" s="109"/>
      <c r="H300" s="109"/>
      <c r="I300" s="109"/>
      <c r="J300" s="24"/>
    </row>
    <row r="301" spans="1:10" s="1" customFormat="1" ht="15.9" customHeight="1">
      <c r="A301" s="109"/>
      <c r="B301" s="33"/>
      <c r="C301" s="363">
        <f>$J$147</f>
        <v>22</v>
      </c>
      <c r="D301" s="15"/>
      <c r="F301" s="109"/>
      <c r="G301" s="109"/>
      <c r="H301" s="109"/>
      <c r="I301" s="109"/>
      <c r="J301" s="24"/>
    </row>
    <row r="302" spans="1:10" s="1" customFormat="1" ht="15.9" customHeight="1">
      <c r="A302" s="109"/>
      <c r="B302" s="33"/>
      <c r="C302" s="374">
        <f>$I$148</f>
        <v>2258</v>
      </c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C303" s="363">
        <f>$J$148</f>
        <v>22</v>
      </c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C306" s="89" t="s">
        <v>288</v>
      </c>
      <c r="D306" s="161"/>
      <c r="E306" s="109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328" t="s">
        <v>281</v>
      </c>
      <c r="D307" s="328"/>
      <c r="E307" s="328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542" t="s">
        <v>282</v>
      </c>
      <c r="D308" s="542"/>
      <c r="E308" s="542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74">
        <f>$I$149</f>
        <v>2408</v>
      </c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63">
        <f>$J$149+$J$150</f>
        <v>2</v>
      </c>
      <c r="D310" s="328"/>
      <c r="E310" s="328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C311" s="328"/>
      <c r="D311" s="328"/>
      <c r="E311" s="328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C312" s="328"/>
      <c r="D312" s="328"/>
      <c r="E312" s="328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33"/>
      <c r="D314" s="162"/>
      <c r="E314" s="24"/>
      <c r="F314" s="109"/>
      <c r="G314" s="109"/>
      <c r="H314" s="109"/>
      <c r="I314" s="27"/>
      <c r="J314" s="99" t="str">
        <f>LEFT($J$111,14)&amp;"-03"</f>
        <v>FG-240-11P6L5R-03</v>
      </c>
    </row>
    <row r="315" spans="1:14" ht="12.75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30" customHeight="1">
      <c r="I316" s="95"/>
      <c r="J316" s="90" t="str">
        <f>$J$2</f>
        <v>HOMELIFE</v>
      </c>
      <c r="K316" s="11"/>
      <c r="L316" s="11"/>
      <c r="M316" s="2"/>
      <c r="N316" s="2"/>
    </row>
    <row r="317" spans="1:14" ht="24.9" customHeight="1">
      <c r="B317" s="265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265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s="1" customFormat="1" ht="15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  <c r="K320" s="4"/>
      <c r="L320" s="4"/>
      <c r="M320" s="4"/>
      <c r="N320" s="4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262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262"/>
      <c r="I331" s="161"/>
      <c r="J331" s="109"/>
    </row>
    <row r="332" spans="1:10" s="1" customFormat="1" ht="15" customHeight="1">
      <c r="A332" s="64" t="str">
        <f>A18</f>
        <v>240-11 Panel (6L5R)</v>
      </c>
      <c r="B332" s="92"/>
      <c r="C332" s="161"/>
      <c r="D332" s="161"/>
      <c r="E332" s="109"/>
      <c r="F332" s="262"/>
      <c r="G332" s="262"/>
      <c r="H332" s="262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92"/>
      <c r="C333" s="161"/>
      <c r="D333" s="161"/>
      <c r="E333" s="109"/>
      <c r="F333" s="262"/>
      <c r="G333" s="262"/>
      <c r="H333" s="262"/>
      <c r="I333" s="109"/>
      <c r="J333" s="109"/>
    </row>
    <row r="334" spans="1:10" s="1" customFormat="1" ht="15.9" customHeight="1">
      <c r="A334" s="109"/>
      <c r="B334" s="45"/>
      <c r="C334" s="42"/>
      <c r="D334" s="161"/>
      <c r="E334" s="109"/>
      <c r="F334" s="507"/>
      <c r="G334" s="507"/>
      <c r="H334" s="262"/>
      <c r="I334" s="109"/>
      <c r="J334" s="109"/>
    </row>
    <row r="335" spans="1:10" s="1" customFormat="1" ht="15.9" customHeight="1">
      <c r="A335" s="39"/>
      <c r="B335" s="109"/>
      <c r="C335" s="161"/>
      <c r="D335" s="161"/>
      <c r="E335" s="109"/>
      <c r="F335" s="37"/>
      <c r="G335" s="38"/>
      <c r="H335" s="109"/>
      <c r="I335" s="109"/>
      <c r="J335" s="109"/>
    </row>
    <row r="336" spans="1:10" s="1" customFormat="1" ht="15.9" customHeight="1">
      <c r="A336" s="44"/>
      <c r="C336" s="43"/>
      <c r="D336" s="161"/>
      <c r="E336" s="109"/>
      <c r="F336" s="109"/>
      <c r="G336" s="109"/>
      <c r="H336" s="109"/>
      <c r="I336" s="44"/>
      <c r="J336" s="119"/>
    </row>
    <row r="337" spans="1:10" s="1" customFormat="1" ht="15.9" customHeight="1">
      <c r="A337" s="40"/>
      <c r="C337" s="44"/>
      <c r="D337" s="84"/>
      <c r="E337" s="44"/>
      <c r="F337" s="44"/>
      <c r="G337" s="44"/>
      <c r="H337" s="44"/>
      <c r="I337" s="32"/>
      <c r="J337" s="40"/>
    </row>
    <row r="338" spans="1:10" s="1" customFormat="1" ht="15.9" customHeight="1">
      <c r="A338" s="109"/>
      <c r="C338" s="161"/>
      <c r="D338" s="85"/>
      <c r="E338" s="40"/>
      <c r="F338" s="32"/>
      <c r="G338" s="40"/>
      <c r="H338" s="32"/>
      <c r="I338" s="24"/>
      <c r="J338" s="24"/>
    </row>
    <row r="339" spans="1:10" s="1" customFormat="1" ht="15.9" customHeight="1">
      <c r="A339" s="109"/>
      <c r="C339" s="163"/>
      <c r="D339" s="161"/>
      <c r="E339" s="109"/>
      <c r="F339" s="161"/>
      <c r="G339" s="109"/>
      <c r="H339" s="109"/>
      <c r="I339" s="24"/>
      <c r="J339" s="24"/>
    </row>
    <row r="340" spans="1:10" s="1" customFormat="1" ht="15.9" customHeight="1">
      <c r="A340" s="109"/>
      <c r="B340" s="33"/>
      <c r="C340" s="161"/>
      <c r="D340" s="161"/>
      <c r="E340" s="109"/>
      <c r="F340" s="161"/>
      <c r="G340" s="109"/>
      <c r="H340" s="109"/>
      <c r="I340" s="162"/>
      <c r="J340" s="162"/>
    </row>
    <row r="341" spans="1:10" s="1" customFormat="1" ht="15.9" customHeight="1">
      <c r="A341" s="109"/>
      <c r="B341" s="33"/>
      <c r="C341" s="44"/>
      <c r="D341" s="161"/>
      <c r="E341" s="109"/>
      <c r="F341" s="161"/>
      <c r="G341" s="109"/>
      <c r="H341" s="162"/>
      <c r="I341" s="161"/>
      <c r="J341" s="161"/>
    </row>
    <row r="342" spans="1:10" s="1" customFormat="1" ht="15.9" customHeight="1">
      <c r="A342" s="109"/>
      <c r="B342" s="33"/>
      <c r="C342" s="42"/>
      <c r="D342" s="161"/>
      <c r="E342" s="109"/>
      <c r="F342" s="161"/>
      <c r="G342" s="109"/>
      <c r="H342" s="161"/>
      <c r="I342" s="161"/>
      <c r="J342" s="161"/>
    </row>
    <row r="343" spans="1:10" s="1" customFormat="1" ht="15.9" customHeight="1">
      <c r="A343" s="109"/>
      <c r="B343" s="33"/>
      <c r="C343" s="163"/>
      <c r="D343" s="161"/>
      <c r="E343" s="109"/>
      <c r="F343" s="161"/>
      <c r="G343" s="109"/>
      <c r="H343" s="161"/>
      <c r="I343" s="109"/>
      <c r="J343" s="24"/>
    </row>
    <row r="344" spans="1:10" s="1" customFormat="1" ht="15.9" customHeight="1">
      <c r="A344" s="109"/>
      <c r="B344" s="33"/>
      <c r="C344" s="161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44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3"/>
      <c r="D350" s="161"/>
      <c r="E350" s="109"/>
      <c r="F350" s="161"/>
      <c r="G350" s="109"/>
      <c r="H350" s="109"/>
      <c r="I350" s="109"/>
      <c r="J350" s="24"/>
    </row>
    <row r="351" spans="1:10" s="1" customFormat="1" ht="15.9" customHeight="1">
      <c r="A351" s="109"/>
      <c r="B351" s="33"/>
      <c r="C351" s="161"/>
      <c r="D351" s="161"/>
      <c r="E351" s="109"/>
      <c r="F351" s="161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1" customFormat="1" ht="15" customHeight="1">
      <c r="A353" s="109"/>
      <c r="B353" s="33"/>
      <c r="C353" s="33"/>
      <c r="D353" s="161"/>
      <c r="E353" s="109"/>
      <c r="F353" s="109"/>
      <c r="G353" s="109"/>
      <c r="H353" s="107"/>
      <c r="I353" s="24"/>
      <c r="J353" s="24"/>
    </row>
    <row r="354" spans="1:10" s="23" customFormat="1" ht="15.9" customHeight="1">
      <c r="A354" s="109"/>
      <c r="B354" s="33"/>
      <c r="C354" s="33"/>
      <c r="D354" s="161"/>
      <c r="E354" s="109"/>
      <c r="F354" s="109"/>
      <c r="G354" s="109"/>
      <c r="H354" s="109"/>
      <c r="I354" s="109"/>
      <c r="J354" s="109"/>
    </row>
    <row r="355" spans="1:10" s="1" customFormat="1" ht="15.9" customHeight="1">
      <c r="A355" s="44"/>
      <c r="B355" s="33"/>
      <c r="C355" s="33"/>
      <c r="D355" s="161"/>
      <c r="E355" s="109"/>
      <c r="F355" s="109"/>
      <c r="G355" s="109"/>
      <c r="H355" s="109"/>
      <c r="I355" s="44"/>
      <c r="J355" s="119"/>
    </row>
    <row r="356" spans="1:10" s="1" customFormat="1" ht="15.9" customHeight="1">
      <c r="A356" s="40"/>
      <c r="B356" s="44"/>
      <c r="C356" s="44"/>
      <c r="D356" s="84"/>
      <c r="E356" s="44"/>
      <c r="F356" s="44"/>
      <c r="G356" s="44"/>
      <c r="H356" s="44"/>
      <c r="I356" s="32"/>
      <c r="J356" s="40"/>
    </row>
    <row r="357" spans="1:10" s="1" customFormat="1" ht="15.9" customHeight="1">
      <c r="A357" s="27"/>
      <c r="B357" s="40"/>
      <c r="C357" s="44"/>
      <c r="D357" s="85"/>
      <c r="E357" s="40"/>
      <c r="F357" s="32"/>
      <c r="G357" s="40"/>
      <c r="H357" s="32"/>
      <c r="I357" s="24"/>
      <c r="J357" s="24"/>
    </row>
    <row r="358" spans="1:10" s="1" customFormat="1" ht="15.9" customHeight="1">
      <c r="A358" s="27"/>
      <c r="B358" s="33"/>
      <c r="C358" s="42"/>
      <c r="D358" s="161"/>
      <c r="E358" s="109"/>
      <c r="F358" s="109"/>
      <c r="G358" s="109"/>
      <c r="H358" s="42"/>
      <c r="I358" s="163"/>
      <c r="J358" s="163"/>
    </row>
    <row r="359" spans="1:10" s="1" customFormat="1" ht="15.9" customHeight="1">
      <c r="A359" s="27"/>
      <c r="B359" s="33"/>
      <c r="C359" s="163"/>
      <c r="D359" s="161"/>
      <c r="E359" s="109"/>
      <c r="F359" s="109"/>
      <c r="G359" s="109"/>
      <c r="H359" s="163"/>
      <c r="I359" s="161"/>
      <c r="J359" s="161"/>
    </row>
    <row r="360" spans="1:10" s="1" customFormat="1" ht="15.9" customHeight="1">
      <c r="A360" s="27"/>
      <c r="B360" s="33"/>
      <c r="C360" s="161"/>
      <c r="D360" s="161"/>
      <c r="E360" s="109"/>
      <c r="F360" s="109"/>
      <c r="G360" s="109"/>
      <c r="H360" s="161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46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161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D372" s="161"/>
      <c r="E372" s="109"/>
      <c r="F372" s="109"/>
      <c r="G372" s="33"/>
      <c r="H372" s="33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42"/>
      <c r="I376" s="163"/>
      <c r="J376" s="163"/>
    </row>
    <row r="377" spans="1:10" s="1" customFormat="1" ht="15.9" customHeight="1">
      <c r="A377" s="27"/>
      <c r="B377" s="33"/>
      <c r="C377" s="47"/>
      <c r="D377" s="161"/>
      <c r="E377" s="109"/>
      <c r="F377" s="109"/>
      <c r="G377" s="109"/>
      <c r="H377" s="163"/>
      <c r="I377" s="161"/>
      <c r="J377" s="161"/>
    </row>
    <row r="378" spans="1:10" s="1" customFormat="1" ht="15.9" customHeight="1">
      <c r="A378" s="27"/>
      <c r="B378" s="33"/>
      <c r="C378" s="46"/>
      <c r="D378" s="161"/>
      <c r="E378" s="109"/>
      <c r="F378" s="109"/>
      <c r="G378" s="109"/>
      <c r="H378" s="161"/>
      <c r="I378" s="24"/>
      <c r="J378" s="24"/>
    </row>
    <row r="379" spans="1:10" s="1" customFormat="1" ht="15.9" customHeight="1">
      <c r="A379" s="27"/>
      <c r="B379" s="33"/>
      <c r="C379" s="161"/>
      <c r="D379" s="161"/>
      <c r="E379" s="109"/>
      <c r="F379" s="109"/>
      <c r="G379" s="109"/>
      <c r="H379" s="42"/>
      <c r="I379" s="163"/>
      <c r="J379" s="163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3"/>
      <c r="I380" s="161"/>
      <c r="J380" s="161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1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64"/>
      <c r="J388" s="16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4"/>
      <c r="I389" s="165"/>
      <c r="J389" s="165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5"/>
      <c r="I390" s="161"/>
      <c r="J390" s="161"/>
    </row>
    <row r="391" spans="1:10" s="1" customFormat="1" ht="15.9" customHeight="1">
      <c r="A391" s="27"/>
      <c r="B391" s="33"/>
      <c r="C391" s="47"/>
      <c r="D391" s="161"/>
      <c r="E391" s="109"/>
      <c r="F391" s="109"/>
      <c r="G391" s="109"/>
      <c r="H391" s="161"/>
      <c r="I391" s="24"/>
      <c r="J391" s="24"/>
    </row>
    <row r="392" spans="1:10" s="1" customFormat="1" ht="15.9" customHeight="1">
      <c r="A392" s="27"/>
      <c r="B392" s="33"/>
      <c r="C392" s="46"/>
      <c r="D392" s="161"/>
      <c r="E392" s="109"/>
      <c r="F392" s="109"/>
      <c r="G392" s="109"/>
      <c r="H392" s="109"/>
      <c r="I392" s="109"/>
      <c r="J392" s="24"/>
    </row>
    <row r="393" spans="1:10" s="1" customFormat="1" ht="15.9" customHeight="1">
      <c r="A393" s="27"/>
      <c r="B393" s="33"/>
      <c r="C393" s="161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23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1" customFormat="1" ht="15.9" customHeight="1">
      <c r="A405" s="44"/>
      <c r="B405" s="33"/>
      <c r="C405" s="33"/>
      <c r="D405" s="161"/>
      <c r="E405" s="109"/>
      <c r="F405" s="109"/>
      <c r="G405" s="109"/>
      <c r="H405" s="109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109"/>
      <c r="B419" s="44"/>
      <c r="C419" s="44"/>
      <c r="D419" s="84"/>
      <c r="E419" s="44"/>
      <c r="F419" s="44"/>
      <c r="G419" s="44"/>
      <c r="H419" s="44"/>
      <c r="I419" s="24"/>
      <c r="J419" s="24"/>
      <c r="K419" s="71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LEFT($J$111,14)&amp;"-04"</f>
        <v>FG-240-11P6L5R-04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B423" s="33"/>
      <c r="C423" s="33"/>
      <c r="D423" s="161"/>
      <c r="E423" s="109"/>
      <c r="F423" s="109"/>
      <c r="G423" s="109"/>
      <c r="H423" s="109"/>
      <c r="I423" s="95"/>
      <c r="J423" s="90" t="str">
        <f>J2</f>
        <v>HOMELIFE</v>
      </c>
      <c r="K423" s="11"/>
      <c r="L423" s="11"/>
      <c r="M423" s="2"/>
      <c r="N423" s="2"/>
    </row>
    <row r="424" spans="1:14" ht="24.9" customHeight="1">
      <c r="B424" s="265"/>
      <c r="C424" s="5"/>
      <c r="D424" s="95"/>
      <c r="E424" s="95"/>
      <c r="F424" s="95"/>
      <c r="G424" s="95"/>
      <c r="H424" s="95"/>
      <c r="I424" s="28"/>
      <c r="J424" s="91" t="str">
        <f>J3</f>
        <v>Fabricators Guide</v>
      </c>
      <c r="K424" s="11"/>
      <c r="L424" s="11"/>
      <c r="M424" s="2"/>
      <c r="N424" s="2"/>
    </row>
    <row r="425" spans="1:14" ht="24.9" customHeight="1">
      <c r="B425" s="265"/>
      <c r="C425" s="28"/>
      <c r="D425" s="28"/>
      <c r="E425" s="28"/>
      <c r="F425" s="28"/>
      <c r="G425" s="28"/>
      <c r="H425" s="28"/>
      <c r="I425" s="28"/>
      <c r="J425" s="91" t="str">
        <f>J4</f>
        <v xml:space="preserve">240 Series Bi Fold Door </v>
      </c>
      <c r="K425" s="48"/>
      <c r="L425" s="48"/>
      <c r="M425" s="4"/>
      <c r="N425" s="4"/>
    </row>
    <row r="426" spans="1:14" s="1" customFormat="1" ht="15" customHeight="1" thickBot="1">
      <c r="A426" s="78"/>
      <c r="B426" s="8"/>
      <c r="C426" s="28"/>
      <c r="D426" s="28"/>
      <c r="E426" s="28"/>
      <c r="F426" s="28"/>
      <c r="G426" s="28"/>
      <c r="H426" s="2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  <c r="K427" s="4"/>
      <c r="L427" s="4"/>
      <c r="M427" s="4"/>
      <c r="N427" s="4"/>
    </row>
    <row r="428" spans="1:14" s="1" customFormat="1" ht="15" customHeight="1">
      <c r="A428" s="193"/>
      <c r="B428" s="194"/>
      <c r="C428" s="194"/>
      <c r="D428" s="194"/>
      <c r="E428" s="194"/>
      <c r="F428" s="194"/>
      <c r="G428" s="194"/>
      <c r="H428" s="194"/>
      <c r="I428" s="193"/>
      <c r="K428" s="56"/>
      <c r="L428" s="56"/>
      <c r="M428" s="56"/>
      <c r="N428" s="56"/>
    </row>
    <row r="429" spans="1:14" s="1" customFormat="1" ht="15" customHeight="1">
      <c r="A429" s="45"/>
      <c r="B429" s="193"/>
      <c r="C429" s="193"/>
      <c r="D429" s="193"/>
      <c r="E429" s="193"/>
      <c r="F429" s="193"/>
      <c r="G429" s="193"/>
      <c r="H429" s="193"/>
      <c r="I429" s="44"/>
      <c r="J429" s="119"/>
    </row>
    <row r="430" spans="1:14" s="1" customFormat="1" ht="15" customHeight="1">
      <c r="A430" s="109"/>
      <c r="B430" s="39"/>
      <c r="C430" s="33"/>
      <c r="D430" s="161"/>
      <c r="E430" s="35"/>
      <c r="F430" s="39"/>
      <c r="G430" s="193"/>
      <c r="H430" s="44"/>
      <c r="I430" s="44"/>
      <c r="J430" s="119"/>
    </row>
    <row r="431" spans="1:14" s="1" customFormat="1" ht="15" customHeight="1">
      <c r="A431" s="109"/>
      <c r="B431" s="33"/>
      <c r="C431" s="33"/>
      <c r="D431" s="161"/>
      <c r="E431" s="35"/>
      <c r="F431" s="161"/>
      <c r="G431" s="193"/>
      <c r="H431" s="44"/>
      <c r="I431" s="44"/>
      <c r="J431" s="119"/>
    </row>
    <row r="432" spans="1:14" s="1" customFormat="1" ht="15" customHeight="1">
      <c r="A432" s="109"/>
      <c r="B432" s="56"/>
      <c r="C432" s="56"/>
      <c r="D432" s="30"/>
      <c r="E432" s="29"/>
      <c r="F432" s="30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109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3"/>
      <c r="H434" s="44"/>
      <c r="I434" s="44"/>
      <c r="J434" s="119"/>
    </row>
    <row r="435" spans="1:10" s="1" customFormat="1" ht="15" customHeight="1">
      <c r="A435" s="109"/>
      <c r="B435" s="33"/>
      <c r="C435" s="161"/>
      <c r="D435" s="161"/>
      <c r="E435" s="35"/>
      <c r="F435" s="161"/>
      <c r="H435" s="44"/>
      <c r="I435" s="44"/>
      <c r="J435" s="119"/>
    </row>
    <row r="436" spans="1:10" s="1" customFormat="1" ht="15" customHeight="1">
      <c r="A436" s="39"/>
      <c r="B436" s="33"/>
      <c r="C436" s="42"/>
      <c r="D436" s="161"/>
      <c r="E436" s="109"/>
      <c r="F436" s="69"/>
      <c r="H436" s="44"/>
      <c r="I436" s="44"/>
      <c r="J436" s="119"/>
    </row>
    <row r="437" spans="1:10" s="1" customFormat="1" ht="15" customHeight="1">
      <c r="A437" s="92"/>
      <c r="B437" s="39"/>
      <c r="C437" s="163"/>
      <c r="D437" s="161"/>
      <c r="E437" s="109"/>
      <c r="F437" s="68"/>
      <c r="H437" s="44"/>
      <c r="I437" s="44"/>
      <c r="J437" s="119"/>
    </row>
    <row r="438" spans="1:10" s="1" customFormat="1" ht="15" customHeight="1">
      <c r="B438" s="92"/>
      <c r="C438" s="161"/>
      <c r="D438" s="161"/>
      <c r="E438" s="109"/>
      <c r="F438" s="262"/>
      <c r="H438" s="44"/>
      <c r="I438" s="44"/>
      <c r="J438" s="119"/>
    </row>
    <row r="439" spans="1:10" s="1" customFormat="1" ht="15" customHeight="1">
      <c r="A439" s="64" t="str">
        <f>A18</f>
        <v>240-11 Panel (6L5R)</v>
      </c>
      <c r="B439" s="92"/>
      <c r="C439" s="161"/>
      <c r="D439" s="161"/>
      <c r="E439" s="109"/>
      <c r="F439" s="262"/>
      <c r="H439" s="44"/>
      <c r="I439" s="44"/>
      <c r="J439" s="119"/>
    </row>
    <row r="440" spans="1:10" s="1" customFormat="1" ht="15.9" customHeight="1">
      <c r="A440" s="76" t="str">
        <f>A19</f>
        <v xml:space="preserve">Outside Bi Fold Door </v>
      </c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44"/>
      <c r="B442" s="38"/>
      <c r="C442" s="43"/>
      <c r="D442" s="161"/>
      <c r="E442" s="109"/>
      <c r="F442" s="109"/>
      <c r="H442" s="44"/>
      <c r="I442" s="44"/>
      <c r="J442" s="119"/>
    </row>
    <row r="443" spans="1:10" s="1" customFormat="1" ht="15.9" customHeight="1">
      <c r="A443" s="40"/>
      <c r="C443" s="44"/>
      <c r="D443" s="84"/>
      <c r="E443" s="44"/>
      <c r="F443" s="44"/>
      <c r="H443" s="44"/>
      <c r="I443" s="44"/>
      <c r="J443" s="119"/>
    </row>
    <row r="444" spans="1:10" s="1" customFormat="1" ht="35.1" customHeight="1">
      <c r="A444" s="109"/>
      <c r="C444" s="161"/>
      <c r="D444" s="85"/>
      <c r="E444" s="40"/>
      <c r="F444" s="32"/>
      <c r="H444" s="44"/>
      <c r="I444" s="24"/>
      <c r="J444" s="24"/>
    </row>
    <row r="445" spans="1:10" ht="15.6">
      <c r="B445" s="64"/>
      <c r="C445" s="163"/>
      <c r="D445" s="161"/>
      <c r="E445" s="109"/>
      <c r="F445" s="161"/>
      <c r="G445" s="109"/>
      <c r="H445" s="109"/>
    </row>
    <row r="450" spans="1:10" s="1" customFormat="1" ht="15.9" customHeight="1">
      <c r="A450" s="109"/>
      <c r="B450"/>
      <c r="C450"/>
      <c r="D450" s="81"/>
      <c r="E450"/>
      <c r="F450"/>
      <c r="G450"/>
      <c r="H450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44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1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163"/>
      <c r="D456" s="161"/>
      <c r="E456" s="109"/>
      <c r="F456" s="161"/>
      <c r="G456" s="109"/>
      <c r="H456" s="109"/>
      <c r="I456" s="109"/>
      <c r="J456" s="24"/>
    </row>
    <row r="457" spans="1:10" s="1" customFormat="1" ht="15.9" customHeight="1">
      <c r="A457" s="109"/>
      <c r="B457" s="33"/>
      <c r="C457" s="161"/>
      <c r="D457" s="161"/>
      <c r="E457" s="109"/>
      <c r="F457" s="161"/>
      <c r="G457" s="109"/>
      <c r="H457" s="109"/>
      <c r="I457" s="24"/>
      <c r="J457" s="24"/>
    </row>
    <row r="458" spans="1:10" s="1" customFormat="1" ht="15.9" customHeight="1">
      <c r="A458" s="109"/>
      <c r="B458" s="33"/>
      <c r="C458" s="33"/>
      <c r="D458" s="161"/>
      <c r="E458" s="109"/>
      <c r="F458" s="109"/>
      <c r="G458" s="109"/>
      <c r="H458" s="109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7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" customHeight="1">
      <c r="A476" s="109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23" customFormat="1" ht="15.9" customHeight="1">
      <c r="A477" s="109"/>
      <c r="B477" s="33"/>
      <c r="C477" s="33"/>
      <c r="D477" s="161"/>
      <c r="E477" s="109"/>
      <c r="F477" s="109"/>
      <c r="G477" s="109"/>
      <c r="H477" s="109"/>
      <c r="I477" s="109"/>
      <c r="J477" s="109"/>
    </row>
    <row r="478" spans="1:10" s="1" customFormat="1" ht="15.9" customHeight="1">
      <c r="A478" s="44"/>
      <c r="B478" s="33"/>
      <c r="C478" s="33"/>
      <c r="D478" s="161"/>
      <c r="E478" s="109"/>
      <c r="F478" s="109"/>
      <c r="G478" s="109"/>
      <c r="H478" s="109"/>
      <c r="I478" s="44"/>
      <c r="J478" s="119"/>
    </row>
    <row r="479" spans="1:10" s="1" customFormat="1" ht="15.9" customHeight="1">
      <c r="A479" s="40"/>
      <c r="B479" s="44"/>
      <c r="C479" s="44"/>
      <c r="D479" s="84"/>
      <c r="E479" s="44"/>
      <c r="F479" s="44"/>
      <c r="G479" s="44"/>
      <c r="H479" s="44"/>
      <c r="I479" s="32"/>
      <c r="J479" s="40"/>
    </row>
    <row r="480" spans="1:10" s="1" customFormat="1" ht="15.9" customHeight="1">
      <c r="A480" s="27"/>
      <c r="B480" s="40"/>
      <c r="C480" s="44"/>
      <c r="D480" s="85"/>
      <c r="E480" s="40"/>
      <c r="F480" s="32"/>
      <c r="G480" s="40"/>
      <c r="H480" s="32"/>
      <c r="I480" s="24"/>
      <c r="J480" s="24"/>
    </row>
    <row r="481" spans="1:10" s="1" customFormat="1" ht="15.9" customHeight="1">
      <c r="A481" s="27"/>
      <c r="B481" s="33"/>
      <c r="C481" s="42"/>
      <c r="D481" s="161"/>
      <c r="E481" s="109"/>
      <c r="F481" s="109"/>
      <c r="G481" s="109"/>
      <c r="H481" s="42"/>
      <c r="I481" s="67"/>
      <c r="J481" s="165"/>
    </row>
    <row r="482" spans="1:10" s="1" customFormat="1" ht="15.9" customHeight="1">
      <c r="A482" s="27"/>
      <c r="B482" s="33"/>
      <c r="C482" s="163"/>
      <c r="D482" s="161"/>
      <c r="E482" s="109"/>
      <c r="F482" s="109"/>
      <c r="G482" s="109"/>
      <c r="H482" s="67"/>
      <c r="I482" s="38"/>
      <c r="J482" s="109"/>
    </row>
    <row r="483" spans="1:10" s="1" customFormat="1" ht="15.9" customHeight="1">
      <c r="A483" s="27"/>
      <c r="B483" s="33"/>
      <c r="C483" s="161"/>
      <c r="D483" s="161"/>
      <c r="E483" s="109"/>
      <c r="F483" s="109"/>
      <c r="G483" s="109"/>
      <c r="H483" s="38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46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161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D495" s="161"/>
      <c r="E495" s="109"/>
      <c r="F495" s="109"/>
      <c r="G495" s="33"/>
      <c r="H495" s="33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42"/>
      <c r="I499" s="67"/>
      <c r="J499" s="165"/>
    </row>
    <row r="500" spans="1:10" s="1" customFormat="1" ht="15.9" customHeight="1">
      <c r="A500" s="27"/>
      <c r="B500" s="33"/>
      <c r="C500" s="47"/>
      <c r="D500" s="161"/>
      <c r="E500" s="109"/>
      <c r="F500" s="109"/>
      <c r="G500" s="109"/>
      <c r="H500" s="67"/>
      <c r="I500" s="38"/>
      <c r="J500" s="109"/>
    </row>
    <row r="501" spans="1:10" s="1" customFormat="1" ht="15.9" customHeight="1">
      <c r="A501" s="27"/>
      <c r="B501" s="33"/>
      <c r="C501" s="46"/>
      <c r="D501" s="161"/>
      <c r="E501" s="109"/>
      <c r="F501" s="109"/>
      <c r="G501" s="109"/>
      <c r="H501" s="38"/>
      <c r="I501" s="24"/>
      <c r="J501" s="24"/>
    </row>
    <row r="502" spans="1:10" s="1" customFormat="1" ht="15.9" customHeight="1">
      <c r="A502" s="27"/>
      <c r="B502" s="33"/>
      <c r="C502" s="161"/>
      <c r="D502" s="161"/>
      <c r="E502" s="109"/>
      <c r="F502" s="109"/>
      <c r="G502" s="109"/>
      <c r="H502" s="42"/>
      <c r="I502" s="67"/>
      <c r="J502" s="165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67"/>
      <c r="I503" s="38"/>
      <c r="J503" s="109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38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75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109"/>
      <c r="J512" s="24"/>
    </row>
    <row r="513" spans="1:15" s="1" customFormat="1" ht="15.9" customHeight="1">
      <c r="A513" s="44"/>
      <c r="B513" s="33"/>
      <c r="C513" s="33"/>
      <c r="D513" s="161"/>
      <c r="E513" s="109"/>
      <c r="F513" s="109"/>
      <c r="G513" s="109"/>
      <c r="H513" s="67"/>
      <c r="I513" s="44"/>
      <c r="J513" s="119"/>
    </row>
    <row r="514" spans="1:15" s="1" customFormat="1" ht="15.9" customHeight="1">
      <c r="A514" s="44"/>
      <c r="B514" s="44"/>
      <c r="C514" s="44"/>
      <c r="D514" s="84"/>
      <c r="E514" s="44"/>
      <c r="F514" s="44"/>
      <c r="G514" s="44"/>
      <c r="H514" s="44"/>
      <c r="I514" s="44"/>
      <c r="J514" s="119"/>
    </row>
    <row r="515" spans="1:15" s="1" customFormat="1" ht="15.9" customHeight="1">
      <c r="A515" s="44"/>
      <c r="B515" s="44"/>
      <c r="C515" s="44"/>
      <c r="D515" s="84"/>
      <c r="E515" s="44"/>
      <c r="F515" s="44"/>
      <c r="G515" s="44"/>
      <c r="H515" s="44"/>
      <c r="I515" s="44"/>
      <c r="J515" s="119"/>
    </row>
    <row r="516" spans="1:15" s="1" customFormat="1" ht="15.9" customHeight="1">
      <c r="B516" s="44"/>
      <c r="C516" s="44"/>
      <c r="D516" s="84"/>
      <c r="E516" s="44"/>
      <c r="F516" s="44"/>
      <c r="G516" s="44"/>
      <c r="H516" s="44"/>
    </row>
    <row r="517" spans="1:15" s="1" customFormat="1" ht="15.9" customHeight="1" thickBot="1"/>
    <row r="518" spans="1:15" s="1" customFormat="1" ht="24.9" customHeight="1" thickBot="1">
      <c r="A518" s="502" t="s">
        <v>401</v>
      </c>
      <c r="B518" s="503"/>
      <c r="C518" s="503"/>
      <c r="D518" s="503"/>
      <c r="E518" s="503"/>
      <c r="F518" s="503"/>
      <c r="G518" s="503"/>
      <c r="H518" s="503"/>
      <c r="I518" s="503"/>
      <c r="J518" s="504"/>
    </row>
    <row r="519" spans="1:15" s="1" customFormat="1" ht="35.1" customHeight="1" thickBot="1">
      <c r="A519" s="146" t="s">
        <v>2</v>
      </c>
      <c r="B519" s="147" t="s">
        <v>3</v>
      </c>
      <c r="C519" s="103" t="s">
        <v>3</v>
      </c>
      <c r="D519" s="104" t="s">
        <v>35</v>
      </c>
      <c r="E519" s="103" t="s">
        <v>5</v>
      </c>
      <c r="F519" s="252" t="s">
        <v>27</v>
      </c>
      <c r="G519" s="305"/>
      <c r="H519" s="104" t="s">
        <v>27</v>
      </c>
      <c r="I519" s="104" t="s">
        <v>26</v>
      </c>
      <c r="J519" s="115" t="s">
        <v>6</v>
      </c>
      <c r="N519" s="249" t="s">
        <v>3</v>
      </c>
      <c r="O519" s="249" t="s">
        <v>3</v>
      </c>
    </row>
    <row r="520" spans="1:15" s="1" customFormat="1" ht="15.9" customHeight="1">
      <c r="A520" s="150">
        <f>IF(C520="","",1)</f>
        <v>1</v>
      </c>
      <c r="B520" s="121" t="str">
        <f>IF($D$127=5,N520,IF($D$127=6,N521,IF($D$127=8,N522,IF($D$127=10,N523,IF($D$127=12,N524,IF($D$127=14,N525,IF($D$127=18,N526,IF($D$127=20,N527,IF($D$127=22,N528,)))))))))</f>
        <v>กระจก 5 mm (สูง) (กว้าง)</v>
      </c>
      <c r="C520" s="121" t="str">
        <f>IF($D$127=5,O520,IF($D$127=6,O521,IF($D$127=8,O522,IF($D$127=10,O523,IF($D$127=12,O524,IF($D$127=14,O525,IF($D$127=18,O526,IF($D$127=20,O527,IF($D$127=22,O528,)))))))))</f>
        <v>GLASS thk.5 mm (H) (W)</v>
      </c>
      <c r="D520" s="124">
        <f>$J$123-215</f>
        <v>2285</v>
      </c>
      <c r="E520" s="123" t="s">
        <v>11</v>
      </c>
      <c r="F520" s="527" t="s">
        <v>271</v>
      </c>
      <c r="G520" s="528"/>
      <c r="H520" s="123" t="s">
        <v>307</v>
      </c>
      <c r="I520" s="124">
        <f>(($J$126-185-(113.25*10))/11)-13</f>
        <v>49.045454545454547</v>
      </c>
      <c r="J520" s="151">
        <f>$J$120*11</f>
        <v>11</v>
      </c>
      <c r="N520" s="19" t="s">
        <v>194</v>
      </c>
      <c r="O520" s="19" t="s">
        <v>195</v>
      </c>
    </row>
    <row r="521" spans="1:15" s="1" customFormat="1" ht="15.9" customHeight="1">
      <c r="A521" s="152"/>
      <c r="B521" s="127"/>
      <c r="C521" s="127"/>
      <c r="D521" s="128" t="s">
        <v>0</v>
      </c>
      <c r="E521" s="129"/>
      <c r="F521" s="155"/>
      <c r="G521" s="156"/>
      <c r="H521" s="127"/>
      <c r="I521" s="130"/>
      <c r="J521" s="153"/>
      <c r="N521" s="19" t="s">
        <v>53</v>
      </c>
      <c r="O521" s="19" t="s">
        <v>54</v>
      </c>
    </row>
    <row r="522" spans="1:15" s="1" customFormat="1" ht="15.9" customHeight="1">
      <c r="A522" s="152"/>
      <c r="B522" s="127"/>
      <c r="C522" s="127"/>
      <c r="D522" s="128"/>
      <c r="E522" s="129"/>
      <c r="F522" s="155"/>
      <c r="G522" s="156"/>
      <c r="H522" s="129"/>
      <c r="I522" s="130"/>
      <c r="J522" s="153"/>
      <c r="N522" s="19" t="s">
        <v>257</v>
      </c>
      <c r="O522" s="19" t="s">
        <v>258</v>
      </c>
    </row>
    <row r="523" spans="1:15" s="1" customFormat="1" ht="15.9" customHeight="1">
      <c r="A523" s="129" t="str">
        <f>IF(B523="","",+A521+1)</f>
        <v/>
      </c>
      <c r="B523" s="127"/>
      <c r="C523" s="127"/>
      <c r="D523" s="128"/>
      <c r="E523" s="129"/>
      <c r="F523" s="155"/>
      <c r="G523" s="157"/>
      <c r="H523" s="129"/>
      <c r="I523" s="144"/>
      <c r="J523" s="130"/>
      <c r="N523" s="19" t="s">
        <v>259</v>
      </c>
      <c r="O523" s="19" t="s">
        <v>265</v>
      </c>
    </row>
    <row r="524" spans="1:15" s="1" customFormat="1" ht="15.9" customHeight="1">
      <c r="A524" s="135" t="str">
        <f>IF(B524="","",+A523+1)</f>
        <v/>
      </c>
      <c r="B524" s="133"/>
      <c r="C524" s="133"/>
      <c r="D524" s="134"/>
      <c r="E524" s="135"/>
      <c r="F524" s="158"/>
      <c r="G524" s="159"/>
      <c r="H524" s="135"/>
      <c r="I524" s="145"/>
      <c r="J524" s="136"/>
      <c r="N524" s="19" t="s">
        <v>260</v>
      </c>
      <c r="O524" s="19" t="s">
        <v>266</v>
      </c>
    </row>
    <row r="525" spans="1:15" s="1" customFormat="1" ht="15.9" customHeight="1">
      <c r="A525" s="17"/>
      <c r="B525" s="56"/>
      <c r="C525" s="56"/>
      <c r="D525" s="30"/>
      <c r="E525" s="17"/>
      <c r="F525" s="17"/>
      <c r="G525" s="17"/>
      <c r="H525" s="109"/>
      <c r="I525" s="109"/>
      <c r="J525" s="24"/>
      <c r="N525" s="19" t="s">
        <v>261</v>
      </c>
      <c r="O525" s="19" t="s">
        <v>267</v>
      </c>
    </row>
    <row r="526" spans="1:15">
      <c r="H526" s="294"/>
      <c r="I526" s="294"/>
      <c r="J526" s="99" t="str">
        <f>LEFT($J$111,14)&amp;"-05"</f>
        <v>FG-240-11P6L5R-05</v>
      </c>
      <c r="N526" s="19" t="s">
        <v>262</v>
      </c>
      <c r="O526" s="19" t="s">
        <v>268</v>
      </c>
    </row>
    <row r="527" spans="1:15">
      <c r="N527" s="19" t="s">
        <v>263</v>
      </c>
      <c r="O527" s="19" t="s">
        <v>269</v>
      </c>
    </row>
    <row r="528" spans="1:15">
      <c r="N528" s="19" t="s">
        <v>264</v>
      </c>
      <c r="O528" s="19" t="s">
        <v>270</v>
      </c>
    </row>
  </sheetData>
  <sheetProtection selectLockedCells="1" selectUnlockedCells="1"/>
  <dataConsolidate function="product">
    <dataRefs count="1">
      <dataRef ref="N129:N131" sheet="240_7Panel(6L1R)" r:id="rId1"/>
    </dataRefs>
  </dataConsolidate>
  <mergeCells count="46">
    <mergeCell ref="A6:J6"/>
    <mergeCell ref="H120:I121"/>
    <mergeCell ref="J120:J121"/>
    <mergeCell ref="A117:J117"/>
    <mergeCell ref="D119:G119"/>
    <mergeCell ref="D121:G121"/>
    <mergeCell ref="D129:G129"/>
    <mergeCell ref="H123:I124"/>
    <mergeCell ref="J123:J124"/>
    <mergeCell ref="I159:J159"/>
    <mergeCell ref="D159:D160"/>
    <mergeCell ref="A131:J131"/>
    <mergeCell ref="I152:J152"/>
    <mergeCell ref="I153:J153"/>
    <mergeCell ref="I154:J154"/>
    <mergeCell ref="A125:B125"/>
    <mergeCell ref="H126:I127"/>
    <mergeCell ref="J126:J127"/>
    <mergeCell ref="D127:G127"/>
    <mergeCell ref="D123:G123"/>
    <mergeCell ref="D125:G125"/>
    <mergeCell ref="I155:J155"/>
    <mergeCell ref="I156:J156"/>
    <mergeCell ref="D157:D158"/>
    <mergeCell ref="H157:H158"/>
    <mergeCell ref="I157:J158"/>
    <mergeCell ref="F520:G520"/>
    <mergeCell ref="A518:J518"/>
    <mergeCell ref="A427:J427"/>
    <mergeCell ref="A320:J320"/>
    <mergeCell ref="A213:J213"/>
    <mergeCell ref="C308:E308"/>
    <mergeCell ref="A171:J171"/>
    <mergeCell ref="F334:G334"/>
    <mergeCell ref="F330:G330"/>
    <mergeCell ref="F331:G331"/>
    <mergeCell ref="I160:J163"/>
    <mergeCell ref="I164:J165"/>
    <mergeCell ref="H159:H160"/>
    <mergeCell ref="I166:J166"/>
    <mergeCell ref="D169:D170"/>
    <mergeCell ref="H167:H168"/>
    <mergeCell ref="H169:H170"/>
    <mergeCell ref="D167:D168"/>
    <mergeCell ref="D161:D166"/>
    <mergeCell ref="H161:H166"/>
  </mergeCells>
  <dataValidations disablePrompts="1" count="4">
    <dataValidation type="list" allowBlank="1" showInputMessage="1" showErrorMessage="1" sqref="C206">
      <formula1>$O$173:$O$191</formula1>
    </dataValidation>
    <dataValidation type="list" allowBlank="1" showInputMessage="1" showErrorMessage="1" sqref="D123:G123">
      <formula1>$P$118:$P$127</formula1>
    </dataValidation>
    <dataValidation type="list" allowBlank="1" showInputMessage="1" showErrorMessage="1" sqref="D127:G127">
      <formula1>$N$119:$N$127</formula1>
    </dataValidation>
    <dataValidation type="list" allowBlank="1" showInputMessage="1" showErrorMessage="1" sqref="D129:G129">
      <formula1>$O$119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16383" man="1"/>
    <brk id="421" max="9" man="1"/>
  </rowBreaks>
  <drawing r:id="rId3"/>
  <legacyDrawing r:id="rId4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7">
    <tabColor theme="5" tint="-0.249977111117893"/>
  </sheetPr>
  <dimension ref="A1:X528"/>
  <sheetViews>
    <sheetView showGridLines="0" view="pageBreakPreview" topLeftCell="A113" zoomScale="75" zoomScaleNormal="75" zoomScaleSheetLayoutView="75" workbookViewId="0">
      <selection activeCell="I135" sqref="I135"/>
    </sheetView>
  </sheetViews>
  <sheetFormatPr defaultRowHeight="14.4" outlineLevelRow="1" outlineLevelCol="1"/>
  <cols>
    <col min="1" max="1" width="7" customWidth="1"/>
    <col min="2" max="2" width="40.6640625" customWidth="1"/>
    <col min="3" max="3" width="55.664062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9" bestFit="1" customWidth="1"/>
    <col min="9" max="9" width="15.109375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2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71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71"/>
      <c r="E3" s="271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209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/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>
      <c r="G55" s="10"/>
    </row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359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71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71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8">
      <c r="A118" s="12"/>
      <c r="C118" s="8"/>
      <c r="D118" s="15"/>
      <c r="E118" s="13"/>
      <c r="J118" s="273"/>
      <c r="K118" s="11"/>
      <c r="L118" s="56"/>
      <c r="M118" s="56"/>
      <c r="N118" s="243" t="s">
        <v>191</v>
      </c>
      <c r="O118" s="12" t="s">
        <v>227</v>
      </c>
      <c r="P118" s="247" t="s">
        <v>16</v>
      </c>
    </row>
    <row r="119" spans="1:16" s="1" customFormat="1" ht="15" customHeight="1">
      <c r="A119" s="12"/>
      <c r="C119" s="110" t="s">
        <v>635</v>
      </c>
      <c r="D119" s="524"/>
      <c r="E119" s="525"/>
      <c r="F119" s="525"/>
      <c r="G119" s="526"/>
      <c r="I119" s="16"/>
      <c r="J119" s="12"/>
      <c r="N119" s="244">
        <v>5</v>
      </c>
      <c r="O119" s="12" t="s">
        <v>243</v>
      </c>
      <c r="P119" s="335" t="s">
        <v>389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5">
        <v>6</v>
      </c>
      <c r="O120" s="12" t="s">
        <v>244</v>
      </c>
      <c r="P120" s="336" t="s">
        <v>390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8</v>
      </c>
      <c r="P121" s="336" t="s">
        <v>391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10</v>
      </c>
      <c r="P122" s="336" t="s">
        <v>392</v>
      </c>
    </row>
    <row r="123" spans="1:16" s="1" customFormat="1" ht="15" customHeight="1">
      <c r="A123" s="12"/>
      <c r="C123" s="110" t="s">
        <v>629</v>
      </c>
      <c r="D123" s="524" t="s">
        <v>15</v>
      </c>
      <c r="E123" s="525"/>
      <c r="F123" s="525"/>
      <c r="G123" s="526"/>
      <c r="H123" s="519" t="s">
        <v>638</v>
      </c>
      <c r="I123" s="520"/>
      <c r="J123" s="517">
        <v>2500</v>
      </c>
      <c r="N123" s="245">
        <v>12</v>
      </c>
      <c r="P123" s="335" t="s">
        <v>393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14</v>
      </c>
      <c r="P124" s="335" t="s">
        <v>394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272"/>
      <c r="L125" s="77"/>
      <c r="N125" s="245">
        <v>18</v>
      </c>
      <c r="P125" s="335" t="s">
        <v>395</v>
      </c>
    </row>
    <row r="126" spans="1:16" s="1" customFormat="1" ht="15" customHeight="1">
      <c r="A126" s="273"/>
      <c r="B126" s="273"/>
      <c r="C126" s="423" t="s">
        <v>631</v>
      </c>
      <c r="D126" s="15"/>
      <c r="H126" s="519" t="s">
        <v>639</v>
      </c>
      <c r="I126" s="520"/>
      <c r="J126" s="517">
        <v>2000</v>
      </c>
      <c r="K126" s="272"/>
      <c r="L126" s="77"/>
      <c r="N126" s="245">
        <v>20</v>
      </c>
      <c r="P126" s="335" t="s">
        <v>396</v>
      </c>
    </row>
    <row r="127" spans="1:16" s="1" customFormat="1" ht="15" customHeight="1">
      <c r="A127" s="273"/>
      <c r="B127" s="273"/>
      <c r="C127" s="110" t="s">
        <v>633</v>
      </c>
      <c r="D127" s="534">
        <v>5</v>
      </c>
      <c r="E127" s="535"/>
      <c r="F127" s="535"/>
      <c r="G127" s="536"/>
      <c r="H127" s="520"/>
      <c r="I127" s="520"/>
      <c r="J127" s="518"/>
      <c r="N127" s="245">
        <v>22</v>
      </c>
      <c r="P127" s="335" t="s">
        <v>397</v>
      </c>
    </row>
    <row r="128" spans="1:16" s="1" customFormat="1" ht="18.75" customHeight="1">
      <c r="C128" s="423" t="s">
        <v>632</v>
      </c>
      <c r="I128" s="12"/>
      <c r="J128" s="12"/>
    </row>
    <row r="129" spans="1:23" s="1" customFormat="1" ht="15" customHeight="1">
      <c r="A129" s="88" t="str">
        <f>A18</f>
        <v>240-12 Panel (5L7R)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1940</v>
      </c>
      <c r="J133" s="125">
        <f t="shared" ref="J133:J151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24</v>
      </c>
      <c r="U133" s="283" t="s">
        <v>308</v>
      </c>
      <c r="V133" s="307">
        <f>($J$126-185-(113.25*11))/12</f>
        <v>47.4375</v>
      </c>
      <c r="W133" s="286">
        <f>$J$120*T133</f>
        <v>24</v>
      </c>
    </row>
    <row r="134" spans="1:23" s="1" customFormat="1" ht="18" customHeight="1">
      <c r="A134" s="143">
        <f t="shared" ref="A134:A150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1914</v>
      </c>
      <c r="J134" s="131">
        <f t="shared" ref="J134:J139" si="2"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24</v>
      </c>
      <c r="U134" s="129" t="s">
        <v>308</v>
      </c>
      <c r="V134" s="178">
        <f t="shared" ref="V134:V135" si="3">($J$126-185-(113.25*11))/12</f>
        <v>47.4375</v>
      </c>
      <c r="W134" s="131">
        <f t="shared" ref="W134:W135" si="4">$J$120*T134</f>
        <v>24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1940</v>
      </c>
      <c r="J135" s="131">
        <f t="shared" si="2"/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24</v>
      </c>
      <c r="U135" s="135" t="s">
        <v>308</v>
      </c>
      <c r="V135" s="308">
        <f t="shared" si="3"/>
        <v>47.4375</v>
      </c>
      <c r="W135" s="293">
        <f t="shared" si="4"/>
        <v>24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1940</v>
      </c>
      <c r="J136" s="131">
        <f t="shared" si="2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24</v>
      </c>
      <c r="U136" s="283" t="s">
        <v>64</v>
      </c>
      <c r="V136" s="288">
        <f>$J$123-242</f>
        <v>2258</v>
      </c>
      <c r="W136" s="286">
        <f>$J$120*T136</f>
        <v>24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2500</v>
      </c>
      <c r="J137" s="131">
        <f t="shared" si="2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24</v>
      </c>
      <c r="U137" s="129" t="s">
        <v>64</v>
      </c>
      <c r="V137" s="130">
        <f>$J$123-242</f>
        <v>2258</v>
      </c>
      <c r="W137" s="131">
        <f t="shared" ref="W137:W138" si="5">$J$120*T137</f>
        <v>24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2500</v>
      </c>
      <c r="J138" s="131">
        <f t="shared" si="2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24</v>
      </c>
      <c r="U138" s="135" t="s">
        <v>64</v>
      </c>
      <c r="V138" s="136">
        <f>$J$123-242</f>
        <v>2258</v>
      </c>
      <c r="W138" s="293">
        <f t="shared" si="5"/>
        <v>24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2404</v>
      </c>
      <c r="J139" s="131">
        <f t="shared" si="2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2404</v>
      </c>
      <c r="J140" s="131">
        <f t="shared" ref="J140" si="6">$J$120*G140</f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12</v>
      </c>
      <c r="H141" s="268" t="s">
        <v>308</v>
      </c>
      <c r="I141" s="178">
        <f>($J$126-185-(113.25*11))/12</f>
        <v>47.4375</v>
      </c>
      <c r="J141" s="131">
        <f t="shared" ref="J141:J150" si="7">$J$120*G141</f>
        <v>12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12</v>
      </c>
      <c r="H142" s="268" t="s">
        <v>308</v>
      </c>
      <c r="I142" s="178">
        <f>($J$126-185-(113.25*11))/12</f>
        <v>47.4375</v>
      </c>
      <c r="J142" s="131">
        <f t="shared" si="7"/>
        <v>12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18</v>
      </c>
      <c r="H143" s="143" t="s">
        <v>63</v>
      </c>
      <c r="I143" s="130">
        <f>$J$123-92</f>
        <v>2408</v>
      </c>
      <c r="J143" s="131">
        <f t="shared" si="7"/>
        <v>18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2</v>
      </c>
      <c r="H144" s="143" t="s">
        <v>63</v>
      </c>
      <c r="I144" s="130">
        <f>$J$123-92</f>
        <v>2408</v>
      </c>
      <c r="J144" s="131">
        <f t="shared" si="7"/>
        <v>2</v>
      </c>
      <c r="N144" s="98"/>
    </row>
    <row r="145" spans="1:14" s="1" customFormat="1" ht="18" customHeight="1">
      <c r="A145" s="143">
        <f t="shared" si="1"/>
        <v>13</v>
      </c>
      <c r="B145" s="140" t="s">
        <v>8</v>
      </c>
      <c r="C145" s="140" t="s">
        <v>151</v>
      </c>
      <c r="D145" s="139" t="s">
        <v>50</v>
      </c>
      <c r="E145" s="143">
        <v>1.1060000000000001</v>
      </c>
      <c r="F145" s="139" t="s">
        <v>496</v>
      </c>
      <c r="G145" s="143">
        <v>3</v>
      </c>
      <c r="H145" s="143" t="s">
        <v>63</v>
      </c>
      <c r="I145" s="130">
        <f>$J$123-92</f>
        <v>2408</v>
      </c>
      <c r="J145" s="131">
        <f t="shared" si="7"/>
        <v>3</v>
      </c>
      <c r="N145" s="98"/>
    </row>
    <row r="146" spans="1:14" s="1" customFormat="1" ht="18" customHeight="1">
      <c r="A146" s="143">
        <f t="shared" si="1"/>
        <v>14</v>
      </c>
      <c r="B146" s="140" t="s">
        <v>116</v>
      </c>
      <c r="C146" s="140" t="s">
        <v>99</v>
      </c>
      <c r="D146" s="139" t="s">
        <v>50</v>
      </c>
      <c r="E146" s="143">
        <v>1.1060000000000001</v>
      </c>
      <c r="F146" s="139" t="s">
        <v>506</v>
      </c>
      <c r="G146" s="143">
        <v>1</v>
      </c>
      <c r="H146" s="143" t="s">
        <v>63</v>
      </c>
      <c r="I146" s="130">
        <f>$J$123-92</f>
        <v>2408</v>
      </c>
      <c r="J146" s="131">
        <f t="shared" si="7"/>
        <v>1</v>
      </c>
      <c r="N146" s="98"/>
    </row>
    <row r="147" spans="1:14" s="1" customFormat="1" ht="18" customHeight="1">
      <c r="A147" s="143">
        <f t="shared" si="1"/>
        <v>15</v>
      </c>
      <c r="B147" s="140" t="str">
        <f t="shared" ref="B147:I147" si="8">IF($D$127=5,O133,IF($D$127=6,O133,IF($D$127=8,O134,IF($D$127=10,O134,IF($D$127=12,O134,IF($D$127=14,O135,IF($D$127=18,O135,IF($D$127=20,O135,IF($D$127=22,O135,)))))))))</f>
        <v>5-6mm คิ้วตบกระจกแนวนอน</v>
      </c>
      <c r="C147" s="140" t="str">
        <f t="shared" si="8"/>
        <v>5-6mm GLAZING BEAD HORIZONTAL</v>
      </c>
      <c r="D147" s="140" t="str">
        <f t="shared" si="8"/>
        <v>B24008</v>
      </c>
      <c r="E147" s="140">
        <f t="shared" si="8"/>
        <v>0.23100000000000001</v>
      </c>
      <c r="F147" s="140" t="str">
        <f t="shared" si="8"/>
        <v>B24008-001</v>
      </c>
      <c r="G147" s="143">
        <f t="shared" si="8"/>
        <v>24</v>
      </c>
      <c r="H147" s="129" t="str">
        <f t="shared" si="8"/>
        <v>(W-185-(113.25 × 11))/12</v>
      </c>
      <c r="I147" s="178">
        <f t="shared" si="8"/>
        <v>47.4375</v>
      </c>
      <c r="J147" s="131">
        <f t="shared" si="7"/>
        <v>24</v>
      </c>
      <c r="N147" s="98"/>
    </row>
    <row r="148" spans="1:14" s="1" customFormat="1" ht="18" customHeight="1">
      <c r="A148" s="143">
        <f t="shared" si="1"/>
        <v>16</v>
      </c>
      <c r="B148" s="140" t="str">
        <f t="shared" ref="B148:I148" si="9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40" t="str">
        <f t="shared" si="9"/>
        <v>5-6mm GLAZING BEAD VERTICAL</v>
      </c>
      <c r="D148" s="140" t="str">
        <f t="shared" si="9"/>
        <v>B24008</v>
      </c>
      <c r="E148" s="140">
        <f t="shared" si="9"/>
        <v>0.23100000000000001</v>
      </c>
      <c r="F148" s="140" t="str">
        <f t="shared" si="9"/>
        <v>B24008-002</v>
      </c>
      <c r="G148" s="143">
        <f t="shared" si="9"/>
        <v>24</v>
      </c>
      <c r="H148" s="129" t="str">
        <f t="shared" si="9"/>
        <v>H-242</v>
      </c>
      <c r="I148" s="144">
        <f t="shared" si="9"/>
        <v>2258</v>
      </c>
      <c r="J148" s="131">
        <f t="shared" si="7"/>
        <v>24</v>
      </c>
      <c r="N148" s="98"/>
    </row>
    <row r="149" spans="1:14" s="1" customFormat="1" ht="18" customHeight="1">
      <c r="A149" s="143">
        <f t="shared" si="1"/>
        <v>17</v>
      </c>
      <c r="B149" s="140" t="s">
        <v>125</v>
      </c>
      <c r="C149" s="140" t="s">
        <v>124</v>
      </c>
      <c r="D149" s="139" t="s">
        <v>123</v>
      </c>
      <c r="E149" s="143"/>
      <c r="F149" s="139" t="s">
        <v>362</v>
      </c>
      <c r="G149" s="143">
        <v>1</v>
      </c>
      <c r="H149" s="143" t="s">
        <v>63</v>
      </c>
      <c r="I149" s="130">
        <f>$J$123-92</f>
        <v>2408</v>
      </c>
      <c r="J149" s="131">
        <f t="shared" si="7"/>
        <v>1</v>
      </c>
      <c r="N149" s="98"/>
    </row>
    <row r="150" spans="1:14" s="1" customFormat="1" ht="18" customHeight="1">
      <c r="A150" s="143">
        <f t="shared" si="1"/>
        <v>18</v>
      </c>
      <c r="B150" s="140" t="s">
        <v>125</v>
      </c>
      <c r="C150" s="140" t="s">
        <v>124</v>
      </c>
      <c r="D150" s="139" t="s">
        <v>123</v>
      </c>
      <c r="E150" s="143"/>
      <c r="F150" s="139" t="s">
        <v>363</v>
      </c>
      <c r="G150" s="143">
        <v>1</v>
      </c>
      <c r="H150" s="143" t="s">
        <v>63</v>
      </c>
      <c r="I150" s="130">
        <f>$J$123-92</f>
        <v>2408</v>
      </c>
      <c r="J150" s="131">
        <f t="shared" si="7"/>
        <v>1</v>
      </c>
      <c r="N150" s="98"/>
    </row>
    <row r="151" spans="1:14" s="1" customFormat="1" ht="18" customHeight="1" thickBot="1">
      <c r="A151" s="143" t="str">
        <f>IF(B151="","",+A140+1)</f>
        <v/>
      </c>
      <c r="B151" s="167"/>
      <c r="C151" s="167"/>
      <c r="D151" s="168"/>
      <c r="E151" s="166"/>
      <c r="F151" s="168"/>
      <c r="G151" s="166"/>
      <c r="H151" s="166"/>
      <c r="I151" s="171"/>
      <c r="J151" s="172">
        <f t="shared" si="0"/>
        <v>0</v>
      </c>
    </row>
    <row r="152" spans="1:14" s="1" customFormat="1" ht="27" outlineLevel="1" thickBot="1">
      <c r="A152" s="169" t="s">
        <v>2</v>
      </c>
      <c r="B152" s="169" t="s">
        <v>29</v>
      </c>
      <c r="C152" s="169" t="s">
        <v>3</v>
      </c>
      <c r="D152" s="169" t="s">
        <v>4</v>
      </c>
      <c r="E152" s="169" t="s">
        <v>5</v>
      </c>
      <c r="F152" s="177" t="s">
        <v>85</v>
      </c>
      <c r="G152" s="169" t="s">
        <v>22</v>
      </c>
      <c r="H152" s="170" t="s">
        <v>23</v>
      </c>
      <c r="I152" s="540"/>
      <c r="J152" s="541"/>
    </row>
    <row r="153" spans="1:14" s="1" customFormat="1" ht="15" customHeight="1" outlineLevel="1">
      <c r="A153" s="21">
        <f>IF(B153="","",1)</f>
        <v>1</v>
      </c>
      <c r="B153" s="173" t="str">
        <f t="shared" ref="B153:C159" si="10">B133</f>
        <v>เฟรมบน</v>
      </c>
      <c r="C153" s="173" t="str">
        <f t="shared" si="10"/>
        <v>HEAD</v>
      </c>
      <c r="D153" s="174" t="str">
        <f>VLOOKUP(C153,$C$133:$H$151,2,0)</f>
        <v>B24001</v>
      </c>
      <c r="E153" s="175">
        <f t="shared" ref="E153:E159" si="11">VLOOKUP(C153,$C$133:$H$151,3,0)</f>
        <v>1.603</v>
      </c>
      <c r="F153" s="353">
        <f>VLOOKUP(C153,$C$133:$J$151,7,0)</f>
        <v>1940</v>
      </c>
      <c r="G153" s="175">
        <f t="shared" ref="G153:G159" si="12">VLOOKUP(C153,$C$133:$J$151,8,0)</f>
        <v>1</v>
      </c>
      <c r="H153" s="191">
        <f>ROUNDUP((F153*G153)/6400,0)</f>
        <v>1</v>
      </c>
      <c r="I153" s="501"/>
      <c r="J153" s="501"/>
    </row>
    <row r="154" spans="1:14" s="1" customFormat="1" ht="15" customHeight="1" outlineLevel="1">
      <c r="A154" s="18">
        <f t="shared" ref="A154" si="13">IF(B154="","",+A153+1)</f>
        <v>2</v>
      </c>
      <c r="B154" s="173" t="str">
        <f t="shared" si="10"/>
        <v>บังใบบน</v>
      </c>
      <c r="C154" s="173" t="str">
        <f t="shared" si="10"/>
        <v>DOOR STOP HEAD</v>
      </c>
      <c r="D154" s="174" t="str">
        <f>VLOOKUP(C154,$C$133:$H$151,2,0)</f>
        <v>B24002</v>
      </c>
      <c r="E154" s="175">
        <f t="shared" si="11"/>
        <v>0.27800000000000002</v>
      </c>
      <c r="F154" s="353">
        <f t="shared" ref="F154:F159" si="14">VLOOKUP(C154,$C$133:$I$151,7,0)</f>
        <v>1914</v>
      </c>
      <c r="G154" s="175">
        <f t="shared" si="12"/>
        <v>1</v>
      </c>
      <c r="H154" s="192">
        <f>ROUNDUP((F154*G154)/6400,0)</f>
        <v>1</v>
      </c>
      <c r="I154" s="501"/>
      <c r="J154" s="501"/>
    </row>
    <row r="155" spans="1:14" s="1" customFormat="1" ht="15" customHeight="1" outlineLevel="1">
      <c r="A155" s="18">
        <f t="shared" ref="A155:A159" si="15">IF(B155="","",+A154+1)</f>
        <v>3</v>
      </c>
      <c r="B155" s="173" t="str">
        <f t="shared" si="10"/>
        <v xml:space="preserve">เฟรมล่าง </v>
      </c>
      <c r="C155" s="173" t="str">
        <f t="shared" si="10"/>
        <v>SILL</v>
      </c>
      <c r="D155" s="174" t="str">
        <f>VLOOKUP(C155,$C$133:$H$151,2,0)</f>
        <v>B24003</v>
      </c>
      <c r="E155" s="175">
        <f t="shared" si="11"/>
        <v>1.603</v>
      </c>
      <c r="F155" s="353">
        <f t="shared" si="14"/>
        <v>1940</v>
      </c>
      <c r="G155" s="175">
        <f t="shared" si="12"/>
        <v>1</v>
      </c>
      <c r="H155" s="192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si="15"/>
        <v>4</v>
      </c>
      <c r="B156" s="173" t="str">
        <f t="shared" si="10"/>
        <v>ตัวตับธรณี</v>
      </c>
      <c r="C156" s="173" t="str">
        <f t="shared" si="10"/>
        <v>DOOR STOP SILL</v>
      </c>
      <c r="D156" s="174" t="str">
        <f>VLOOKUP(C156,$C$133:$H$151,2,0)</f>
        <v>B24004</v>
      </c>
      <c r="E156" s="175">
        <f t="shared" si="11"/>
        <v>0.51600000000000001</v>
      </c>
      <c r="F156" s="353">
        <f t="shared" si="14"/>
        <v>1940</v>
      </c>
      <c r="G156" s="175">
        <f t="shared" si="12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si="15"/>
        <v>5</v>
      </c>
      <c r="B157" s="173" t="str">
        <f t="shared" si="10"/>
        <v>เฟรมข้าง (ซ้าย)</v>
      </c>
      <c r="C157" s="173" t="str">
        <f t="shared" si="10"/>
        <v>JAMB (L)</v>
      </c>
      <c r="D157" s="508" t="str">
        <f>VLOOKUP(C157,$C$133:$H$151,2,0)</f>
        <v>B24005</v>
      </c>
      <c r="E157" s="175">
        <f t="shared" si="11"/>
        <v>0.89300000000000002</v>
      </c>
      <c r="F157" s="353">
        <f t="shared" si="14"/>
        <v>2500</v>
      </c>
      <c r="G157" s="175">
        <f t="shared" si="12"/>
        <v>1</v>
      </c>
      <c r="H157" s="516">
        <f>ROUNDUP(((F157*G157)+(F158*G158))/6400,0)</f>
        <v>1</v>
      </c>
      <c r="I157" s="506"/>
      <c r="J157" s="506"/>
    </row>
    <row r="158" spans="1:14" s="1" customFormat="1" ht="15" customHeight="1" outlineLevel="1">
      <c r="A158" s="18">
        <f t="shared" si="15"/>
        <v>6</v>
      </c>
      <c r="B158" s="173" t="str">
        <f t="shared" si="10"/>
        <v>เฟรมข้าง (ขวา)</v>
      </c>
      <c r="C158" s="173" t="str">
        <f t="shared" si="10"/>
        <v>JAMB (R)</v>
      </c>
      <c r="D158" s="509"/>
      <c r="E158" s="175">
        <f t="shared" si="11"/>
        <v>0.89300000000000002</v>
      </c>
      <c r="F158" s="353">
        <f t="shared" si="14"/>
        <v>2500</v>
      </c>
      <c r="G158" s="175">
        <f t="shared" si="12"/>
        <v>1</v>
      </c>
      <c r="H158" s="516"/>
      <c r="I158" s="506"/>
      <c r="J158" s="506"/>
    </row>
    <row r="159" spans="1:14" s="1" customFormat="1" ht="15" customHeight="1" outlineLevel="1">
      <c r="A159" s="18">
        <f t="shared" si="15"/>
        <v>7</v>
      </c>
      <c r="B159" s="173" t="str">
        <f t="shared" si="10"/>
        <v>บังใบข้าง (ซ้าย)</v>
      </c>
      <c r="C159" s="173" t="str">
        <f t="shared" si="10"/>
        <v>DOOR STOP JAMB (L)</v>
      </c>
      <c r="D159" s="508" t="str">
        <f>VLOOKUP(C159,$C$133:$H$151,2,0)</f>
        <v>B24006</v>
      </c>
      <c r="E159" s="175">
        <f t="shared" si="11"/>
        <v>0.23499999999999999</v>
      </c>
      <c r="F159" s="353">
        <f t="shared" si="14"/>
        <v>2404</v>
      </c>
      <c r="G159" s="175">
        <f t="shared" si="12"/>
        <v>1</v>
      </c>
      <c r="H159" s="516">
        <f>ROUNDUP(((F159*G159)+(F160*G160))/6400,0)</f>
        <v>1</v>
      </c>
      <c r="I159" s="501"/>
      <c r="J159" s="501"/>
    </row>
    <row r="160" spans="1:14" s="1" customFormat="1" ht="15" customHeight="1" outlineLevel="1">
      <c r="A160" s="18">
        <f t="shared" ref="A160:A170" si="16">IF(B160="","",+A159+1)</f>
        <v>8</v>
      </c>
      <c r="B160" s="173" t="str">
        <f t="shared" ref="B160:C160" si="17">B140</f>
        <v>บังใบข้าง (ขวา)</v>
      </c>
      <c r="C160" s="173" t="str">
        <f t="shared" si="17"/>
        <v>DOOR STOP JAMB (R)</v>
      </c>
      <c r="D160" s="509"/>
      <c r="E160" s="175">
        <f t="shared" ref="E160:E170" si="18">VLOOKUP(C160,$C$133:$H$151,3,0)</f>
        <v>0.23499999999999999</v>
      </c>
      <c r="F160" s="353">
        <f t="shared" ref="F160:F170" si="19">VLOOKUP(C160,$C$133:$I$151,7,0)</f>
        <v>2404</v>
      </c>
      <c r="G160" s="175">
        <f t="shared" ref="G160:G170" si="20">VLOOKUP(C160,$C$133:$J$151,8,0)</f>
        <v>1</v>
      </c>
      <c r="H160" s="516"/>
      <c r="I160" s="506"/>
      <c r="J160" s="506"/>
    </row>
    <row r="161" spans="1:23" s="1" customFormat="1" ht="13.8" outlineLevel="1">
      <c r="A161" s="18">
        <f t="shared" si="16"/>
        <v>9</v>
      </c>
      <c r="B161" s="173" t="str">
        <f t="shared" ref="B161:C161" si="21">B141</f>
        <v>ขวางบน</v>
      </c>
      <c r="C161" s="173" t="str">
        <f t="shared" si="21"/>
        <v>SASH (Hor) (T)</v>
      </c>
      <c r="D161" s="508" t="str">
        <f t="shared" ref="D161:D169" si="22">VLOOKUP(C161,$C$133:$H$151,2,0)</f>
        <v>B24007</v>
      </c>
      <c r="E161" s="175">
        <f t="shared" si="18"/>
        <v>1.1060000000000001</v>
      </c>
      <c r="F161" s="353">
        <f t="shared" si="19"/>
        <v>47.4375</v>
      </c>
      <c r="G161" s="175">
        <f t="shared" si="20"/>
        <v>12</v>
      </c>
      <c r="H161" s="512">
        <f>ROUNDUP(((F161*G161)+(F162*G162)+(F163*G163)+(F164*G164)+(F165*G165)+(F166*G166))/6400,0)</f>
        <v>10</v>
      </c>
      <c r="I161" s="506"/>
      <c r="J161" s="506"/>
    </row>
    <row r="162" spans="1:23" s="1" customFormat="1" ht="13.8" outlineLevel="1">
      <c r="A162" s="18">
        <f t="shared" si="16"/>
        <v>10</v>
      </c>
      <c r="B162" s="173" t="str">
        <f t="shared" ref="B162:C162" si="23">B142</f>
        <v>ขวางล่าง</v>
      </c>
      <c r="C162" s="173" t="str">
        <f t="shared" si="23"/>
        <v>SASH (Hor) (B)</v>
      </c>
      <c r="D162" s="510"/>
      <c r="E162" s="175">
        <f t="shared" si="18"/>
        <v>1.1060000000000001</v>
      </c>
      <c r="F162" s="353">
        <f t="shared" si="19"/>
        <v>47.4375</v>
      </c>
      <c r="G162" s="175">
        <f t="shared" si="20"/>
        <v>12</v>
      </c>
      <c r="H162" s="514"/>
      <c r="I162" s="506"/>
      <c r="J162" s="506"/>
    </row>
    <row r="163" spans="1:23" s="1" customFormat="1" ht="13.8" outlineLevel="1">
      <c r="A163" s="18">
        <f t="shared" si="16"/>
        <v>11</v>
      </c>
      <c r="B163" s="173" t="str">
        <f t="shared" ref="B163:C163" si="24">B143</f>
        <v>เสา</v>
      </c>
      <c r="C163" s="173" t="str">
        <f t="shared" si="24"/>
        <v xml:space="preserve">SASH (Ver) </v>
      </c>
      <c r="D163" s="510"/>
      <c r="E163" s="175">
        <f t="shared" si="18"/>
        <v>1.1060000000000001</v>
      </c>
      <c r="F163" s="353">
        <f t="shared" si="19"/>
        <v>2408</v>
      </c>
      <c r="G163" s="175">
        <f t="shared" si="20"/>
        <v>18</v>
      </c>
      <c r="H163" s="514"/>
      <c r="I163" s="506"/>
      <c r="J163" s="506"/>
    </row>
    <row r="164" spans="1:23" s="1" customFormat="1" ht="13.8" outlineLevel="1">
      <c r="A164" s="18">
        <f t="shared" si="16"/>
        <v>12</v>
      </c>
      <c r="B164" s="173" t="str">
        <f t="shared" ref="B164:C164" si="25">B144</f>
        <v>เสากุญแจ</v>
      </c>
      <c r="C164" s="173" t="str">
        <f t="shared" si="25"/>
        <v xml:space="preserve">SASH (Ver) LOCK </v>
      </c>
      <c r="D164" s="510"/>
      <c r="E164" s="175">
        <f t="shared" si="18"/>
        <v>1.1060000000000001</v>
      </c>
      <c r="F164" s="353">
        <f t="shared" si="19"/>
        <v>2408</v>
      </c>
      <c r="G164" s="175">
        <f t="shared" si="20"/>
        <v>2</v>
      </c>
      <c r="H164" s="514"/>
      <c r="I164" s="506"/>
      <c r="J164" s="506"/>
    </row>
    <row r="165" spans="1:23" s="1" customFormat="1" ht="13.8" outlineLevel="1">
      <c r="A165" s="18">
        <f t="shared" si="16"/>
        <v>13</v>
      </c>
      <c r="B165" s="173" t="str">
        <f t="shared" ref="B165:C165" si="26">B145</f>
        <v>เสากุญแจ</v>
      </c>
      <c r="C165" s="173" t="str">
        <f t="shared" si="26"/>
        <v xml:space="preserve">SASH (Ver) LOCK  </v>
      </c>
      <c r="D165" s="510"/>
      <c r="E165" s="175">
        <f t="shared" si="18"/>
        <v>1.1060000000000001</v>
      </c>
      <c r="F165" s="353">
        <f t="shared" si="19"/>
        <v>2408</v>
      </c>
      <c r="G165" s="175">
        <f t="shared" si="20"/>
        <v>3</v>
      </c>
      <c r="H165" s="514"/>
      <c r="I165" s="506"/>
      <c r="J165" s="506"/>
    </row>
    <row r="166" spans="1:23" s="1" customFormat="1" ht="15" customHeight="1" outlineLevel="1">
      <c r="A166" s="18">
        <f t="shared" si="16"/>
        <v>14</v>
      </c>
      <c r="B166" s="173" t="str">
        <f t="shared" ref="B166:C166" si="27">B146</f>
        <v>เสากุญแจมือจับ</v>
      </c>
      <c r="C166" s="173" t="str">
        <f t="shared" si="27"/>
        <v>SASH (Ver) LOCK HANDLE</v>
      </c>
      <c r="D166" s="509"/>
      <c r="E166" s="175">
        <f t="shared" si="18"/>
        <v>1.1060000000000001</v>
      </c>
      <c r="F166" s="353">
        <f t="shared" si="19"/>
        <v>2408</v>
      </c>
      <c r="G166" s="175">
        <f t="shared" si="20"/>
        <v>1</v>
      </c>
      <c r="H166" s="515"/>
      <c r="I166" s="501"/>
      <c r="J166" s="501"/>
    </row>
    <row r="167" spans="1:23" s="1" customFormat="1" ht="15" customHeight="1" outlineLevel="1">
      <c r="A167" s="18">
        <f t="shared" si="16"/>
        <v>15</v>
      </c>
      <c r="B167" s="173" t="str">
        <f t="shared" ref="B167:C167" si="28">B147</f>
        <v>5-6mm คิ้วตบกระจกแนวนอน</v>
      </c>
      <c r="C167" s="173" t="str">
        <f t="shared" si="28"/>
        <v>5-6mm GLAZING BEAD HORIZONTAL</v>
      </c>
      <c r="D167" s="508" t="str">
        <f t="shared" si="22"/>
        <v>B24008</v>
      </c>
      <c r="E167" s="175">
        <f t="shared" si="18"/>
        <v>0.23100000000000001</v>
      </c>
      <c r="F167" s="353">
        <f t="shared" si="19"/>
        <v>47.4375</v>
      </c>
      <c r="G167" s="175">
        <f t="shared" si="20"/>
        <v>24</v>
      </c>
      <c r="H167" s="516">
        <f>ROUNDUP(((F167*G167)+(F168*G168))/6400,0)</f>
        <v>9</v>
      </c>
      <c r="I167" s="269"/>
      <c r="J167" s="269"/>
    </row>
    <row r="168" spans="1:23" s="1" customFormat="1" ht="15" customHeight="1" outlineLevel="1">
      <c r="A168" s="18">
        <f t="shared" si="16"/>
        <v>16</v>
      </c>
      <c r="B168" s="173" t="str">
        <f t="shared" ref="B168:C168" si="29">B148</f>
        <v>5-6mm คิ้วตบกระจกแนวตั้ง</v>
      </c>
      <c r="C168" s="173" t="str">
        <f t="shared" si="29"/>
        <v>5-6mm GLAZING BEAD VERTICAL</v>
      </c>
      <c r="D168" s="509"/>
      <c r="E168" s="175">
        <f t="shared" si="18"/>
        <v>0.23100000000000001</v>
      </c>
      <c r="F168" s="353">
        <f t="shared" si="19"/>
        <v>2258</v>
      </c>
      <c r="G168" s="175">
        <f t="shared" si="20"/>
        <v>24</v>
      </c>
      <c r="H168" s="516"/>
      <c r="I168" s="269"/>
      <c r="J168" s="269"/>
    </row>
    <row r="169" spans="1:23" s="1" customFormat="1" ht="13.8" outlineLevel="1">
      <c r="A169" s="18">
        <f t="shared" si="16"/>
        <v>17</v>
      </c>
      <c r="B169" s="173" t="str">
        <f t="shared" ref="B169:C169" si="30">B149</f>
        <v>บังใบ</v>
      </c>
      <c r="C169" s="173" t="str">
        <f t="shared" si="30"/>
        <v>SASH STOP</v>
      </c>
      <c r="D169" s="508" t="str">
        <f t="shared" si="22"/>
        <v>B24009</v>
      </c>
      <c r="E169" s="175">
        <f t="shared" si="18"/>
        <v>0</v>
      </c>
      <c r="F169" s="353">
        <f t="shared" si="19"/>
        <v>2408</v>
      </c>
      <c r="G169" s="175">
        <f t="shared" si="20"/>
        <v>1</v>
      </c>
      <c r="H169" s="516">
        <f>ROUNDUP(((F169*G169)+(F170*G170))/6400,0)</f>
        <v>1</v>
      </c>
      <c r="I169" s="269"/>
      <c r="J169" s="269"/>
    </row>
    <row r="170" spans="1:23" s="1" customFormat="1" outlineLevel="1" thickBot="1">
      <c r="A170" s="18">
        <f t="shared" si="16"/>
        <v>18</v>
      </c>
      <c r="B170" s="173" t="str">
        <f t="shared" ref="B170:C170" si="31">B150</f>
        <v>บังใบ</v>
      </c>
      <c r="C170" s="173" t="str">
        <f t="shared" si="31"/>
        <v>SASH STOP</v>
      </c>
      <c r="D170" s="511"/>
      <c r="E170" s="175">
        <f t="shared" si="18"/>
        <v>0</v>
      </c>
      <c r="F170" s="353">
        <f t="shared" si="19"/>
        <v>2408</v>
      </c>
      <c r="G170" s="175">
        <f t="shared" si="20"/>
        <v>1</v>
      </c>
      <c r="H170" s="516"/>
      <c r="I170" s="269"/>
      <c r="J170" s="269"/>
    </row>
    <row r="171" spans="1:23" s="1" customFormat="1" ht="24.9" customHeight="1" thickBot="1">
      <c r="A171" s="529" t="s">
        <v>9</v>
      </c>
      <c r="B171" s="530"/>
      <c r="C171" s="530"/>
      <c r="D171" s="530"/>
      <c r="E171" s="530"/>
      <c r="F171" s="530"/>
      <c r="G171" s="530"/>
      <c r="H171" s="530"/>
      <c r="I171" s="530"/>
      <c r="J171" s="531"/>
    </row>
    <row r="172" spans="1:23" s="1" customFormat="1" ht="35.1" customHeight="1" thickBot="1">
      <c r="A172" s="102" t="s">
        <v>2</v>
      </c>
      <c r="B172" s="103" t="s">
        <v>29</v>
      </c>
      <c r="C172" s="103" t="s">
        <v>3</v>
      </c>
      <c r="D172" s="103" t="s">
        <v>199</v>
      </c>
      <c r="E172" s="103" t="s">
        <v>5</v>
      </c>
      <c r="F172" s="104" t="s">
        <v>28</v>
      </c>
      <c r="G172" s="103" t="s">
        <v>19</v>
      </c>
      <c r="H172" s="104" t="s">
        <v>200</v>
      </c>
      <c r="I172" s="104" t="s">
        <v>20</v>
      </c>
      <c r="J172" s="115" t="s">
        <v>201</v>
      </c>
      <c r="N172" s="101" t="s">
        <v>191</v>
      </c>
      <c r="O172" s="246" t="s">
        <v>29</v>
      </c>
      <c r="P172" s="246" t="s">
        <v>3</v>
      </c>
      <c r="Q172" s="246" t="s">
        <v>199</v>
      </c>
      <c r="R172" s="246" t="s">
        <v>5</v>
      </c>
      <c r="S172" s="246" t="s">
        <v>28</v>
      </c>
      <c r="T172" s="246" t="s">
        <v>19</v>
      </c>
      <c r="U172" s="246" t="s">
        <v>200</v>
      </c>
      <c r="V172" s="246" t="s">
        <v>20</v>
      </c>
      <c r="W172" s="246" t="s">
        <v>201</v>
      </c>
    </row>
    <row r="173" spans="1:23" s="1" customFormat="1" ht="18" customHeight="1">
      <c r="A173" s="200">
        <f>IF(B173="","",1)</f>
        <v>1</v>
      </c>
      <c r="B173" s="140" t="s">
        <v>111</v>
      </c>
      <c r="C173" s="140" t="s">
        <v>67</v>
      </c>
      <c r="D173" s="139" t="s">
        <v>74</v>
      </c>
      <c r="E173" s="143"/>
      <c r="F173" s="143" t="s">
        <v>74</v>
      </c>
      <c r="G173" s="143" t="s">
        <v>202</v>
      </c>
      <c r="H173" s="143">
        <v>24</v>
      </c>
      <c r="I173" s="130"/>
      <c r="J173" s="131">
        <f>$J$120*H173</f>
        <v>24</v>
      </c>
      <c r="N173" s="101" t="s">
        <v>226</v>
      </c>
      <c r="O173" s="280" t="s">
        <v>252</v>
      </c>
      <c r="P173" s="290" t="s">
        <v>248</v>
      </c>
      <c r="Q173" s="280" t="s">
        <v>69</v>
      </c>
      <c r="R173" s="213"/>
      <c r="S173" s="213" t="s">
        <v>69</v>
      </c>
      <c r="T173" s="213" t="s">
        <v>198</v>
      </c>
      <c r="U173" s="291">
        <f>((($I$141*$G$141)+($I$142*$G$142)+($I$143*$G$143)+($I$144*$G$144)+($I$145*$G$145)+($I$146*$G$146))/1000)*$J$120</f>
        <v>58.930500000000002</v>
      </c>
      <c r="V173" s="291">
        <v>100</v>
      </c>
      <c r="W173" s="292">
        <f>ROUNDUP((U173)/100,0)</f>
        <v>1</v>
      </c>
    </row>
    <row r="174" spans="1:23" s="1" customFormat="1" ht="18" customHeight="1">
      <c r="A174" s="201">
        <f>IF(B174="","",+A173+1)</f>
        <v>2</v>
      </c>
      <c r="B174" s="140" t="s">
        <v>106</v>
      </c>
      <c r="C174" s="140" t="s">
        <v>503</v>
      </c>
      <c r="D174" s="139" t="s">
        <v>75</v>
      </c>
      <c r="E174" s="143"/>
      <c r="F174" s="143" t="s">
        <v>75</v>
      </c>
      <c r="G174" s="143" t="s">
        <v>202</v>
      </c>
      <c r="H174" s="143">
        <v>2</v>
      </c>
      <c r="I174" s="130"/>
      <c r="J174" s="131">
        <f t="shared" ref="J174:J201" si="32">$J$120*H174</f>
        <v>2</v>
      </c>
      <c r="N174" s="101" t="s">
        <v>230</v>
      </c>
      <c r="O174" s="280" t="s">
        <v>253</v>
      </c>
      <c r="P174" s="290" t="s">
        <v>249</v>
      </c>
      <c r="Q174" s="280" t="s">
        <v>188</v>
      </c>
      <c r="R174" s="213"/>
      <c r="S174" s="213" t="s">
        <v>188</v>
      </c>
      <c r="T174" s="213" t="s">
        <v>198</v>
      </c>
      <c r="U174" s="291">
        <f>((($I$141*$G$141)+($I$142*$G$142)+($I$143*$G$143)+($I$144*$G$144)+($I$145*$G$145)+($I$146*$G$146))/1000)*$J$120</f>
        <v>58.930500000000002</v>
      </c>
      <c r="V174" s="291">
        <v>100</v>
      </c>
      <c r="W174" s="292">
        <f t="shared" ref="W174:W177" si="33">ROUNDUP((U174)/100,0)</f>
        <v>1</v>
      </c>
    </row>
    <row r="175" spans="1:23" s="1" customFormat="1" ht="18" customHeight="1">
      <c r="A175" s="201">
        <f t="shared" ref="A175:A204" si="34">IF(B175="","",+A174+1)</f>
        <v>3</v>
      </c>
      <c r="B175" s="140" t="s">
        <v>107</v>
      </c>
      <c r="C175" s="140" t="s">
        <v>504</v>
      </c>
      <c r="D175" s="139" t="s">
        <v>76</v>
      </c>
      <c r="E175" s="143"/>
      <c r="F175" s="143" t="s">
        <v>76</v>
      </c>
      <c r="G175" s="143" t="s">
        <v>202</v>
      </c>
      <c r="H175" s="143">
        <v>2</v>
      </c>
      <c r="I175" s="130"/>
      <c r="J175" s="131">
        <f t="shared" si="32"/>
        <v>2</v>
      </c>
      <c r="N175" s="101" t="s">
        <v>229</v>
      </c>
      <c r="O175" s="290" t="s">
        <v>254</v>
      </c>
      <c r="P175" s="290" t="s">
        <v>250</v>
      </c>
      <c r="Q175" s="280" t="s">
        <v>70</v>
      </c>
      <c r="R175" s="213"/>
      <c r="S175" s="213" t="s">
        <v>70</v>
      </c>
      <c r="T175" s="213" t="s">
        <v>198</v>
      </c>
      <c r="U175" s="291">
        <f>((($I$141*$G$141)+($I$142*$G$142)+($I$143*$G$143)+($I$144*$G$144)+($I$145*$G$145)+($I$146*$G$146))/1000)*$J$120</f>
        <v>58.930500000000002</v>
      </c>
      <c r="V175" s="291">
        <v>100</v>
      </c>
      <c r="W175" s="292">
        <f t="shared" si="33"/>
        <v>1</v>
      </c>
    </row>
    <row r="176" spans="1:23" s="1" customFormat="1" ht="18" customHeight="1">
      <c r="A176" s="201">
        <f t="shared" si="34"/>
        <v>4</v>
      </c>
      <c r="B176" s="140" t="s">
        <v>108</v>
      </c>
      <c r="C176" s="140" t="s">
        <v>10</v>
      </c>
      <c r="D176" s="139">
        <v>9</v>
      </c>
      <c r="E176" s="143"/>
      <c r="F176" s="143">
        <v>9</v>
      </c>
      <c r="G176" s="143" t="s">
        <v>202</v>
      </c>
      <c r="H176" s="143">
        <v>8</v>
      </c>
      <c r="I176" s="130"/>
      <c r="J176" s="131">
        <f t="shared" si="32"/>
        <v>8</v>
      </c>
      <c r="N176" s="101" t="s">
        <v>231</v>
      </c>
      <c r="O176" s="290" t="s">
        <v>255</v>
      </c>
      <c r="P176" s="290" t="s">
        <v>251</v>
      </c>
      <c r="Q176" s="280" t="s">
        <v>189</v>
      </c>
      <c r="R176" s="213"/>
      <c r="S176" s="213" t="s">
        <v>189</v>
      </c>
      <c r="T176" s="213" t="s">
        <v>198</v>
      </c>
      <c r="U176" s="291">
        <f>((($I$141*$G$141)+($I$142*$G$142)+($I$143*$G$143)+($I$144*$G$144)+($I$145*$G$145)+($I$146*$G$146))/1000)*$J$120</f>
        <v>58.930500000000002</v>
      </c>
      <c r="V176" s="291">
        <v>100</v>
      </c>
      <c r="W176" s="292">
        <f t="shared" si="33"/>
        <v>1</v>
      </c>
    </row>
    <row r="177" spans="1:23" s="1" customFormat="1" ht="18" customHeight="1">
      <c r="A177" s="201">
        <f t="shared" si="34"/>
        <v>5</v>
      </c>
      <c r="B177" s="140" t="s">
        <v>109</v>
      </c>
      <c r="C177" s="140" t="s">
        <v>68</v>
      </c>
      <c r="D177" s="139">
        <v>9</v>
      </c>
      <c r="E177" s="143"/>
      <c r="F177" s="143">
        <v>9</v>
      </c>
      <c r="G177" s="143" t="s">
        <v>202</v>
      </c>
      <c r="H177" s="143">
        <v>110</v>
      </c>
      <c r="I177" s="130"/>
      <c r="J177" s="131">
        <f t="shared" si="32"/>
        <v>110</v>
      </c>
      <c r="N177" s="101" t="s">
        <v>232</v>
      </c>
      <c r="O177" s="290" t="s">
        <v>256</v>
      </c>
      <c r="P177" s="290" t="s">
        <v>247</v>
      </c>
      <c r="Q177" s="280" t="s">
        <v>233</v>
      </c>
      <c r="R177" s="213"/>
      <c r="S177" s="213" t="s">
        <v>233</v>
      </c>
      <c r="T177" s="213" t="s">
        <v>198</v>
      </c>
      <c r="U177" s="291">
        <f>((($I$141*$G$141)+($I$142*$G$142)+($I$143*$G$143)+($I$144*$G$144)+($I$145*$G$145)+($I$146*$G$146))/1000)*$J$120</f>
        <v>58.930500000000002</v>
      </c>
      <c r="V177" s="291">
        <v>100</v>
      </c>
      <c r="W177" s="292">
        <f t="shared" si="33"/>
        <v>1</v>
      </c>
    </row>
    <row r="178" spans="1:23" s="1" customFormat="1" ht="18" customHeight="1">
      <c r="A178" s="201">
        <f t="shared" si="34"/>
        <v>6</v>
      </c>
      <c r="B178" s="140" t="s">
        <v>132</v>
      </c>
      <c r="C178" s="140" t="s">
        <v>79</v>
      </c>
      <c r="D178" s="139" t="s">
        <v>82</v>
      </c>
      <c r="E178" s="143"/>
      <c r="F178" s="143" t="s">
        <v>82</v>
      </c>
      <c r="G178" s="143" t="s">
        <v>185</v>
      </c>
      <c r="H178" s="143">
        <v>3</v>
      </c>
      <c r="I178" s="130"/>
      <c r="J178" s="131">
        <f>$J$120*H178</f>
        <v>3</v>
      </c>
    </row>
    <row r="179" spans="1:23" s="1" customFormat="1" ht="18" customHeight="1">
      <c r="A179" s="201">
        <f t="shared" si="34"/>
        <v>7</v>
      </c>
      <c r="B179" s="140" t="s">
        <v>143</v>
      </c>
      <c r="C179" s="140" t="s">
        <v>121</v>
      </c>
      <c r="D179" s="139" t="s">
        <v>103</v>
      </c>
      <c r="E179" s="143"/>
      <c r="F179" s="143" t="s">
        <v>103</v>
      </c>
      <c r="G179" s="143" t="s">
        <v>185</v>
      </c>
      <c r="H179" s="143">
        <v>2</v>
      </c>
      <c r="I179" s="130"/>
      <c r="J179" s="131">
        <f>$J$120*H179</f>
        <v>2</v>
      </c>
    </row>
    <row r="180" spans="1:23" s="1" customFormat="1" ht="18" customHeight="1">
      <c r="A180" s="201">
        <f t="shared" si="34"/>
        <v>8</v>
      </c>
      <c r="B180" s="140" t="s">
        <v>118</v>
      </c>
      <c r="C180" s="140" t="s">
        <v>77</v>
      </c>
      <c r="D180" s="139" t="s">
        <v>80</v>
      </c>
      <c r="E180" s="143"/>
      <c r="F180" s="143" t="s">
        <v>80</v>
      </c>
      <c r="G180" s="143" t="s">
        <v>185</v>
      </c>
      <c r="H180" s="143">
        <v>1</v>
      </c>
      <c r="I180" s="130"/>
      <c r="J180" s="131">
        <f t="shared" si="32"/>
        <v>1</v>
      </c>
    </row>
    <row r="181" spans="1:23" s="1" customFormat="1" ht="18" customHeight="1">
      <c r="A181" s="201">
        <f t="shared" si="34"/>
        <v>9</v>
      </c>
      <c r="B181" s="140" t="s">
        <v>120</v>
      </c>
      <c r="C181" s="140" t="s">
        <v>94</v>
      </c>
      <c r="D181" s="139" t="s">
        <v>96</v>
      </c>
      <c r="E181" s="143"/>
      <c r="F181" s="143" t="s">
        <v>96</v>
      </c>
      <c r="G181" s="143" t="s">
        <v>185</v>
      </c>
      <c r="H181" s="143">
        <v>1</v>
      </c>
      <c r="I181" s="130"/>
      <c r="J181" s="131">
        <f t="shared" si="32"/>
        <v>1</v>
      </c>
    </row>
    <row r="182" spans="1:23" s="1" customFormat="1" ht="18" customHeight="1">
      <c r="A182" s="201">
        <f t="shared" si="34"/>
        <v>10</v>
      </c>
      <c r="B182" s="140" t="s">
        <v>131</v>
      </c>
      <c r="C182" s="140" t="s">
        <v>100</v>
      </c>
      <c r="D182" s="139" t="s">
        <v>102</v>
      </c>
      <c r="E182" s="143"/>
      <c r="F182" s="143" t="s">
        <v>102</v>
      </c>
      <c r="G182" s="143" t="s">
        <v>185</v>
      </c>
      <c r="H182" s="143">
        <v>5</v>
      </c>
      <c r="I182" s="144"/>
      <c r="J182" s="131">
        <f t="shared" si="32"/>
        <v>5</v>
      </c>
      <c r="N182" s="56"/>
      <c r="O182" s="56"/>
      <c r="P182" s="56"/>
      <c r="Q182" s="289"/>
      <c r="R182" s="289"/>
      <c r="S182" s="289"/>
      <c r="T182" s="17"/>
      <c r="U182" s="17"/>
      <c r="V182" s="17"/>
      <c r="W182" s="56"/>
    </row>
    <row r="183" spans="1:23" s="1" customFormat="1" ht="18" customHeight="1">
      <c r="A183" s="201">
        <f t="shared" si="34"/>
        <v>11</v>
      </c>
      <c r="B183" s="140" t="s">
        <v>113</v>
      </c>
      <c r="C183" s="140" t="s">
        <v>502</v>
      </c>
      <c r="D183" s="139" t="s">
        <v>83</v>
      </c>
      <c r="E183" s="143"/>
      <c r="F183" s="143" t="s">
        <v>83</v>
      </c>
      <c r="G183" s="143" t="s">
        <v>185</v>
      </c>
      <c r="H183" s="143">
        <v>5</v>
      </c>
      <c r="I183" s="144"/>
      <c r="J183" s="131">
        <f t="shared" ref="J183:J188" si="35">$J$120*H183</f>
        <v>5</v>
      </c>
      <c r="N183" s="101" t="s">
        <v>227</v>
      </c>
      <c r="O183" s="246" t="s">
        <v>29</v>
      </c>
      <c r="P183" s="246" t="s">
        <v>3</v>
      </c>
      <c r="Q183" s="246" t="s">
        <v>199</v>
      </c>
      <c r="R183" s="246" t="s">
        <v>5</v>
      </c>
      <c r="S183" s="246" t="s">
        <v>28</v>
      </c>
      <c r="T183" s="246" t="s">
        <v>19</v>
      </c>
      <c r="U183" s="246" t="s">
        <v>200</v>
      </c>
      <c r="V183" s="246" t="s">
        <v>20</v>
      </c>
      <c r="W183" s="246" t="s">
        <v>201</v>
      </c>
    </row>
    <row r="184" spans="1:23" s="1" customFormat="1" ht="18" customHeight="1">
      <c r="A184" s="201">
        <f t="shared" si="34"/>
        <v>12</v>
      </c>
      <c r="B184" s="140" t="s">
        <v>122</v>
      </c>
      <c r="C184" s="140" t="s">
        <v>101</v>
      </c>
      <c r="D184" s="139" t="s">
        <v>104</v>
      </c>
      <c r="E184" s="143"/>
      <c r="F184" s="143" t="s">
        <v>104</v>
      </c>
      <c r="G184" s="143" t="s">
        <v>185</v>
      </c>
      <c r="H184" s="143">
        <v>1</v>
      </c>
      <c r="I184" s="130"/>
      <c r="J184" s="131">
        <f t="shared" si="35"/>
        <v>1</v>
      </c>
      <c r="N184" s="101" t="s">
        <v>240</v>
      </c>
      <c r="O184" s="290" t="s">
        <v>234</v>
      </c>
      <c r="P184" s="290" t="s">
        <v>236</v>
      </c>
      <c r="Q184" s="280" t="s">
        <v>190</v>
      </c>
      <c r="R184" s="213"/>
      <c r="S184" s="213" t="s">
        <v>190</v>
      </c>
      <c r="T184" s="213" t="s">
        <v>198</v>
      </c>
      <c r="U184" s="291">
        <f>((($I$134*$G$134)+($I$136*$G$136)+($I$139*$G$139))/1000)*$J$120</f>
        <v>6.258</v>
      </c>
      <c r="V184" s="291">
        <v>300</v>
      </c>
      <c r="W184" s="292">
        <f>ROUNDUP((U184)/V184,0)</f>
        <v>1</v>
      </c>
    </row>
    <row r="185" spans="1:23" s="1" customFormat="1" ht="18" customHeight="1">
      <c r="A185" s="201">
        <f t="shared" si="34"/>
        <v>13</v>
      </c>
      <c r="B185" s="140" t="s">
        <v>112</v>
      </c>
      <c r="C185" s="140" t="s">
        <v>114</v>
      </c>
      <c r="D185" s="128" t="s">
        <v>520</v>
      </c>
      <c r="E185" s="129"/>
      <c r="F185" s="129" t="s">
        <v>520</v>
      </c>
      <c r="G185" s="143" t="s">
        <v>202</v>
      </c>
      <c r="H185" s="143">
        <v>10</v>
      </c>
      <c r="I185" s="130"/>
      <c r="J185" s="131">
        <f t="shared" si="35"/>
        <v>10</v>
      </c>
      <c r="N185" s="101" t="s">
        <v>241</v>
      </c>
      <c r="O185" s="290" t="s">
        <v>235</v>
      </c>
      <c r="P185" s="290" t="s">
        <v>238</v>
      </c>
      <c r="Q185" s="280" t="s">
        <v>71</v>
      </c>
      <c r="R185" s="213"/>
      <c r="S185" s="213" t="s">
        <v>71</v>
      </c>
      <c r="T185" s="213" t="s">
        <v>198</v>
      </c>
      <c r="U185" s="291">
        <f>((($I$134*$G$134)+($I$136*$G$136)+($I$139*$G$139))/1000)*$J$120</f>
        <v>6.258</v>
      </c>
      <c r="V185" s="291">
        <v>100</v>
      </c>
      <c r="W185" s="292">
        <f t="shared" ref="W185:W187" si="36">ROUNDUP((U185)/V185,0)</f>
        <v>1</v>
      </c>
    </row>
    <row r="186" spans="1:23" s="1" customFormat="1" ht="18" customHeight="1">
      <c r="A186" s="201">
        <f t="shared" si="34"/>
        <v>14</v>
      </c>
      <c r="B186" s="140" t="s">
        <v>115</v>
      </c>
      <c r="C186" s="140" t="s">
        <v>45</v>
      </c>
      <c r="D186" s="139" t="s">
        <v>84</v>
      </c>
      <c r="E186" s="143"/>
      <c r="F186" s="143" t="s">
        <v>84</v>
      </c>
      <c r="G186" s="143" t="s">
        <v>202</v>
      </c>
      <c r="H186" s="143">
        <v>1</v>
      </c>
      <c r="I186" s="130"/>
      <c r="J186" s="131">
        <f t="shared" si="35"/>
        <v>1</v>
      </c>
      <c r="N186" s="101" t="s">
        <v>240</v>
      </c>
      <c r="O186" s="290" t="s">
        <v>245</v>
      </c>
      <c r="P186" s="290" t="s">
        <v>237</v>
      </c>
      <c r="Q186" s="280" t="s">
        <v>72</v>
      </c>
      <c r="R186" s="213"/>
      <c r="S186" s="213" t="s">
        <v>72</v>
      </c>
      <c r="T186" s="213" t="s">
        <v>198</v>
      </c>
      <c r="U186" s="291">
        <f>((($I$141*$G$141*2)+($I$143*$G$143*2)+($I$144*$G$144*2)+($I$145*($G$145-1)*2))/1000)*$J$120</f>
        <v>107.09050000000001</v>
      </c>
      <c r="V186" s="291">
        <v>350</v>
      </c>
      <c r="W186" s="292">
        <f t="shared" si="36"/>
        <v>1</v>
      </c>
    </row>
    <row r="187" spans="1:23" s="1" customFormat="1" ht="18" customHeight="1">
      <c r="A187" s="201">
        <f t="shared" si="34"/>
        <v>15</v>
      </c>
      <c r="B187" s="140" t="s">
        <v>110</v>
      </c>
      <c r="C187" s="140" t="s">
        <v>66</v>
      </c>
      <c r="D187" s="139" t="s">
        <v>128</v>
      </c>
      <c r="E187" s="143"/>
      <c r="F187" s="143" t="s">
        <v>128</v>
      </c>
      <c r="G187" s="143" t="s">
        <v>185</v>
      </c>
      <c r="H187" s="143">
        <v>1</v>
      </c>
      <c r="I187" s="130"/>
      <c r="J187" s="131">
        <f t="shared" si="35"/>
        <v>1</v>
      </c>
      <c r="N187" s="101" t="s">
        <v>241</v>
      </c>
      <c r="O187" s="290" t="s">
        <v>246</v>
      </c>
      <c r="P187" s="290" t="s">
        <v>239</v>
      </c>
      <c r="Q187" s="280" t="s">
        <v>193</v>
      </c>
      <c r="R187" s="213"/>
      <c r="S187" s="213" t="s">
        <v>193</v>
      </c>
      <c r="T187" s="213" t="s">
        <v>198</v>
      </c>
      <c r="U187" s="291">
        <f>((($I$141*$G$141*2)+($I$143*$G$143*2)+($I$144*$G$144*2)+($I$145*($G$145-1)*2))/1000)*$J$120</f>
        <v>107.09050000000001</v>
      </c>
      <c r="V187" s="291">
        <v>100</v>
      </c>
      <c r="W187" s="292">
        <f t="shared" si="36"/>
        <v>2</v>
      </c>
    </row>
    <row r="188" spans="1:23" s="1" customFormat="1" ht="18" customHeight="1">
      <c r="A188" s="201">
        <f t="shared" si="34"/>
        <v>16</v>
      </c>
      <c r="B188" s="140" t="s">
        <v>110</v>
      </c>
      <c r="C188" s="140" t="s">
        <v>66</v>
      </c>
      <c r="D188" s="139" t="s">
        <v>73</v>
      </c>
      <c r="E188" s="143"/>
      <c r="F188" s="143" t="s">
        <v>73</v>
      </c>
      <c r="G188" s="143" t="s">
        <v>202</v>
      </c>
      <c r="H188" s="143">
        <v>5</v>
      </c>
      <c r="I188" s="130"/>
      <c r="J188" s="131">
        <f t="shared" si="35"/>
        <v>5</v>
      </c>
    </row>
    <row r="189" spans="1:23" s="1" customFormat="1" ht="18" customHeight="1">
      <c r="A189" s="201">
        <f t="shared" si="34"/>
        <v>17</v>
      </c>
      <c r="B189" s="140" t="s">
        <v>647</v>
      </c>
      <c r="C189" s="140" t="s">
        <v>127</v>
      </c>
      <c r="D189" s="139" t="s">
        <v>126</v>
      </c>
      <c r="E189" s="143"/>
      <c r="F189" s="143" t="s">
        <v>126</v>
      </c>
      <c r="G189" s="143" t="s">
        <v>185</v>
      </c>
      <c r="H189" s="143">
        <v>1</v>
      </c>
      <c r="I189" s="130"/>
      <c r="J189" s="131">
        <f>$J$120*H189</f>
        <v>1</v>
      </c>
    </row>
    <row r="190" spans="1:23" s="1" customFormat="1" ht="18" customHeight="1">
      <c r="A190" s="201">
        <f t="shared" si="34"/>
        <v>18</v>
      </c>
      <c r="B190" s="140" t="s">
        <v>648</v>
      </c>
      <c r="C190" s="140" t="s">
        <v>127</v>
      </c>
      <c r="D190" s="139" t="s">
        <v>521</v>
      </c>
      <c r="E190" s="143"/>
      <c r="F190" s="143" t="s">
        <v>521</v>
      </c>
      <c r="G190" s="143" t="s">
        <v>185</v>
      </c>
      <c r="H190" s="143">
        <v>1</v>
      </c>
      <c r="I190" s="130"/>
      <c r="J190" s="131">
        <f>$J$120*H190</f>
        <v>1</v>
      </c>
    </row>
    <row r="191" spans="1:23" s="1" customFormat="1" ht="18" customHeight="1">
      <c r="A191" s="201">
        <f t="shared" si="34"/>
        <v>19</v>
      </c>
      <c r="B191" s="140" t="s">
        <v>512</v>
      </c>
      <c r="C191" s="140" t="s">
        <v>135</v>
      </c>
      <c r="D191" s="139" t="s">
        <v>137</v>
      </c>
      <c r="E191" s="143"/>
      <c r="F191" s="143" t="s">
        <v>137</v>
      </c>
      <c r="G191" s="143" t="s">
        <v>198</v>
      </c>
      <c r="H191" s="261">
        <f>((($I$149*$G$149)+($I$150*$G$150))/1000)*$J$120</f>
        <v>4.8159999999999998</v>
      </c>
      <c r="I191" s="258">
        <v>100</v>
      </c>
      <c r="J191" s="260">
        <f>ROUNDUP((H191)/100,0)</f>
        <v>1</v>
      </c>
    </row>
    <row r="192" spans="1:23" s="1" customFormat="1" ht="18" customHeight="1">
      <c r="A192" s="201">
        <f t="shared" si="34"/>
        <v>20</v>
      </c>
      <c r="B192" s="140" t="s">
        <v>513</v>
      </c>
      <c r="C192" s="140" t="s">
        <v>136</v>
      </c>
      <c r="D192" s="139" t="s">
        <v>138</v>
      </c>
      <c r="E192" s="143"/>
      <c r="F192" s="143" t="s">
        <v>138</v>
      </c>
      <c r="G192" s="143" t="s">
        <v>198</v>
      </c>
      <c r="H192" s="261">
        <f>((($I$146*$G$146*2))/1000)*$J$120</f>
        <v>4.8159999999999998</v>
      </c>
      <c r="I192" s="258">
        <v>100</v>
      </c>
      <c r="J192" s="260">
        <f>ROUNDUP((H192)/100,0)</f>
        <v>1</v>
      </c>
    </row>
    <row r="193" spans="1:24" ht="18" customHeight="1">
      <c r="A193" s="201">
        <f t="shared" si="34"/>
        <v>21</v>
      </c>
      <c r="B193" s="139" t="str">
        <f>IF($D$129="Standard",$O$184,IF($D$129="Soumdproof",$O$185,))</f>
        <v>ยางเฟรมกันน้ำ (ธรรมดา)</v>
      </c>
      <c r="C193" s="139" t="str">
        <f>IF($D$129="Standard",$P$184,IF($D$129="Soumdproof",$P$185,))</f>
        <v>FRAME SEAL (Standard)</v>
      </c>
      <c r="D193" s="139" t="str">
        <f>IF($D$129="Standard",$Q$184,IF($D$129="Soumdproof",$Q$185,))</f>
        <v>02-026</v>
      </c>
      <c r="E193" s="143">
        <f>IF($D$129="Standard",R190,IF($D$129="Soumdproof",R191,))</f>
        <v>0</v>
      </c>
      <c r="F193" s="143" t="str">
        <f>IF($D$129="Standard",$S$184,IF($D$129="Soumdproof",$S$185,))</f>
        <v>02-026</v>
      </c>
      <c r="G193" s="143" t="str">
        <f>IF($D$129="Standard",$T$184,IF($D$129="Soumdproof",$T$185,))</f>
        <v>M</v>
      </c>
      <c r="H193" s="261">
        <f>IF($D$129="Standard",$U$184,IF($D$129="Soumdproof",$U$185,))</f>
        <v>6.258</v>
      </c>
      <c r="I193" s="258">
        <f>IF($D$129="Standard",$V$184,IF($D$129="Soumdproof",$V$185,))</f>
        <v>300</v>
      </c>
      <c r="J193" s="267">
        <f>ROUNDUP((H193)/100,0)</f>
        <v>1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s="1" customFormat="1" ht="18" customHeight="1">
      <c r="A194" s="201">
        <f t="shared" si="34"/>
        <v>22</v>
      </c>
      <c r="B194" s="139" t="str">
        <f>IF($D$129="Standard",$O$186,IF($D$129="Soumdproof",$O$187,))</f>
        <v>ยางแซชกันน้ำ (ธรรมดา)</v>
      </c>
      <c r="C194" s="139" t="str">
        <f>IF($D$129="Standard",$P$186,IF($D$129="Soumdproof",$P$187,))</f>
        <v>SASH SEAL FOAM (Standard)</v>
      </c>
      <c r="D194" s="139" t="str">
        <f>IF($D$129="Standard",$Q$186,IF($D$129="Soumdproof",$Q$187,))</f>
        <v>02-031</v>
      </c>
      <c r="E194" s="143">
        <f>IF($D$129="Standard",R192,IF($D$129="Soumdproof",R193,))</f>
        <v>0</v>
      </c>
      <c r="F194" s="143" t="str">
        <f>IF($D$129="Standard",$S$186,IF($D$129="Soumdproof",$S$187,))</f>
        <v>02-031</v>
      </c>
      <c r="G194" s="143" t="str">
        <f>IF($D$129="Standard",$T$186,IF($D$129="Soumdproof",$T$187,))</f>
        <v>M</v>
      </c>
      <c r="H194" s="261">
        <f>IF($D$129="Standard",$U$186,IF($D$129="Soumdproof",$U$187,))</f>
        <v>107.09050000000001</v>
      </c>
      <c r="I194" s="258">
        <f>IF($D$129="Standard",$V$186,IF($D$129="Soumdproof",$V$187,))</f>
        <v>350</v>
      </c>
      <c r="J194" s="260">
        <f t="shared" ref="J194:J196" si="37">ROUNDUP((H194)/100,0)</f>
        <v>2</v>
      </c>
    </row>
    <row r="195" spans="1:24" s="1" customFormat="1" ht="18" customHeight="1">
      <c r="A195" s="201">
        <f t="shared" si="34"/>
        <v>23</v>
      </c>
      <c r="B195" s="241" t="str">
        <f>IF($D$127=5,$O$175,IF($D$127=6,$O$176,IF($D$127=8,$O$177,IF($D$127=10,$O$175,IF($D$127=12,$O$175,IF($D$127=14,$O$177,IF($D$127=18,$O$175,IF($D$127=20,$O$176,IF($D$127=22,"")))))))))</f>
        <v>5,8,10,12,18 mmยางอัดกระจก</v>
      </c>
      <c r="C195" s="241" t="str">
        <f>IF($D$127=5,$P$175,IF($D$127=6,$P$176,IF($D$127=8,$P$177,IF($D$127=10,$P$175,IF($D$127=12,$P$175,IF($D$127=14,$P$177,IF($D$127=18,$P$175,IF($D$127=20,$P$176,IF($D$127=22,"")))))))))</f>
        <v>5,8,10,12,18 mm ROLL IN WEDGE</v>
      </c>
      <c r="D195" s="241" t="str">
        <f>IF($D$127=5,$Q$175,IF($D$127=6,$Q$176,IF($D$127=8,$Q$177,IF($D$127=10,$Q$175,IF($D$127=12,$Q$175,IF($D$127=14,$Q$177,IF($D$127=18,$Q$175,IF($D$127=20,$Q$176,IF($D$127=22,"")))))))))</f>
        <v>02-033</v>
      </c>
      <c r="E195" s="241">
        <f>IF($D$127=5,R181,IF($D$127=6,R182,IF($D$127=8,R183,IF($D$127=10,R181,IF($D$127=12,R181,IF($D$127=14,R183,IF($D$127=18,R181,IF($D$127=20,R182,IF($D$127=22,"",)))))))))</f>
        <v>0</v>
      </c>
      <c r="F195" s="242" t="str">
        <f>IF($D$127=5,$S$175,IF($D$127=6,$S$176,IF($D$127=8,$S$177,IF($D$127=10,$S$175,IF($D$127=12,$S$175,IF($D$127=14,$S$177,IF($D$127=18,$S$175,IF($D$127=20,$S$176,IF($D$127=22,"")))))))))</f>
        <v>02-033</v>
      </c>
      <c r="G195" s="242" t="str">
        <f>IF($D$127=5,$T$175,IF($D$127=6,$T$176,IF($D$127=8,$T$177,IF($D$127=10,$T$175,IF($D$127=12,$T$175,IF($D$127=14,$T$177,IF($D$127=18,$T$175,IF($D$127=20,$T$176,IF($D$127=22,"")))))))))</f>
        <v>M</v>
      </c>
      <c r="H195" s="261">
        <f>IF($D$127=5,$U$175,IF($D$127=6,$U$176,IF($D$127=8,$U$177,IF($D$127=10,$U$175*2,IF($D$127=12,$U$175,IF($D$127=14,$U$177*2,IF($D$127=18,$U$175,IF($D$127=20,$U$176,IF($D$127=22,"")))))))))</f>
        <v>58.930500000000002</v>
      </c>
      <c r="I195" s="258">
        <f>IF($D$127=5,$V$175,IF($D$127=6,$V$176,IF($D$127=8,$V$177,IF($D$127=10,$V$175,IF($D$127=12,$V$175,IF($D$127=14,$V$177,IF($D$127=18,$V$175,IF($D$127=20,$V$176,IF($D$127=22,"")))))))))</f>
        <v>100</v>
      </c>
      <c r="J195" s="260">
        <f t="shared" si="37"/>
        <v>1</v>
      </c>
    </row>
    <row r="196" spans="1:24" s="1" customFormat="1" ht="18" customHeight="1">
      <c r="A196" s="201">
        <f t="shared" si="34"/>
        <v>24</v>
      </c>
      <c r="B196" s="241" t="str">
        <f>IF($D$127=5,$O$173,IF($D$127=6,$O$173,IF($D$127=8,$O$175,IF($D$127=10,"",IF($D$127=12,$O$174,IF($D$127=14,"",IF($D$127=18,$O$173,IF($D$127=20,$O$174,IF($D$127=22,"",)))))))))</f>
        <v>5,6,18 mm ยางรองกระจก</v>
      </c>
      <c r="C196" s="241" t="str">
        <f>IF($D$127=5,$P$173,IF($D$127=6,$P$173,IF($D$127=8,$P$175,IF($D$127=10,"",IF($D$127=12,$P$174,IF($D$127=14,"",IF($D$127=18,$P$173,IF($D$127=20,$P$174,IF($D$127=22,"",)))))))))</f>
        <v>5,6,18 mm CAPTIVE WEDGE</v>
      </c>
      <c r="D196" s="241" t="str">
        <f>IF($D$127=5,$Q$173,IF($D$127=6,$Q$173,IF($D$127=8,$Q$175,IF($D$127=10,"",IF($D$127=12,$Q$174,IF($D$127=14,"",IF($D$127=18,$Q$173,IF($D$127=20,$Q$174,IF($D$127=22,"",)))))))))</f>
        <v>02-022</v>
      </c>
      <c r="E196" s="241">
        <f>IF($D$127=5,R179,IF($D$127=6,R179,IF($D$127=8,R181,IF($D$127=10,"",IF($D$127=12,R180,IF($D$127=14,"",IF($D$127=18,R179,IF($D$127=20,R180,IF($D$127=22,"",)))))))))</f>
        <v>0</v>
      </c>
      <c r="F196" s="242" t="str">
        <f>IF($D$127=5,$S$173,IF($D$127=6,$S$173,IF($D$127=8,$S$175,IF($D$127=10,"",IF($D$127=12,$S$174,IF($D$127=14,"",IF($D$127=18,$S$173,IF($D$127=20,$S$174,IF($D$127=22,"",)))))))))</f>
        <v>02-022</v>
      </c>
      <c r="G196" s="242" t="str">
        <f>IF($D$127=5,$T$173,IF($D$127=6,$T$173,IF($D$127=8,$T$175,IF($D$127=10,"",IF($D$127=12,$T$174,IF($D$127=14,"",IF($D$127=18,$T$173,IF($D$127=20,$T$174,IF($D$127=22,"",)))))))))</f>
        <v>M</v>
      </c>
      <c r="H196" s="261">
        <f>IF($D$127=5,$U$173,IF($D$127=6,$U$173,IF($D$127=8,$U$175,IF($D$127=10,"",IF($D$127=12,$U$174,IF($D$127=14,"",IF($D$127=18,$U$173,IF($D$127=20,$U$174,IF($D$127=22,"")))))))))</f>
        <v>58.930500000000002</v>
      </c>
      <c r="I196" s="258">
        <f>IF($D$127=5,$V$173,IF($D$127=6,$V$173,IF($D$127=8,$V$175,IF($D$127=10,"",IF($D$127=12,$V$174,IF($D$127=14,"",IF($D$127=18,$V$173,IF($D$127=20,$V$174,IF($D$127=22,"",)))))))))</f>
        <v>100</v>
      </c>
      <c r="J196" s="260">
        <f t="shared" si="37"/>
        <v>1</v>
      </c>
    </row>
    <row r="197" spans="1:24" s="1" customFormat="1" ht="18" customHeight="1">
      <c r="A197" s="201" t="str">
        <f t="shared" si="34"/>
        <v/>
      </c>
      <c r="B197" s="140"/>
      <c r="C197" s="140"/>
      <c r="D197" s="139"/>
      <c r="E197" s="143"/>
      <c r="F197" s="143"/>
      <c r="G197" s="143"/>
      <c r="H197" s="143"/>
      <c r="I197" s="130"/>
      <c r="J197" s="131">
        <f>$J$120*H197</f>
        <v>0</v>
      </c>
    </row>
    <row r="198" spans="1:24" s="1" customFormat="1" ht="18" customHeight="1">
      <c r="A198" s="201" t="str">
        <f t="shared" si="34"/>
        <v/>
      </c>
      <c r="B198" s="140"/>
      <c r="C198" s="140"/>
      <c r="D198" s="139"/>
      <c r="E198" s="143"/>
      <c r="F198" s="143"/>
      <c r="G198" s="143"/>
      <c r="H198" s="143"/>
      <c r="I198" s="130"/>
      <c r="J198" s="131">
        <f>$J$120*H198</f>
        <v>0</v>
      </c>
    </row>
    <row r="199" spans="1:24" s="1" customFormat="1" ht="18" customHeight="1">
      <c r="A199" s="201" t="str">
        <f t="shared" si="34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>$J$120*H199</f>
        <v>0</v>
      </c>
    </row>
    <row r="200" spans="1:24" s="1" customFormat="1" ht="18" customHeight="1">
      <c r="A200" s="201" t="str">
        <f t="shared" si="34"/>
        <v/>
      </c>
      <c r="B200" s="140"/>
      <c r="C200" s="140"/>
      <c r="D200" s="139"/>
      <c r="E200" s="143"/>
      <c r="F200" s="143"/>
      <c r="G200" s="143"/>
      <c r="H200" s="143"/>
      <c r="I200" s="144"/>
      <c r="J200" s="131">
        <f t="shared" si="32"/>
        <v>0</v>
      </c>
    </row>
    <row r="201" spans="1:24" s="1" customFormat="1" ht="18" customHeight="1">
      <c r="A201" s="201" t="str">
        <f t="shared" si="34"/>
        <v/>
      </c>
      <c r="B201" s="140"/>
      <c r="C201" s="140"/>
      <c r="D201" s="139"/>
      <c r="E201" s="143"/>
      <c r="F201" s="143"/>
      <c r="G201" s="143"/>
      <c r="H201" s="143"/>
      <c r="I201" s="144"/>
      <c r="J201" s="131">
        <f t="shared" si="32"/>
        <v>0</v>
      </c>
    </row>
    <row r="202" spans="1:24" s="1" customFormat="1" ht="18" customHeight="1">
      <c r="A202" s="201" t="str">
        <f t="shared" si="34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ref="J202" si="38">$J$120*H202</f>
        <v>0</v>
      </c>
    </row>
    <row r="203" spans="1:24" s="1" customFormat="1" ht="18" customHeight="1">
      <c r="A203" s="201" t="str">
        <f t="shared" si="34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ref="J203:J205" si="39">$J$120*H203</f>
        <v>0</v>
      </c>
    </row>
    <row r="204" spans="1:24" s="1" customFormat="1" ht="18" customHeight="1">
      <c r="A204" s="201" t="str">
        <f t="shared" si="34"/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 t="shared" si="39"/>
        <v>0</v>
      </c>
    </row>
    <row r="205" spans="1:24" s="1" customFormat="1" ht="18" customHeight="1">
      <c r="A205" s="317" t="str">
        <f t="shared" ref="A205" si="40">IF(B205="","",+A204+1)</f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 t="shared" si="39"/>
        <v>0</v>
      </c>
    </row>
    <row r="206" spans="1:24" s="193" customFormat="1" ht="18" customHeight="1">
      <c r="A206" s="27"/>
      <c r="B206" s="161"/>
      <c r="C206" s="33"/>
      <c r="D206" s="161"/>
      <c r="E206" s="109"/>
      <c r="F206" s="161"/>
      <c r="G206" s="161"/>
      <c r="H206" s="161"/>
      <c r="I206" s="24"/>
      <c r="J206" s="24"/>
    </row>
    <row r="207" spans="1:24" ht="18" customHeight="1">
      <c r="A207" s="17"/>
      <c r="J207" s="99" t="str">
        <f>LEFT($J$111,14)&amp;"-02"</f>
        <v>FG-240-12P5L7R-02</v>
      </c>
    </row>
    <row r="208" spans="1:24" ht="12.75" customHeight="1">
      <c r="B208" s="56"/>
      <c r="C208" s="56"/>
      <c r="D208" s="30"/>
      <c r="E208" s="17"/>
      <c r="F208" s="17"/>
      <c r="G208" s="17"/>
      <c r="H208" s="17"/>
      <c r="K208" s="7"/>
      <c r="L208" s="7"/>
      <c r="M208" s="2"/>
      <c r="N208" s="2"/>
    </row>
    <row r="209" spans="1:14" ht="30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271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271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/>
      <c r="C215"/>
      <c r="D215" s="81"/>
      <c r="E215"/>
      <c r="F215"/>
      <c r="G215"/>
      <c r="H215"/>
      <c r="I215" s="160"/>
      <c r="J215" s="116"/>
    </row>
    <row r="216" spans="1:14" s="1" customFormat="1" ht="15" customHeight="1">
      <c r="A216" s="17"/>
      <c r="B216" s="93"/>
      <c r="C216" s="56"/>
      <c r="D216" s="30"/>
      <c r="E216" s="29"/>
      <c r="F216" s="160"/>
      <c r="G216" s="160"/>
      <c r="H216" s="16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s="1" customFormat="1" ht="15.6">
      <c r="A218" s="109"/>
      <c r="B218" s="33"/>
      <c r="C218" s="327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272</v>
      </c>
      <c r="D220" s="30"/>
      <c r="E220" s="29"/>
      <c r="F220" s="30"/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89"/>
      <c r="J221" s="12"/>
    </row>
    <row r="222" spans="1:14" s="1" customFormat="1" ht="15" customHeight="1">
      <c r="A222" s="109"/>
      <c r="B222" s="33"/>
      <c r="C222" s="327" t="s">
        <v>273</v>
      </c>
      <c r="D222" s="161"/>
      <c r="E222" s="109"/>
      <c r="F222" s="161"/>
      <c r="J222" s="12"/>
    </row>
    <row r="223" spans="1:14" s="1" customFormat="1" ht="15" customHeight="1">
      <c r="A223" s="109"/>
      <c r="B223" s="33"/>
      <c r="C223" s="374">
        <f>$I$133</f>
        <v>1940</v>
      </c>
      <c r="D223" s="161"/>
      <c r="E223" s="35"/>
      <c r="F223" s="161"/>
      <c r="G223" s="68"/>
      <c r="J223" s="12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326"/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326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327"/>
      <c r="D229" s="161"/>
      <c r="E229" s="109"/>
      <c r="F229" s="161"/>
      <c r="H229" s="109"/>
      <c r="I229" s="270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270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270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270"/>
      <c r="J232" s="117"/>
    </row>
    <row r="233" spans="1:10" s="1" customFormat="1" ht="15.9" customHeight="1">
      <c r="A233" s="44"/>
      <c r="B233" s="44"/>
      <c r="C233" s="89" t="s">
        <v>274</v>
      </c>
      <c r="D233" s="84"/>
      <c r="E233" s="44"/>
      <c r="F233" s="44"/>
      <c r="G233" s="109"/>
      <c r="H233" s="109"/>
      <c r="I233" s="270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1914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270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70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109"/>
      <c r="J242" s="24"/>
    </row>
    <row r="243" spans="1:10" s="1" customFormat="1" ht="15.9" customHeight="1">
      <c r="A243" s="109"/>
      <c r="B243" s="33"/>
      <c r="C243" s="89" t="s">
        <v>276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.9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" customHeight="1">
      <c r="A245" s="109"/>
      <c r="B245" s="33"/>
      <c r="C245" s="327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1940</v>
      </c>
      <c r="D246" s="161"/>
      <c r="E246" s="109"/>
      <c r="F246" s="161"/>
      <c r="G246" s="109"/>
      <c r="H246" s="109"/>
      <c r="I246" s="44"/>
      <c r="J246" s="119"/>
    </row>
    <row r="247" spans="1:10" s="1" customFormat="1" ht="15.9" customHeight="1">
      <c r="A247" s="109"/>
      <c r="B247" s="33"/>
      <c r="C247" s="363">
        <f>$J$135</f>
        <v>1</v>
      </c>
      <c r="D247" s="161"/>
      <c r="E247" s="109"/>
      <c r="F247" s="161"/>
      <c r="G247" s="109"/>
      <c r="H247" s="109"/>
      <c r="I247" s="32"/>
      <c r="J247" s="40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0"/>
      <c r="H251" s="109"/>
      <c r="I251" s="24"/>
      <c r="J251" s="24"/>
    </row>
    <row r="252" spans="1:10" s="1" customFormat="1" ht="15.9" customHeight="1">
      <c r="A252" s="109"/>
      <c r="B252" s="33"/>
      <c r="D252" s="161"/>
      <c r="E252" s="109"/>
      <c r="F252" s="109"/>
      <c r="G252" s="109"/>
      <c r="H252" s="109"/>
      <c r="I252" s="24"/>
      <c r="J252" s="24"/>
    </row>
    <row r="253" spans="1:10" s="1" customFormat="1" ht="15.9" customHeight="1">
      <c r="A253" s="44"/>
      <c r="B253" s="44"/>
      <c r="D253" s="84"/>
      <c r="E253" s="44"/>
      <c r="F253" s="44"/>
      <c r="G253" s="109"/>
      <c r="H253" s="109"/>
      <c r="I253" s="24"/>
      <c r="J253" s="24"/>
    </row>
    <row r="254" spans="1:10" s="1" customFormat="1" ht="15.9" customHeight="1">
      <c r="A254" s="40"/>
      <c r="B254" s="40"/>
      <c r="C254" s="89" t="s">
        <v>277</v>
      </c>
      <c r="D254" s="85"/>
      <c r="E254" s="40"/>
      <c r="F254" s="32"/>
      <c r="G254" s="109"/>
      <c r="I254" s="24"/>
      <c r="J254" s="24"/>
    </row>
    <row r="255" spans="1:10" s="1" customFormat="1" ht="15.9" customHeight="1">
      <c r="A255" s="27"/>
      <c r="B255" s="33"/>
      <c r="C255" s="328" t="s">
        <v>275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27" t="s">
        <v>273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74">
        <f>$I$136</f>
        <v>1940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63">
        <f>$J$136</f>
        <v>1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46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161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89" t="s">
        <v>278</v>
      </c>
      <c r="D264" s="161"/>
      <c r="E264" s="109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8" t="s">
        <v>379</v>
      </c>
      <c r="D265" s="328"/>
      <c r="E265" s="328"/>
      <c r="F265" s="109"/>
      <c r="G265" s="109"/>
      <c r="H265" s="109"/>
      <c r="I265" s="24"/>
      <c r="J265" s="24"/>
    </row>
    <row r="266" spans="1:10" s="1" customFormat="1" ht="15.9" customHeight="1">
      <c r="A266" s="27"/>
      <c r="B266" s="33"/>
      <c r="C266" s="327" t="s">
        <v>279</v>
      </c>
      <c r="D266" s="327"/>
      <c r="E266" s="327"/>
      <c r="F266" s="109"/>
      <c r="G266" s="109"/>
      <c r="H266" s="109"/>
      <c r="J266" s="12"/>
    </row>
    <row r="267" spans="1:10" s="1" customFormat="1" ht="15.9" customHeight="1">
      <c r="A267" s="27"/>
      <c r="B267" s="33"/>
      <c r="C267" s="374">
        <f>$I$137</f>
        <v>2500</v>
      </c>
      <c r="D267" s="161"/>
      <c r="E267" s="109"/>
      <c r="F267" s="109"/>
      <c r="G267" s="33"/>
      <c r="H267" s="33"/>
      <c r="J267" s="12"/>
    </row>
    <row r="268" spans="1:10" s="1" customFormat="1" ht="15.9" customHeight="1">
      <c r="A268" s="27"/>
      <c r="B268" s="33"/>
      <c r="C268" s="363">
        <f>$J$137+$J$138</f>
        <v>2</v>
      </c>
      <c r="D268" s="161"/>
      <c r="E268" s="10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D271" s="328"/>
      <c r="E271" s="328"/>
      <c r="F271" s="109"/>
      <c r="G271" s="109"/>
      <c r="H271" s="109"/>
      <c r="J271" s="12"/>
    </row>
    <row r="272" spans="1:10" s="1" customFormat="1" ht="15.9" customHeight="1">
      <c r="A272" s="27"/>
      <c r="B272" s="33"/>
      <c r="D272" s="328"/>
      <c r="E272" s="328"/>
      <c r="F272" s="109"/>
      <c r="G272" s="109"/>
      <c r="I272" s="24"/>
      <c r="J272" s="24"/>
    </row>
    <row r="273" spans="1:10" s="1" customFormat="1" ht="15.9" customHeight="1">
      <c r="A273" s="27"/>
      <c r="B273" s="33"/>
      <c r="C273" s="33"/>
      <c r="D273" s="161"/>
      <c r="E273" s="109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89" t="s">
        <v>280</v>
      </c>
      <c r="D274" s="162"/>
      <c r="E274" s="24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328" t="s">
        <v>649</v>
      </c>
      <c r="D275" s="328"/>
      <c r="E275" s="328"/>
      <c r="F275" s="109"/>
      <c r="G275" s="109"/>
      <c r="I275" s="109"/>
      <c r="J275" s="24"/>
    </row>
    <row r="276" spans="1:10" s="1" customFormat="1" ht="15.9" customHeight="1">
      <c r="A276" s="27"/>
      <c r="B276" s="33"/>
      <c r="C276" s="433" t="s">
        <v>650</v>
      </c>
      <c r="D276" s="327"/>
      <c r="E276" s="327"/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374">
        <f>$I$139</f>
        <v>2404</v>
      </c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363">
        <f>$J$139+$J$140</f>
        <v>2</v>
      </c>
      <c r="F278" s="109"/>
      <c r="G278" s="109"/>
      <c r="I278" s="109"/>
      <c r="J278" s="24"/>
    </row>
    <row r="279" spans="1:10" s="1" customFormat="1" ht="15.9" customHeight="1">
      <c r="A279" s="27"/>
      <c r="B279" s="33"/>
      <c r="F279" s="109"/>
      <c r="G279" s="109"/>
      <c r="H279" s="109"/>
      <c r="J279" s="12"/>
    </row>
    <row r="280" spans="1:10" s="1" customFormat="1" ht="15.9" customHeight="1">
      <c r="A280" s="27"/>
      <c r="B280" s="33"/>
      <c r="C280" s="33"/>
      <c r="D280" s="161"/>
      <c r="E280" s="109"/>
      <c r="F280" s="109"/>
      <c r="G280" s="109"/>
      <c r="H280" s="109"/>
      <c r="J280" s="12"/>
    </row>
    <row r="281" spans="1:10" s="1" customFormat="1" ht="15.9" customHeight="1">
      <c r="A281" s="27"/>
      <c r="B281" s="33"/>
      <c r="F281" s="109"/>
      <c r="G281" s="109"/>
      <c r="H281" s="109"/>
      <c r="J281" s="12"/>
    </row>
    <row r="282" spans="1:10" s="1" customFormat="1" ht="15.9" customHeight="1">
      <c r="A282" s="27"/>
      <c r="B282" s="33"/>
      <c r="F282" s="109"/>
      <c r="G282" s="109"/>
      <c r="H282" s="109"/>
      <c r="I282" s="162"/>
      <c r="J282" s="24"/>
    </row>
    <row r="283" spans="1:10" s="1" customFormat="1" ht="15.9" customHeight="1">
      <c r="A283" s="27"/>
      <c r="B283" s="33"/>
      <c r="C283" s="89" t="s">
        <v>283</v>
      </c>
      <c r="F283" s="109"/>
      <c r="G283" s="109"/>
      <c r="H283" s="109"/>
      <c r="I283" s="109"/>
      <c r="J283" s="24"/>
    </row>
    <row r="284" spans="1:10" s="1" customFormat="1" ht="15.9" customHeight="1">
      <c r="A284" s="27"/>
      <c r="B284" s="33"/>
      <c r="C284" s="94" t="s">
        <v>431</v>
      </c>
      <c r="D284" s="161"/>
      <c r="E284" s="109"/>
      <c r="F284" s="109"/>
      <c r="G284" s="109"/>
      <c r="H284" s="109"/>
      <c r="I284" s="24"/>
      <c r="J284" s="24"/>
    </row>
    <row r="285" spans="1:10" s="1" customFormat="1" ht="15.9" customHeight="1">
      <c r="A285" s="27"/>
      <c r="B285" s="33"/>
      <c r="C285" s="327" t="s">
        <v>432</v>
      </c>
      <c r="D285" s="161"/>
      <c r="E285" s="109"/>
      <c r="F285" s="109"/>
      <c r="G285" s="109"/>
      <c r="H285" s="109"/>
      <c r="I285" s="24"/>
      <c r="J285" s="24"/>
    </row>
    <row r="286" spans="1:10" s="1" customFormat="1" ht="15.9" customHeight="1">
      <c r="A286" s="27"/>
      <c r="B286" s="33"/>
      <c r="C286" s="328" t="s">
        <v>281</v>
      </c>
      <c r="D286" s="328"/>
      <c r="E286" s="328"/>
      <c r="F286" s="109"/>
      <c r="G286" s="109"/>
      <c r="I286" s="24"/>
      <c r="J286" s="24"/>
    </row>
    <row r="287" spans="1:10" s="23" customFormat="1" ht="15.9" customHeight="1">
      <c r="A287" s="27"/>
      <c r="B287" s="33"/>
      <c r="C287" s="327" t="s">
        <v>282</v>
      </c>
      <c r="D287" s="327"/>
      <c r="E287" s="327"/>
      <c r="F287" s="109"/>
      <c r="G287" s="109"/>
      <c r="H287" s="1"/>
      <c r="I287" s="109"/>
      <c r="J287" s="109"/>
    </row>
    <row r="288" spans="1:10" s="1" customFormat="1" ht="15.9" customHeight="1">
      <c r="A288" s="27"/>
      <c r="B288" s="33"/>
      <c r="C288" s="374">
        <f>$I$141</f>
        <v>47.4375</v>
      </c>
      <c r="F288" s="109"/>
      <c r="G288" s="109"/>
      <c r="I288" s="44"/>
      <c r="J288" s="119"/>
    </row>
    <row r="289" spans="1:10" s="1" customFormat="1" ht="15.9" customHeight="1">
      <c r="A289" s="27"/>
      <c r="B289" s="33"/>
      <c r="C289" s="363">
        <f>$J$141+$J$142</f>
        <v>24</v>
      </c>
      <c r="D289" s="161"/>
      <c r="E289" s="109"/>
      <c r="F289" s="109"/>
      <c r="G289" s="109"/>
      <c r="H289" s="161"/>
      <c r="I289" s="32"/>
      <c r="J289" s="40"/>
    </row>
    <row r="290" spans="1:10" s="1" customFormat="1" ht="15.9" customHeight="1">
      <c r="A290" s="27"/>
      <c r="B290" s="33"/>
      <c r="C290" s="374">
        <f>$I$143</f>
        <v>2408</v>
      </c>
      <c r="D290" s="161"/>
      <c r="E290" s="109"/>
      <c r="F290" s="109"/>
      <c r="G290" s="109"/>
      <c r="H290" s="109"/>
      <c r="I290" s="24"/>
      <c r="J290" s="24"/>
    </row>
    <row r="291" spans="1:10" s="1" customFormat="1" ht="15.9" customHeight="1">
      <c r="A291" s="27"/>
      <c r="B291" s="33"/>
      <c r="C291" s="363">
        <f>$J$143+$J$144+$J$145+$J$146</f>
        <v>24</v>
      </c>
      <c r="D291" s="161"/>
      <c r="E291" s="109"/>
      <c r="F291" s="109"/>
      <c r="G291" s="109"/>
      <c r="H291" s="109"/>
      <c r="I291" s="24"/>
      <c r="J291" s="24"/>
    </row>
    <row r="292" spans="1:10" s="1" customFormat="1" ht="15.9" customHeight="1">
      <c r="A292" s="27"/>
      <c r="B292" s="33"/>
      <c r="C292" s="33"/>
      <c r="D292" s="161"/>
      <c r="E292" s="109"/>
      <c r="F292" s="109"/>
      <c r="G292" s="109"/>
      <c r="H292" s="109"/>
      <c r="I292" s="109"/>
      <c r="J292" s="24"/>
    </row>
    <row r="293" spans="1:10" s="1" customFormat="1" ht="15.9" customHeight="1">
      <c r="A293" s="27"/>
      <c r="B293" s="33"/>
      <c r="C293" s="23"/>
      <c r="D293" s="161"/>
      <c r="E293" s="109"/>
      <c r="F293" s="109"/>
      <c r="G293" s="109"/>
      <c r="H293" s="109"/>
      <c r="I293" s="109"/>
      <c r="J293" s="24"/>
    </row>
    <row r="294" spans="1:10" s="1" customFormat="1" ht="15.9" customHeight="1">
      <c r="A294" s="27"/>
      <c r="B294" s="33"/>
      <c r="C294" s="89" t="s">
        <v>284</v>
      </c>
      <c r="D294" s="161"/>
      <c r="E294" s="109"/>
      <c r="F294" s="109"/>
      <c r="G294" s="109"/>
      <c r="H294" s="109"/>
      <c r="I294" s="109"/>
      <c r="J294" s="24"/>
    </row>
    <row r="295" spans="1:10" s="1" customFormat="1" ht="15.9" customHeight="1">
      <c r="A295" s="27"/>
      <c r="B295" s="33"/>
      <c r="C295" s="94" t="s">
        <v>431</v>
      </c>
      <c r="D295" s="161"/>
      <c r="E295" s="109"/>
      <c r="F295" s="109"/>
      <c r="G295" s="44"/>
      <c r="H295" s="44"/>
      <c r="I295" s="109"/>
      <c r="J295" s="24"/>
    </row>
    <row r="296" spans="1:10" s="1" customFormat="1" ht="15.9" customHeight="1">
      <c r="A296" s="27"/>
      <c r="B296" s="33"/>
      <c r="C296" s="327" t="s">
        <v>433</v>
      </c>
      <c r="D296" s="328"/>
      <c r="E296" s="328"/>
      <c r="F296" s="109"/>
      <c r="G296" s="40"/>
      <c r="H296" s="32"/>
      <c r="I296" s="109"/>
      <c r="J296" s="24"/>
    </row>
    <row r="297" spans="1:10" s="1" customFormat="1" ht="15.9" customHeight="1">
      <c r="A297" s="41"/>
      <c r="B297" s="33"/>
      <c r="C297" s="328" t="s">
        <v>286</v>
      </c>
      <c r="D297" s="327"/>
      <c r="E297" s="327"/>
      <c r="F297" s="109"/>
      <c r="G297" s="109"/>
      <c r="H297" s="109"/>
      <c r="I297" s="109"/>
      <c r="J297" s="24"/>
    </row>
    <row r="298" spans="1:10" s="1" customFormat="1" ht="15.9" customHeight="1">
      <c r="A298" s="44"/>
      <c r="B298" s="44"/>
      <c r="C298" s="327" t="s">
        <v>285</v>
      </c>
      <c r="D298" s="86"/>
      <c r="E298" s="79"/>
      <c r="F298" s="44"/>
      <c r="G298" s="109"/>
      <c r="H298" s="109"/>
      <c r="I298" s="109"/>
      <c r="J298" s="24"/>
    </row>
    <row r="299" spans="1:10" s="1" customFormat="1" ht="15.9" customHeight="1">
      <c r="A299" s="40"/>
      <c r="B299" s="40"/>
      <c r="C299" s="374">
        <f>$I$147</f>
        <v>47.4375</v>
      </c>
      <c r="D299" s="87"/>
      <c r="E299" s="80"/>
      <c r="F299" s="32"/>
      <c r="G299" s="109"/>
      <c r="H299" s="109"/>
      <c r="I299" s="109"/>
      <c r="J299" s="24"/>
    </row>
    <row r="300" spans="1:10" s="1" customFormat="1" ht="15.9" customHeight="1">
      <c r="A300" s="109"/>
      <c r="B300" s="33"/>
      <c r="C300" s="363">
        <f>$J$147</f>
        <v>24</v>
      </c>
      <c r="D300" s="15"/>
      <c r="F300" s="109"/>
      <c r="G300" s="109"/>
      <c r="H300" s="109"/>
      <c r="I300" s="109"/>
      <c r="J300" s="24"/>
    </row>
    <row r="301" spans="1:10" s="1" customFormat="1" ht="15.9" customHeight="1">
      <c r="A301" s="109"/>
      <c r="B301" s="33"/>
      <c r="C301" s="374">
        <f>$I$148</f>
        <v>2258</v>
      </c>
      <c r="D301" s="15"/>
      <c r="F301" s="109"/>
      <c r="G301" s="109"/>
      <c r="H301" s="109"/>
      <c r="I301" s="109"/>
      <c r="J301" s="24"/>
    </row>
    <row r="302" spans="1:10" s="1" customFormat="1" ht="15.9" customHeight="1">
      <c r="A302" s="109"/>
      <c r="B302" s="33"/>
      <c r="C302" s="363">
        <f>$J$148</f>
        <v>24</v>
      </c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D305" s="15"/>
      <c r="F305" s="109"/>
      <c r="G305" s="109"/>
      <c r="H305" s="109"/>
      <c r="I305" s="109"/>
      <c r="J305" s="24"/>
    </row>
    <row r="306" spans="1:14" s="1" customFormat="1" ht="15.75" customHeight="1">
      <c r="A306" s="109"/>
      <c r="B306" s="33"/>
      <c r="C306" s="89" t="s">
        <v>288</v>
      </c>
      <c r="D306" s="161"/>
      <c r="E306" s="109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328" t="s">
        <v>281</v>
      </c>
      <c r="D307" s="328"/>
      <c r="E307" s="328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542" t="s">
        <v>282</v>
      </c>
      <c r="D308" s="542"/>
      <c r="E308" s="542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74">
        <f>$I$149</f>
        <v>2408</v>
      </c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63">
        <f>$J$149+$J$150</f>
        <v>2</v>
      </c>
      <c r="D310" s="328"/>
      <c r="E310" s="328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C311" s="328"/>
      <c r="D311" s="328"/>
      <c r="E311" s="328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C312" s="328"/>
      <c r="D312" s="328"/>
      <c r="E312" s="328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33"/>
      <c r="D314" s="162"/>
      <c r="E314" s="24"/>
      <c r="F314" s="109"/>
      <c r="G314" s="109"/>
      <c r="H314" s="109"/>
      <c r="I314" s="27"/>
      <c r="J314" s="99" t="str">
        <f>LEFT($J$111,14)&amp;"-03"</f>
        <v>FG-240-12P5L7R-03</v>
      </c>
    </row>
    <row r="315" spans="1:14" ht="12.75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30" customHeight="1">
      <c r="I316" s="95"/>
      <c r="J316" s="90" t="str">
        <f>$J$2</f>
        <v>HOMELIFE</v>
      </c>
      <c r="K316" s="11"/>
      <c r="L316" s="11"/>
      <c r="M316" s="2"/>
      <c r="N316" s="2"/>
    </row>
    <row r="317" spans="1:14" ht="24.9" customHeight="1">
      <c r="B317" s="271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271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s="1" customFormat="1" ht="15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  <c r="K320" s="4"/>
      <c r="L320" s="4"/>
      <c r="M320" s="4"/>
      <c r="N320" s="4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272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272"/>
      <c r="I331" s="161"/>
      <c r="J331" s="109"/>
    </row>
    <row r="332" spans="1:10" s="1" customFormat="1" ht="15" customHeight="1">
      <c r="A332" s="64" t="str">
        <f>A18</f>
        <v>240-12 Panel (5L7R)</v>
      </c>
      <c r="B332" s="92"/>
      <c r="C332" s="161"/>
      <c r="D332" s="161"/>
      <c r="E332" s="109"/>
      <c r="F332" s="272"/>
      <c r="G332" s="272"/>
      <c r="H332" s="272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92"/>
      <c r="C333" s="161"/>
      <c r="D333" s="161"/>
      <c r="E333" s="109"/>
      <c r="F333" s="272"/>
      <c r="G333" s="272"/>
      <c r="H333" s="272"/>
      <c r="I333" s="109"/>
      <c r="J333" s="109"/>
    </row>
    <row r="334" spans="1:10" s="1" customFormat="1" ht="15.9" customHeight="1">
      <c r="A334" s="109"/>
      <c r="B334" s="45"/>
      <c r="C334" s="42"/>
      <c r="D334" s="161"/>
      <c r="E334" s="109"/>
      <c r="F334" s="507"/>
      <c r="G334" s="507"/>
      <c r="H334" s="272"/>
      <c r="I334" s="109"/>
      <c r="J334" s="109"/>
    </row>
    <row r="335" spans="1:10" s="1" customFormat="1" ht="15.9" customHeight="1">
      <c r="A335" s="39"/>
      <c r="B335" s="109"/>
      <c r="C335" s="161"/>
      <c r="D335" s="161"/>
      <c r="E335" s="109"/>
      <c r="F335" s="37"/>
      <c r="G335" s="38"/>
      <c r="H335" s="109"/>
      <c r="I335" s="109"/>
      <c r="J335" s="109"/>
    </row>
    <row r="336" spans="1:10" s="1" customFormat="1" ht="15.9" customHeight="1">
      <c r="A336" s="44"/>
      <c r="C336" s="43"/>
      <c r="D336" s="161"/>
      <c r="E336" s="109"/>
      <c r="F336" s="109"/>
      <c r="G336" s="109"/>
      <c r="H336" s="109"/>
      <c r="I336" s="44"/>
      <c r="J336" s="119"/>
    </row>
    <row r="337" spans="1:10" s="1" customFormat="1" ht="15.9" customHeight="1">
      <c r="A337" s="40"/>
      <c r="C337" s="44"/>
      <c r="D337" s="84"/>
      <c r="E337" s="44"/>
      <c r="F337" s="44"/>
      <c r="G337" s="44"/>
      <c r="H337" s="44"/>
      <c r="I337" s="32"/>
      <c r="J337" s="40"/>
    </row>
    <row r="338" spans="1:10" s="1" customFormat="1" ht="15.9" customHeight="1">
      <c r="A338" s="109"/>
      <c r="C338" s="161"/>
      <c r="D338" s="85"/>
      <c r="E338" s="40"/>
      <c r="F338" s="32"/>
      <c r="G338" s="40"/>
      <c r="H338" s="32"/>
      <c r="I338" s="24"/>
      <c r="J338" s="24"/>
    </row>
    <row r="339" spans="1:10" s="1" customFormat="1" ht="15.9" customHeight="1">
      <c r="A339" s="109"/>
      <c r="C339" s="163"/>
      <c r="D339" s="161"/>
      <c r="E339" s="109"/>
      <c r="F339" s="161"/>
      <c r="G339" s="109"/>
      <c r="H339" s="109"/>
      <c r="I339" s="24"/>
      <c r="J339" s="24"/>
    </row>
    <row r="340" spans="1:10" s="1" customFormat="1" ht="15.9" customHeight="1">
      <c r="A340" s="109"/>
      <c r="B340" s="33"/>
      <c r="C340" s="161"/>
      <c r="D340" s="161"/>
      <c r="E340" s="109"/>
      <c r="F340" s="161"/>
      <c r="G340" s="109"/>
      <c r="H340" s="109"/>
      <c r="I340" s="162"/>
      <c r="J340" s="162"/>
    </row>
    <row r="341" spans="1:10" s="1" customFormat="1" ht="15.9" customHeight="1">
      <c r="A341" s="109"/>
      <c r="B341" s="33"/>
      <c r="C341" s="44"/>
      <c r="D341" s="161"/>
      <c r="E341" s="109"/>
      <c r="F341" s="161"/>
      <c r="G341" s="109"/>
      <c r="H341" s="162"/>
      <c r="I341" s="161"/>
      <c r="J341" s="161"/>
    </row>
    <row r="342" spans="1:10" s="1" customFormat="1" ht="15.9" customHeight="1">
      <c r="A342" s="109"/>
      <c r="B342" s="33"/>
      <c r="C342" s="42"/>
      <c r="D342" s="161"/>
      <c r="E342" s="109"/>
      <c r="F342" s="161"/>
      <c r="G342" s="109"/>
      <c r="H342" s="161"/>
      <c r="I342" s="161"/>
      <c r="J342" s="161"/>
    </row>
    <row r="343" spans="1:10" s="1" customFormat="1" ht="15.9" customHeight="1">
      <c r="A343" s="109"/>
      <c r="B343" s="33"/>
      <c r="C343" s="163"/>
      <c r="D343" s="161"/>
      <c r="E343" s="109"/>
      <c r="F343" s="161"/>
      <c r="G343" s="109"/>
      <c r="H343" s="161"/>
      <c r="I343" s="109"/>
      <c r="J343" s="24"/>
    </row>
    <row r="344" spans="1:10" s="1" customFormat="1" ht="15.9" customHeight="1">
      <c r="A344" s="109"/>
      <c r="B344" s="33"/>
      <c r="C344" s="161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44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3"/>
      <c r="D350" s="161"/>
      <c r="E350" s="109"/>
      <c r="F350" s="161"/>
      <c r="G350" s="109"/>
      <c r="H350" s="109"/>
      <c r="I350" s="109"/>
      <c r="J350" s="24"/>
    </row>
    <row r="351" spans="1:10" s="1" customFormat="1" ht="15.9" customHeight="1">
      <c r="A351" s="109"/>
      <c r="B351" s="33"/>
      <c r="C351" s="161"/>
      <c r="D351" s="161"/>
      <c r="E351" s="109"/>
      <c r="F351" s="161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1" customFormat="1" ht="15" customHeight="1">
      <c r="A353" s="109"/>
      <c r="B353" s="33"/>
      <c r="C353" s="33"/>
      <c r="D353" s="161"/>
      <c r="E353" s="109"/>
      <c r="F353" s="109"/>
      <c r="G353" s="109"/>
      <c r="H353" s="107"/>
      <c r="I353" s="24"/>
      <c r="J353" s="24"/>
    </row>
    <row r="354" spans="1:10" s="23" customFormat="1" ht="15.9" customHeight="1">
      <c r="A354" s="109"/>
      <c r="B354" s="33"/>
      <c r="C354" s="33"/>
      <c r="D354" s="161"/>
      <c r="E354" s="109"/>
      <c r="F354" s="109"/>
      <c r="G354" s="109"/>
      <c r="H354" s="109"/>
      <c r="I354" s="109"/>
      <c r="J354" s="109"/>
    </row>
    <row r="355" spans="1:10" s="1" customFormat="1" ht="15.9" customHeight="1">
      <c r="A355" s="44"/>
      <c r="B355" s="33"/>
      <c r="C355" s="33"/>
      <c r="D355" s="161"/>
      <c r="E355" s="109"/>
      <c r="F355" s="109"/>
      <c r="G355" s="109"/>
      <c r="H355" s="109"/>
      <c r="I355" s="44"/>
      <c r="J355" s="119"/>
    </row>
    <row r="356" spans="1:10" s="1" customFormat="1" ht="15.9" customHeight="1">
      <c r="A356" s="40"/>
      <c r="B356" s="44"/>
      <c r="C356" s="44"/>
      <c r="D356" s="84"/>
      <c r="E356" s="44"/>
      <c r="F356" s="44"/>
      <c r="G356" s="44"/>
      <c r="H356" s="44"/>
      <c r="I356" s="32"/>
      <c r="J356" s="40"/>
    </row>
    <row r="357" spans="1:10" s="1" customFormat="1" ht="15.9" customHeight="1">
      <c r="A357" s="27"/>
      <c r="B357" s="40"/>
      <c r="C357" s="44"/>
      <c r="D357" s="85"/>
      <c r="E357" s="40"/>
      <c r="F357" s="32"/>
      <c r="G357" s="40"/>
      <c r="H357" s="32"/>
      <c r="I357" s="24"/>
      <c r="J357" s="24"/>
    </row>
    <row r="358" spans="1:10" s="1" customFormat="1" ht="15.9" customHeight="1">
      <c r="A358" s="27"/>
      <c r="B358" s="33"/>
      <c r="C358" s="42"/>
      <c r="D358" s="161"/>
      <c r="E358" s="109"/>
      <c r="F358" s="109"/>
      <c r="G358" s="109"/>
      <c r="H358" s="42"/>
      <c r="I358" s="163"/>
      <c r="J358" s="163"/>
    </row>
    <row r="359" spans="1:10" s="1" customFormat="1" ht="15.9" customHeight="1">
      <c r="A359" s="27"/>
      <c r="B359" s="33"/>
      <c r="C359" s="163"/>
      <c r="D359" s="161"/>
      <c r="E359" s="109"/>
      <c r="F359" s="109"/>
      <c r="G359" s="109"/>
      <c r="H359" s="163"/>
      <c r="I359" s="161"/>
      <c r="J359" s="161"/>
    </row>
    <row r="360" spans="1:10" s="1" customFormat="1" ht="15.9" customHeight="1">
      <c r="A360" s="27"/>
      <c r="B360" s="33"/>
      <c r="C360" s="161"/>
      <c r="D360" s="161"/>
      <c r="E360" s="109"/>
      <c r="F360" s="109"/>
      <c r="G360" s="109"/>
      <c r="H360" s="161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46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161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D372" s="161"/>
      <c r="E372" s="109"/>
      <c r="F372" s="109"/>
      <c r="G372" s="33"/>
      <c r="H372" s="33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42"/>
      <c r="I376" s="163"/>
      <c r="J376" s="163"/>
    </row>
    <row r="377" spans="1:10" s="1" customFormat="1" ht="15.9" customHeight="1">
      <c r="A377" s="27"/>
      <c r="B377" s="33"/>
      <c r="C377" s="47"/>
      <c r="D377" s="161"/>
      <c r="E377" s="109"/>
      <c r="F377" s="109"/>
      <c r="G377" s="109"/>
      <c r="H377" s="163"/>
      <c r="I377" s="161"/>
      <c r="J377" s="161"/>
    </row>
    <row r="378" spans="1:10" s="1" customFormat="1" ht="15.9" customHeight="1">
      <c r="A378" s="27"/>
      <c r="B378" s="33"/>
      <c r="C378" s="46"/>
      <c r="D378" s="161"/>
      <c r="E378" s="109"/>
      <c r="F378" s="109"/>
      <c r="G378" s="109"/>
      <c r="H378" s="161"/>
      <c r="I378" s="24"/>
      <c r="J378" s="24"/>
    </row>
    <row r="379" spans="1:10" s="1" customFormat="1" ht="15.9" customHeight="1">
      <c r="A379" s="27"/>
      <c r="B379" s="33"/>
      <c r="C379" s="161"/>
      <c r="D379" s="161"/>
      <c r="E379" s="109"/>
      <c r="F379" s="109"/>
      <c r="G379" s="109"/>
      <c r="H379" s="42"/>
      <c r="I379" s="163"/>
      <c r="J379" s="163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3"/>
      <c r="I380" s="161"/>
      <c r="J380" s="161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1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64"/>
      <c r="J388" s="16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4"/>
      <c r="I389" s="165"/>
      <c r="J389" s="165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5"/>
      <c r="I390" s="161"/>
      <c r="J390" s="161"/>
    </row>
    <row r="391" spans="1:10" s="1" customFormat="1" ht="15.9" customHeight="1">
      <c r="A391" s="27"/>
      <c r="B391" s="33"/>
      <c r="C391" s="47"/>
      <c r="D391" s="161"/>
      <c r="E391" s="109"/>
      <c r="F391" s="109"/>
      <c r="G391" s="109"/>
      <c r="H391" s="161"/>
      <c r="I391" s="24"/>
      <c r="J391" s="24"/>
    </row>
    <row r="392" spans="1:10" s="1" customFormat="1" ht="15.9" customHeight="1">
      <c r="A392" s="27"/>
      <c r="B392" s="33"/>
      <c r="C392" s="46"/>
      <c r="D392" s="161"/>
      <c r="E392" s="109"/>
      <c r="F392" s="109"/>
      <c r="G392" s="109"/>
      <c r="H392" s="109"/>
      <c r="I392" s="109"/>
      <c r="J392" s="24"/>
    </row>
    <row r="393" spans="1:10" s="1" customFormat="1" ht="15.9" customHeight="1">
      <c r="A393" s="27"/>
      <c r="B393" s="33"/>
      <c r="C393" s="161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23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1" customFormat="1" ht="15.9" customHeight="1">
      <c r="A405" s="44"/>
      <c r="B405" s="33"/>
      <c r="C405" s="33"/>
      <c r="D405" s="161"/>
      <c r="E405" s="109"/>
      <c r="F405" s="109"/>
      <c r="G405" s="109"/>
      <c r="H405" s="109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75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109"/>
      <c r="B419" s="44"/>
      <c r="C419" s="44"/>
      <c r="D419" s="84"/>
      <c r="E419" s="44"/>
      <c r="F419" s="44"/>
      <c r="G419" s="44"/>
      <c r="H419" s="44"/>
      <c r="I419" s="24"/>
      <c r="J419" s="24"/>
      <c r="K419" s="71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LEFT($J$111,14)&amp;"-04"</f>
        <v>FG-240-12P5L7R-04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B423" s="33"/>
      <c r="C423" s="33"/>
      <c r="D423" s="161"/>
      <c r="E423" s="109"/>
      <c r="F423" s="109"/>
      <c r="G423" s="109"/>
      <c r="H423" s="109"/>
      <c r="I423" s="95"/>
      <c r="J423" s="90" t="str">
        <f>J2</f>
        <v>HOMELIFE</v>
      </c>
      <c r="K423" s="11"/>
      <c r="L423" s="11"/>
      <c r="M423" s="2"/>
      <c r="N423" s="2"/>
    </row>
    <row r="424" spans="1:14" ht="24.9" customHeight="1">
      <c r="B424" s="271"/>
      <c r="C424" s="5"/>
      <c r="D424" s="95"/>
      <c r="E424" s="95"/>
      <c r="F424" s="95"/>
      <c r="G424" s="95"/>
      <c r="H424" s="95"/>
      <c r="I424" s="28"/>
      <c r="J424" s="91" t="str">
        <f>J3</f>
        <v>Fabricators Guide</v>
      </c>
      <c r="K424" s="11"/>
      <c r="L424" s="11"/>
      <c r="M424" s="2"/>
      <c r="N424" s="2"/>
    </row>
    <row r="425" spans="1:14" ht="24.9" customHeight="1">
      <c r="B425" s="271"/>
      <c r="C425" s="28"/>
      <c r="D425" s="28"/>
      <c r="E425" s="28"/>
      <c r="F425" s="28"/>
      <c r="G425" s="28"/>
      <c r="H425" s="28"/>
      <c r="I425" s="28"/>
      <c r="J425" s="91" t="str">
        <f>J4</f>
        <v xml:space="preserve">240 Series Bi Fold Door </v>
      </c>
      <c r="K425" s="48"/>
      <c r="L425" s="48"/>
      <c r="M425" s="4"/>
      <c r="N425" s="4"/>
    </row>
    <row r="426" spans="1:14" s="1" customFormat="1" ht="15" customHeight="1" thickBot="1">
      <c r="A426" s="78"/>
      <c r="B426" s="8"/>
      <c r="C426" s="28"/>
      <c r="D426" s="28"/>
      <c r="E426" s="28"/>
      <c r="F426" s="28"/>
      <c r="G426" s="28"/>
      <c r="H426" s="2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  <c r="K427" s="4"/>
      <c r="L427" s="4"/>
      <c r="M427" s="4"/>
      <c r="N427" s="4"/>
    </row>
    <row r="428" spans="1:14" s="1" customFormat="1" ht="15" customHeight="1">
      <c r="A428" s="193"/>
      <c r="B428" s="194"/>
      <c r="C428" s="194"/>
      <c r="D428" s="194"/>
      <c r="E428" s="194"/>
      <c r="F428" s="194"/>
      <c r="G428" s="194"/>
      <c r="H428" s="194"/>
      <c r="I428" s="193"/>
      <c r="K428" s="56"/>
      <c r="L428" s="56"/>
      <c r="M428" s="56"/>
      <c r="N428" s="56"/>
    </row>
    <row r="429" spans="1:14" s="1" customFormat="1" ht="15" customHeight="1">
      <c r="A429" s="45"/>
      <c r="B429" s="193"/>
      <c r="C429" s="193"/>
      <c r="D429" s="193"/>
      <c r="E429" s="193"/>
      <c r="F429" s="193"/>
      <c r="G429" s="193"/>
      <c r="H429" s="193"/>
      <c r="I429" s="44"/>
      <c r="J429" s="119"/>
    </row>
    <row r="430" spans="1:14" s="1" customFormat="1" ht="15" customHeight="1">
      <c r="A430" s="109"/>
      <c r="B430" s="39"/>
      <c r="C430" s="33"/>
      <c r="D430" s="161"/>
      <c r="E430" s="35"/>
      <c r="F430" s="39"/>
      <c r="G430" s="193"/>
      <c r="H430" s="44"/>
      <c r="I430" s="44"/>
      <c r="J430" s="119"/>
    </row>
    <row r="431" spans="1:14" s="1" customFormat="1" ht="15" customHeight="1">
      <c r="A431" s="109"/>
      <c r="B431" s="33"/>
      <c r="C431" s="33"/>
      <c r="D431" s="161"/>
      <c r="E431" s="35"/>
      <c r="F431" s="161"/>
      <c r="G431" s="193"/>
      <c r="H431" s="44"/>
      <c r="I431" s="44"/>
      <c r="J431" s="119"/>
    </row>
    <row r="432" spans="1:14" s="1" customFormat="1" ht="15" customHeight="1">
      <c r="A432" s="109"/>
      <c r="B432" s="56"/>
      <c r="C432" s="56"/>
      <c r="D432" s="30"/>
      <c r="E432" s="29"/>
      <c r="F432" s="30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109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3"/>
      <c r="H434" s="44"/>
      <c r="I434" s="44"/>
      <c r="J434" s="119"/>
    </row>
    <row r="435" spans="1:10" s="1" customFormat="1" ht="15" customHeight="1">
      <c r="A435" s="109"/>
      <c r="B435" s="33"/>
      <c r="C435" s="161"/>
      <c r="D435" s="161"/>
      <c r="E435" s="35"/>
      <c r="F435" s="161"/>
      <c r="H435" s="44"/>
      <c r="I435" s="44"/>
      <c r="J435" s="119"/>
    </row>
    <row r="436" spans="1:10" s="1" customFormat="1" ht="15" customHeight="1">
      <c r="A436" s="39"/>
      <c r="B436" s="33"/>
      <c r="C436" s="42"/>
      <c r="D436" s="161"/>
      <c r="E436" s="109"/>
      <c r="F436" s="69"/>
      <c r="H436" s="44"/>
      <c r="I436" s="44"/>
      <c r="J436" s="119"/>
    </row>
    <row r="437" spans="1:10" s="1" customFormat="1" ht="15" customHeight="1">
      <c r="A437" s="92"/>
      <c r="B437" s="39"/>
      <c r="C437" s="163"/>
      <c r="D437" s="161"/>
      <c r="E437" s="109"/>
      <c r="F437" s="68"/>
      <c r="H437" s="44"/>
      <c r="I437" s="44"/>
      <c r="J437" s="119"/>
    </row>
    <row r="438" spans="1:10" s="1" customFormat="1" ht="15" customHeight="1">
      <c r="B438" s="92"/>
      <c r="C438" s="161"/>
      <c r="D438" s="161"/>
      <c r="E438" s="109"/>
      <c r="F438" s="272"/>
      <c r="H438" s="44"/>
      <c r="I438" s="44"/>
      <c r="J438" s="119"/>
    </row>
    <row r="439" spans="1:10" s="1" customFormat="1" ht="15" customHeight="1">
      <c r="A439" s="64" t="str">
        <f>A18</f>
        <v>240-12 Panel (5L7R)</v>
      </c>
      <c r="B439" s="92"/>
      <c r="C439" s="161"/>
      <c r="D439" s="161"/>
      <c r="E439" s="109"/>
      <c r="F439" s="272"/>
      <c r="H439" s="44"/>
      <c r="I439" s="44"/>
      <c r="J439" s="119"/>
    </row>
    <row r="440" spans="1:10" s="1" customFormat="1" ht="15.9" customHeight="1">
      <c r="A440" s="76" t="str">
        <f>A19</f>
        <v xml:space="preserve">Outside Bi Fold Door </v>
      </c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44"/>
      <c r="B442" s="38"/>
      <c r="C442" s="43"/>
      <c r="D442" s="161"/>
      <c r="E442" s="109"/>
      <c r="F442" s="109"/>
      <c r="H442" s="44"/>
      <c r="I442" s="44"/>
      <c r="J442" s="119"/>
    </row>
    <row r="443" spans="1:10" s="1" customFormat="1" ht="15.9" customHeight="1">
      <c r="A443" s="40"/>
      <c r="C443" s="44"/>
      <c r="D443" s="84"/>
      <c r="E443" s="44"/>
      <c r="F443" s="44"/>
      <c r="H443" s="44"/>
      <c r="I443" s="44"/>
      <c r="J443" s="119"/>
    </row>
    <row r="444" spans="1:10" s="1" customFormat="1" ht="35.1" customHeight="1">
      <c r="A444" s="109"/>
      <c r="C444" s="161"/>
      <c r="D444" s="85"/>
      <c r="E444" s="40"/>
      <c r="F444" s="32"/>
      <c r="H444" s="44"/>
      <c r="I444" s="24"/>
      <c r="J444" s="24"/>
    </row>
    <row r="445" spans="1:10" ht="15.6">
      <c r="B445" s="64"/>
      <c r="C445" s="163"/>
      <c r="D445" s="161"/>
      <c r="E445" s="109"/>
      <c r="F445" s="161"/>
      <c r="G445" s="109"/>
      <c r="H445" s="109"/>
    </row>
    <row r="450" spans="1:10" s="1" customFormat="1" ht="15.9" customHeight="1">
      <c r="A450" s="109"/>
      <c r="B450"/>
      <c r="C450"/>
      <c r="D450" s="81"/>
      <c r="E450"/>
      <c r="F450"/>
      <c r="G450"/>
      <c r="H450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44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1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163"/>
      <c r="D456" s="161"/>
      <c r="E456" s="109"/>
      <c r="F456" s="161"/>
      <c r="G456" s="109"/>
      <c r="H456" s="109"/>
      <c r="I456" s="109"/>
      <c r="J456" s="24"/>
    </row>
    <row r="457" spans="1:10" s="1" customFormat="1" ht="15.9" customHeight="1">
      <c r="A457" s="109"/>
      <c r="B457" s="33"/>
      <c r="C457" s="161"/>
      <c r="D457" s="161"/>
      <c r="E457" s="109"/>
      <c r="F457" s="161"/>
      <c r="G457" s="109"/>
      <c r="H457" s="109"/>
      <c r="I457" s="24"/>
      <c r="J457" s="24"/>
    </row>
    <row r="458" spans="1:10" s="1" customFormat="1" ht="15.9" customHeight="1">
      <c r="A458" s="109"/>
      <c r="B458" s="33"/>
      <c r="C458" s="33"/>
      <c r="D458" s="161"/>
      <c r="E458" s="109"/>
      <c r="F458" s="109"/>
      <c r="G458" s="109"/>
      <c r="H458" s="109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7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" customHeight="1">
      <c r="A476" s="109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23" customFormat="1" ht="15.9" customHeight="1">
      <c r="A477" s="109"/>
      <c r="B477" s="33"/>
      <c r="C477" s="33"/>
      <c r="D477" s="161"/>
      <c r="E477" s="109"/>
      <c r="F477" s="109"/>
      <c r="G477" s="109"/>
      <c r="H477" s="109"/>
      <c r="I477" s="109"/>
      <c r="J477" s="109"/>
    </row>
    <row r="478" spans="1:10" s="1" customFormat="1" ht="15.9" customHeight="1">
      <c r="A478" s="44"/>
      <c r="B478" s="33"/>
      <c r="C478" s="33"/>
      <c r="D478" s="161"/>
      <c r="E478" s="109"/>
      <c r="F478" s="109"/>
      <c r="G478" s="109"/>
      <c r="H478" s="109"/>
      <c r="I478" s="44"/>
      <c r="J478" s="119"/>
    </row>
    <row r="479" spans="1:10" s="1" customFormat="1" ht="15.9" customHeight="1">
      <c r="A479" s="40"/>
      <c r="B479" s="44"/>
      <c r="C479" s="44"/>
      <c r="D479" s="84"/>
      <c r="E479" s="44"/>
      <c r="F479" s="44"/>
      <c r="G479" s="44"/>
      <c r="H479" s="44"/>
      <c r="I479" s="32"/>
      <c r="J479" s="40"/>
    </row>
    <row r="480" spans="1:10" s="1" customFormat="1" ht="15.9" customHeight="1">
      <c r="A480" s="27"/>
      <c r="B480" s="40"/>
      <c r="C480" s="44"/>
      <c r="D480" s="85"/>
      <c r="E480" s="40"/>
      <c r="F480" s="32"/>
      <c r="G480" s="40"/>
      <c r="H480" s="32"/>
      <c r="I480" s="24"/>
      <c r="J480" s="24"/>
    </row>
    <row r="481" spans="1:10" s="1" customFormat="1" ht="15.9" customHeight="1">
      <c r="A481" s="27"/>
      <c r="B481" s="33"/>
      <c r="C481" s="42"/>
      <c r="D481" s="161"/>
      <c r="E481" s="109"/>
      <c r="F481" s="109"/>
      <c r="G481" s="109"/>
      <c r="H481" s="42"/>
      <c r="I481" s="67"/>
      <c r="J481" s="165"/>
    </row>
    <row r="482" spans="1:10" s="1" customFormat="1" ht="15.9" customHeight="1">
      <c r="A482" s="27"/>
      <c r="B482" s="33"/>
      <c r="C482" s="163"/>
      <c r="D482" s="161"/>
      <c r="E482" s="109"/>
      <c r="F482" s="109"/>
      <c r="G482" s="109"/>
      <c r="H482" s="67"/>
      <c r="I482" s="38"/>
      <c r="J482" s="109"/>
    </row>
    <row r="483" spans="1:10" s="1" customFormat="1" ht="15.9" customHeight="1">
      <c r="A483" s="27"/>
      <c r="B483" s="33"/>
      <c r="C483" s="161"/>
      <c r="D483" s="161"/>
      <c r="E483" s="109"/>
      <c r="F483" s="109"/>
      <c r="G483" s="109"/>
      <c r="H483" s="38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46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161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D495" s="161"/>
      <c r="E495" s="109"/>
      <c r="F495" s="109"/>
      <c r="G495" s="33"/>
      <c r="H495" s="33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42"/>
      <c r="I499" s="67"/>
      <c r="J499" s="165"/>
    </row>
    <row r="500" spans="1:10" s="1" customFormat="1" ht="15.9" customHeight="1">
      <c r="A500" s="27"/>
      <c r="B500" s="33"/>
      <c r="C500" s="47"/>
      <c r="D500" s="161"/>
      <c r="E500" s="109"/>
      <c r="F500" s="109"/>
      <c r="G500" s="109"/>
      <c r="H500" s="67"/>
      <c r="I500" s="38"/>
      <c r="J500" s="109"/>
    </row>
    <row r="501" spans="1:10" s="1" customFormat="1" ht="15.9" customHeight="1">
      <c r="A501" s="27"/>
      <c r="B501" s="33"/>
      <c r="C501" s="46"/>
      <c r="D501" s="161"/>
      <c r="E501" s="109"/>
      <c r="F501" s="109"/>
      <c r="G501" s="109"/>
      <c r="H501" s="38"/>
      <c r="I501" s="24"/>
      <c r="J501" s="24"/>
    </row>
    <row r="502" spans="1:10" s="1" customFormat="1" ht="15.9" customHeight="1">
      <c r="A502" s="27"/>
      <c r="B502" s="33"/>
      <c r="C502" s="161"/>
      <c r="D502" s="161"/>
      <c r="E502" s="109"/>
      <c r="F502" s="109"/>
      <c r="G502" s="109"/>
      <c r="H502" s="42"/>
      <c r="I502" s="67"/>
      <c r="J502" s="165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67"/>
      <c r="I503" s="38"/>
      <c r="J503" s="109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38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109"/>
      <c r="J512" s="24"/>
    </row>
    <row r="513" spans="1:22" s="1" customFormat="1" ht="15.75" customHeight="1">
      <c r="A513" s="44"/>
      <c r="B513" s="33"/>
      <c r="C513" s="33"/>
      <c r="D513" s="161"/>
      <c r="E513" s="109"/>
      <c r="F513" s="109"/>
      <c r="G513" s="109"/>
      <c r="H513" s="67"/>
      <c r="I513" s="44"/>
      <c r="J513" s="119"/>
    </row>
    <row r="514" spans="1:22" s="1" customFormat="1" ht="15.9" customHeight="1">
      <c r="A514" s="44"/>
      <c r="B514" s="44"/>
      <c r="C514" s="44"/>
      <c r="D514" s="84"/>
      <c r="E514" s="44"/>
      <c r="F514" s="44"/>
      <c r="G514" s="44"/>
      <c r="H514" s="44"/>
      <c r="I514" s="44"/>
      <c r="J514" s="119"/>
    </row>
    <row r="515" spans="1:22" s="1" customFormat="1" ht="15.9" customHeight="1">
      <c r="A515" s="44"/>
      <c r="B515" s="44"/>
      <c r="C515" s="44"/>
      <c r="D515" s="84"/>
      <c r="E515" s="44"/>
      <c r="F515" s="44"/>
      <c r="G515" s="44"/>
      <c r="H515" s="44"/>
      <c r="I515" s="44"/>
      <c r="J515" s="119"/>
    </row>
    <row r="516" spans="1:22" s="1" customFormat="1" ht="15.9" customHeight="1">
      <c r="B516" s="44"/>
      <c r="C516" s="44"/>
      <c r="D516" s="84"/>
      <c r="E516" s="44"/>
      <c r="F516" s="44"/>
      <c r="G516" s="44"/>
      <c r="H516" s="44"/>
    </row>
    <row r="517" spans="1:22" s="1" customFormat="1" ht="15.9" customHeight="1" thickBot="1"/>
    <row r="518" spans="1:22" s="1" customFormat="1" ht="24.9" customHeight="1" thickBot="1">
      <c r="A518" s="502" t="s">
        <v>401</v>
      </c>
      <c r="B518" s="503"/>
      <c r="C518" s="503"/>
      <c r="D518" s="503"/>
      <c r="E518" s="503"/>
      <c r="F518" s="503"/>
      <c r="G518" s="503"/>
      <c r="H518" s="503"/>
      <c r="I518" s="503"/>
      <c r="J518" s="504"/>
    </row>
    <row r="519" spans="1:22" s="1" customFormat="1" ht="35.1" customHeight="1" thickBot="1">
      <c r="A519" s="146" t="s">
        <v>2</v>
      </c>
      <c r="B519" s="147" t="s">
        <v>3</v>
      </c>
      <c r="C519" s="103" t="s">
        <v>3</v>
      </c>
      <c r="D519" s="104" t="s">
        <v>35</v>
      </c>
      <c r="E519" s="103" t="s">
        <v>5</v>
      </c>
      <c r="F519" s="252" t="s">
        <v>27</v>
      </c>
      <c r="G519" s="305"/>
      <c r="H519" s="104" t="s">
        <v>27</v>
      </c>
      <c r="I519" s="104" t="s">
        <v>26</v>
      </c>
      <c r="J519" s="115" t="s">
        <v>6</v>
      </c>
      <c r="N519" s="249" t="s">
        <v>3</v>
      </c>
      <c r="O519" s="249" t="s">
        <v>3</v>
      </c>
    </row>
    <row r="520" spans="1:22" s="1" customFormat="1" ht="15.9" customHeight="1">
      <c r="A520" s="150">
        <f>IF(C520="","",1)</f>
        <v>1</v>
      </c>
      <c r="B520" s="121" t="str">
        <f>IF($D$127=5,N520,IF($D$127=6,N521,IF($D$127=8,N522,IF($D$127=10,N523,IF($D$127=12,N524,IF($D$127=14,N525,IF($D$127=18,N526,IF($D$127=20,N527,IF($D$127=22,N528,)))))))))</f>
        <v>กระจก 5 mm (สูง) (กว้าง)</v>
      </c>
      <c r="C520" s="121" t="str">
        <f>IF($D$127=5,O520,IF($D$127=6,O521,IF($D$127=8,O522,IF($D$127=10,O523,IF($D$127=12,O524,IF($D$127=14,O525,IF($D$127=18,O526,IF($D$127=20,O527,IF($D$127=22,O528,)))))))))</f>
        <v>GLASS thk.5 mm (H) (W)</v>
      </c>
      <c r="D520" s="124">
        <f>$J$123-215</f>
        <v>2285</v>
      </c>
      <c r="E520" s="123" t="s">
        <v>11</v>
      </c>
      <c r="F520" s="527" t="s">
        <v>271</v>
      </c>
      <c r="G520" s="528"/>
      <c r="H520" s="123" t="s">
        <v>309</v>
      </c>
      <c r="I520" s="124">
        <f>(($J$126-185-(113.25*11))/12)-13</f>
        <v>34.4375</v>
      </c>
      <c r="J520" s="151">
        <f>$J$120*12</f>
        <v>12</v>
      </c>
      <c r="N520" s="19" t="s">
        <v>194</v>
      </c>
      <c r="O520" s="19" t="s">
        <v>195</v>
      </c>
    </row>
    <row r="521" spans="1:22" s="1" customFormat="1" ht="15.9" customHeight="1">
      <c r="A521" s="152"/>
      <c r="B521" s="127"/>
      <c r="C521" s="127"/>
      <c r="D521" s="128" t="s">
        <v>0</v>
      </c>
      <c r="E521" s="129"/>
      <c r="F521" s="155"/>
      <c r="G521" s="156"/>
      <c r="H521" s="127"/>
      <c r="I521" s="130"/>
      <c r="J521" s="153"/>
      <c r="N521" s="19" t="s">
        <v>53</v>
      </c>
      <c r="O521" s="19" t="s">
        <v>54</v>
      </c>
    </row>
    <row r="522" spans="1:22" s="1" customFormat="1" ht="15.9" customHeight="1">
      <c r="A522" s="152"/>
      <c r="B522" s="127"/>
      <c r="C522" s="127"/>
      <c r="D522" s="128"/>
      <c r="E522" s="129"/>
      <c r="F522" s="155"/>
      <c r="G522" s="156"/>
      <c r="H522" s="129"/>
      <c r="I522" s="130"/>
      <c r="J522" s="153"/>
      <c r="N522" s="19" t="s">
        <v>257</v>
      </c>
      <c r="O522" s="19" t="s">
        <v>258</v>
      </c>
    </row>
    <row r="523" spans="1:22" s="1" customFormat="1" ht="15.9" customHeight="1">
      <c r="A523" s="129" t="str">
        <f>IF(B523="","",+A521+1)</f>
        <v/>
      </c>
      <c r="B523" s="127"/>
      <c r="C523" s="127"/>
      <c r="D523" s="128"/>
      <c r="E523" s="129"/>
      <c r="F523" s="155"/>
      <c r="G523" s="157"/>
      <c r="H523" s="129"/>
      <c r="I523" s="144"/>
      <c r="J523" s="130"/>
      <c r="N523" s="19" t="s">
        <v>259</v>
      </c>
      <c r="O523" s="19" t="s">
        <v>265</v>
      </c>
    </row>
    <row r="524" spans="1:22" s="1" customFormat="1" ht="15.9" customHeight="1">
      <c r="A524" s="135" t="str">
        <f>IF(B524="","",+A523+1)</f>
        <v/>
      </c>
      <c r="B524" s="133"/>
      <c r="C524" s="133"/>
      <c r="D524" s="134"/>
      <c r="E524" s="135"/>
      <c r="F524" s="158"/>
      <c r="G524" s="159"/>
      <c r="H524" s="135"/>
      <c r="I524" s="145"/>
      <c r="J524" s="136"/>
      <c r="N524" s="19" t="s">
        <v>260</v>
      </c>
      <c r="O524" s="19" t="s">
        <v>266</v>
      </c>
    </row>
    <row r="525" spans="1:22" s="1" customFormat="1" ht="15.9" customHeight="1">
      <c r="A525" s="17"/>
      <c r="B525" s="56"/>
      <c r="C525" s="56"/>
      <c r="D525" s="30"/>
      <c r="E525" s="17"/>
      <c r="F525" s="17"/>
      <c r="G525" s="17"/>
      <c r="H525" s="109"/>
      <c r="I525" s="109"/>
      <c r="J525" s="24"/>
      <c r="N525" s="19" t="s">
        <v>261</v>
      </c>
      <c r="O525" s="19" t="s">
        <v>267</v>
      </c>
    </row>
    <row r="526" spans="1:22">
      <c r="H526" s="294"/>
      <c r="I526" s="294"/>
      <c r="J526" s="99" t="str">
        <f>LEFT($J$111,14)&amp;"-05"</f>
        <v>FG-240-12P5L7R-05</v>
      </c>
      <c r="M526" s="1"/>
      <c r="N526" s="19" t="s">
        <v>262</v>
      </c>
      <c r="O526" s="19" t="s">
        <v>268</v>
      </c>
      <c r="P526" s="1"/>
      <c r="Q526" s="1"/>
      <c r="R526" s="1"/>
      <c r="S526" s="1"/>
      <c r="T526" s="1"/>
      <c r="U526" s="1"/>
      <c r="V526" s="1"/>
    </row>
    <row r="527" spans="1:22">
      <c r="M527" s="1"/>
      <c r="N527" s="19" t="s">
        <v>263</v>
      </c>
      <c r="O527" s="19" t="s">
        <v>269</v>
      </c>
      <c r="P527" s="1"/>
      <c r="Q527" s="1"/>
      <c r="R527" s="1"/>
      <c r="S527" s="1"/>
      <c r="T527" s="1"/>
      <c r="U527" s="1"/>
      <c r="V527" s="1"/>
    </row>
    <row r="528" spans="1:22">
      <c r="N528" s="19" t="s">
        <v>264</v>
      </c>
      <c r="O528" s="19" t="s">
        <v>270</v>
      </c>
    </row>
  </sheetData>
  <sheetProtection selectLockedCells="1" selectUnlockedCells="1"/>
  <dataConsolidate function="product">
    <dataRefs count="1">
      <dataRef ref="N129:N131" sheet="240_7Panel(6L1R)" r:id="rId1"/>
    </dataRefs>
  </dataConsolidate>
  <mergeCells count="46">
    <mergeCell ref="H169:H170"/>
    <mergeCell ref="I152:J152"/>
    <mergeCell ref="I153:J153"/>
    <mergeCell ref="I154:J154"/>
    <mergeCell ref="D123:G123"/>
    <mergeCell ref="D125:G125"/>
    <mergeCell ref="D129:G129"/>
    <mergeCell ref="D127:G127"/>
    <mergeCell ref="A131:J131"/>
    <mergeCell ref="A171:J171"/>
    <mergeCell ref="I156:J156"/>
    <mergeCell ref="D157:D158"/>
    <mergeCell ref="H157:H158"/>
    <mergeCell ref="I157:J158"/>
    <mergeCell ref="I159:J159"/>
    <mergeCell ref="I160:J163"/>
    <mergeCell ref="I164:J165"/>
    <mergeCell ref="I166:J166"/>
    <mergeCell ref="D159:D160"/>
    <mergeCell ref="D161:D166"/>
    <mergeCell ref="D167:D168"/>
    <mergeCell ref="D169:D170"/>
    <mergeCell ref="H161:H166"/>
    <mergeCell ref="H159:H160"/>
    <mergeCell ref="H167:H168"/>
    <mergeCell ref="A213:J213"/>
    <mergeCell ref="F334:G334"/>
    <mergeCell ref="F330:G330"/>
    <mergeCell ref="F331:G331"/>
    <mergeCell ref="A6:J6"/>
    <mergeCell ref="H120:I121"/>
    <mergeCell ref="J120:J121"/>
    <mergeCell ref="A117:J117"/>
    <mergeCell ref="D119:G119"/>
    <mergeCell ref="D121:G121"/>
    <mergeCell ref="I155:J155"/>
    <mergeCell ref="H123:I124"/>
    <mergeCell ref="J123:J124"/>
    <mergeCell ref="A125:B125"/>
    <mergeCell ref="H126:I127"/>
    <mergeCell ref="J126:J127"/>
    <mergeCell ref="C308:E308"/>
    <mergeCell ref="F520:G520"/>
    <mergeCell ref="A518:J518"/>
    <mergeCell ref="A427:J427"/>
    <mergeCell ref="A320:J320"/>
  </mergeCells>
  <dataValidations count="4">
    <dataValidation type="list" allowBlank="1" showInputMessage="1" showErrorMessage="1" sqref="C206">
      <formula1>$O$173:$O$191</formula1>
    </dataValidation>
    <dataValidation type="list" allowBlank="1" showInputMessage="1" showErrorMessage="1" sqref="D123:G123">
      <formula1>$P$118:$P$127</formula1>
    </dataValidation>
    <dataValidation type="list" allowBlank="1" showInputMessage="1" showErrorMessage="1" sqref="D127:G127">
      <formula1>$N$119:$N$127</formula1>
    </dataValidation>
    <dataValidation type="list" allowBlank="1" showInputMessage="1" showErrorMessage="1" sqref="D129:G129">
      <formula1>$O$119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in="1" max="9" man="1"/>
    <brk id="207" min="1" max="9" man="1"/>
    <brk id="314" max="16383" man="1"/>
    <brk id="421" min="1" max="9" man="1"/>
  </rowBreaks>
  <drawing r:id="rId3"/>
  <legacyDrawing r:id="rId4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-0.249977111117893"/>
  </sheetPr>
  <dimension ref="A1:X528"/>
  <sheetViews>
    <sheetView showGridLines="0" view="pageBreakPreview" topLeftCell="A172" zoomScale="75" zoomScaleNormal="75" zoomScaleSheetLayoutView="75" workbookViewId="0">
      <selection activeCell="H179" sqref="H179"/>
    </sheetView>
  </sheetViews>
  <sheetFormatPr defaultRowHeight="14.4" outlineLevelRow="1" outlineLevelCol="1"/>
  <cols>
    <col min="1" max="1" width="7" customWidth="1"/>
    <col min="2" max="2" width="40.6640625" customWidth="1"/>
    <col min="3" max="3" width="55.664062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9" bestFit="1" customWidth="1"/>
    <col min="9" max="9" width="15.109375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2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79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79"/>
      <c r="E3" s="279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509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/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>
      <c r="G55" s="10"/>
    </row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510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79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79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8">
      <c r="A118" s="12"/>
      <c r="C118" s="8"/>
      <c r="D118" s="15"/>
      <c r="E118" s="13"/>
      <c r="J118" s="382"/>
      <c r="K118" s="11"/>
      <c r="L118" s="56"/>
      <c r="M118" s="56"/>
      <c r="N118" s="243" t="s">
        <v>191</v>
      </c>
      <c r="O118" s="12" t="s">
        <v>227</v>
      </c>
      <c r="P118" s="247" t="s">
        <v>16</v>
      </c>
    </row>
    <row r="119" spans="1:16" s="1" customFormat="1" ht="15" customHeight="1">
      <c r="A119" s="12"/>
      <c r="C119" s="110" t="s">
        <v>635</v>
      </c>
      <c r="D119" s="524" t="s">
        <v>668</v>
      </c>
      <c r="E119" s="525"/>
      <c r="F119" s="525"/>
      <c r="G119" s="526"/>
      <c r="I119" s="16"/>
      <c r="J119" s="12"/>
      <c r="N119" s="244">
        <v>5</v>
      </c>
      <c r="O119" s="12" t="s">
        <v>243</v>
      </c>
      <c r="P119" s="335" t="s">
        <v>389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2</v>
      </c>
      <c r="N120" s="245">
        <v>6</v>
      </c>
      <c r="O120" s="12" t="s">
        <v>244</v>
      </c>
      <c r="P120" s="336" t="s">
        <v>390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5">
        <v>8</v>
      </c>
      <c r="P121" s="336" t="s">
        <v>391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5">
        <v>10</v>
      </c>
      <c r="P122" s="336" t="s">
        <v>392</v>
      </c>
    </row>
    <row r="123" spans="1:16" s="1" customFormat="1" ht="15" customHeight="1">
      <c r="A123" s="12"/>
      <c r="C123" s="110" t="s">
        <v>629</v>
      </c>
      <c r="D123" s="524" t="s">
        <v>394</v>
      </c>
      <c r="E123" s="525"/>
      <c r="F123" s="525"/>
      <c r="G123" s="526"/>
      <c r="H123" s="519" t="s">
        <v>638</v>
      </c>
      <c r="I123" s="520"/>
      <c r="J123" s="517">
        <v>2600</v>
      </c>
      <c r="N123" s="245">
        <v>12</v>
      </c>
      <c r="P123" s="335" t="s">
        <v>393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5">
        <v>14</v>
      </c>
      <c r="P124" s="335" t="s">
        <v>394</v>
      </c>
    </row>
    <row r="125" spans="1:16" s="1" customFormat="1" ht="15" customHeight="1">
      <c r="A125" s="532"/>
      <c r="B125" s="532"/>
      <c r="C125" s="111" t="s">
        <v>630</v>
      </c>
      <c r="D125" s="524" t="s">
        <v>667</v>
      </c>
      <c r="E125" s="525"/>
      <c r="F125" s="525"/>
      <c r="G125" s="526"/>
      <c r="H125" s="41"/>
      <c r="I125" s="41"/>
      <c r="J125" s="12"/>
      <c r="K125" s="384"/>
      <c r="L125" s="77"/>
      <c r="N125" s="245">
        <v>18</v>
      </c>
      <c r="P125" s="335" t="s">
        <v>395</v>
      </c>
    </row>
    <row r="126" spans="1:16" s="1" customFormat="1" ht="15" customHeight="1">
      <c r="A126" s="382"/>
      <c r="B126" s="382"/>
      <c r="C126" s="423" t="s">
        <v>631</v>
      </c>
      <c r="D126" s="15"/>
      <c r="H126" s="519" t="s">
        <v>639</v>
      </c>
      <c r="I126" s="520"/>
      <c r="J126" s="517">
        <v>9500</v>
      </c>
      <c r="K126" s="384"/>
      <c r="L126" s="77"/>
      <c r="N126" s="245">
        <v>20</v>
      </c>
      <c r="P126" s="335" t="s">
        <v>396</v>
      </c>
    </row>
    <row r="127" spans="1:16" s="1" customFormat="1" ht="15" customHeight="1">
      <c r="A127" s="382"/>
      <c r="B127" s="382"/>
      <c r="C127" s="110" t="s">
        <v>633</v>
      </c>
      <c r="D127" s="534">
        <v>6</v>
      </c>
      <c r="E127" s="535"/>
      <c r="F127" s="535"/>
      <c r="G127" s="536"/>
      <c r="H127" s="520"/>
      <c r="I127" s="520"/>
      <c r="J127" s="518"/>
      <c r="N127" s="245">
        <v>22</v>
      </c>
      <c r="P127" s="335" t="s">
        <v>397</v>
      </c>
    </row>
    <row r="128" spans="1:16" s="1" customFormat="1" ht="18.75" customHeight="1">
      <c r="C128" s="423" t="s">
        <v>632</v>
      </c>
      <c r="I128" s="12"/>
      <c r="J128" s="12"/>
      <c r="P128" s="12" t="s">
        <v>511</v>
      </c>
    </row>
    <row r="129" spans="1:23" s="1" customFormat="1" ht="15" customHeight="1">
      <c r="A129" s="88" t="str">
        <f>A18</f>
        <v>240-12 Panel (6L6R)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9440</v>
      </c>
      <c r="J133" s="125">
        <f t="shared" ref="J133:J151" si="0">$J$120*G133</f>
        <v>2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24</v>
      </c>
      <c r="U133" s="283" t="s">
        <v>308</v>
      </c>
      <c r="V133" s="307">
        <f>($J$126-185-(113.25*11))/12</f>
        <v>672.4375</v>
      </c>
      <c r="W133" s="286">
        <f>$J$120*T133</f>
        <v>48</v>
      </c>
    </row>
    <row r="134" spans="1:23" s="1" customFormat="1" ht="18" customHeight="1">
      <c r="A134" s="143">
        <f t="shared" ref="A134:A150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9414</v>
      </c>
      <c r="J134" s="131">
        <f t="shared" si="0"/>
        <v>2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24</v>
      </c>
      <c r="U134" s="129" t="s">
        <v>308</v>
      </c>
      <c r="V134" s="178">
        <f t="shared" ref="V134:V135" si="2">($J$126-185-(113.25*11))/12</f>
        <v>672.4375</v>
      </c>
      <c r="W134" s="131">
        <f t="shared" ref="W134:W135" si="3">$J$120*T134</f>
        <v>48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9440</v>
      </c>
      <c r="J135" s="131">
        <f t="shared" si="0"/>
        <v>2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24</v>
      </c>
      <c r="U135" s="135" t="s">
        <v>308</v>
      </c>
      <c r="V135" s="308">
        <f t="shared" si="2"/>
        <v>672.4375</v>
      </c>
      <c r="W135" s="293">
        <f t="shared" si="3"/>
        <v>48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9440</v>
      </c>
      <c r="J136" s="131">
        <f t="shared" si="0"/>
        <v>2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24</v>
      </c>
      <c r="U136" s="283" t="s">
        <v>64</v>
      </c>
      <c r="V136" s="288">
        <f>$J$123-242</f>
        <v>2358</v>
      </c>
      <c r="W136" s="286">
        <f>$J$120*T136</f>
        <v>48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2600</v>
      </c>
      <c r="J137" s="131">
        <f t="shared" si="0"/>
        <v>2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24</v>
      </c>
      <c r="U137" s="129" t="s">
        <v>64</v>
      </c>
      <c r="V137" s="130">
        <f>$J$123-242</f>
        <v>2358</v>
      </c>
      <c r="W137" s="131">
        <f t="shared" ref="W137:W138" si="4">$J$120*T137</f>
        <v>48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2600</v>
      </c>
      <c r="J138" s="131">
        <f t="shared" si="0"/>
        <v>2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24</v>
      </c>
      <c r="U138" s="135" t="s">
        <v>64</v>
      </c>
      <c r="V138" s="136">
        <f>$J$123-242</f>
        <v>2358</v>
      </c>
      <c r="W138" s="293">
        <f t="shared" si="4"/>
        <v>48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2504</v>
      </c>
      <c r="J139" s="131">
        <f t="shared" si="0"/>
        <v>2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2504</v>
      </c>
      <c r="J140" s="131">
        <f t="shared" ref="J140" si="5">$J$120*G140</f>
        <v>2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12</v>
      </c>
      <c r="H141" s="268" t="s">
        <v>308</v>
      </c>
      <c r="I141" s="178">
        <f>($J$126-185-(113.25*11))/12</f>
        <v>672.4375</v>
      </c>
      <c r="J141" s="131">
        <f t="shared" ref="J141:J147" si="6">$J$120*G141</f>
        <v>24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12</v>
      </c>
      <c r="H142" s="268" t="s">
        <v>308</v>
      </c>
      <c r="I142" s="178">
        <f>($J$126-185-(113.25*11))/12</f>
        <v>672.4375</v>
      </c>
      <c r="J142" s="131">
        <f t="shared" si="6"/>
        <v>24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18</v>
      </c>
      <c r="H143" s="143" t="s">
        <v>63</v>
      </c>
      <c r="I143" s="130">
        <f>$J$123-92</f>
        <v>2508</v>
      </c>
      <c r="J143" s="131">
        <f t="shared" si="6"/>
        <v>36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3</v>
      </c>
      <c r="H144" s="143" t="s">
        <v>63</v>
      </c>
      <c r="I144" s="130">
        <f>$J$123-92</f>
        <v>2508</v>
      </c>
      <c r="J144" s="131">
        <f t="shared" si="6"/>
        <v>6</v>
      </c>
      <c r="N144" s="98"/>
    </row>
    <row r="145" spans="1:14" s="1" customFormat="1" ht="18" customHeight="1">
      <c r="A145" s="143">
        <f t="shared" si="1"/>
        <v>13</v>
      </c>
      <c r="B145" s="140" t="s">
        <v>8</v>
      </c>
      <c r="C145" s="140" t="s">
        <v>151</v>
      </c>
      <c r="D145" s="139" t="s">
        <v>50</v>
      </c>
      <c r="E145" s="143">
        <v>1.1060000000000001</v>
      </c>
      <c r="F145" s="139" t="s">
        <v>496</v>
      </c>
      <c r="G145" s="143">
        <v>3</v>
      </c>
      <c r="H145" s="143" t="s">
        <v>63</v>
      </c>
      <c r="I145" s="130">
        <f>$J$123-92</f>
        <v>2508</v>
      </c>
      <c r="J145" s="131">
        <f t="shared" si="6"/>
        <v>6</v>
      </c>
      <c r="N145" s="98"/>
    </row>
    <row r="146" spans="1:14" s="1" customFormat="1" ht="18" customHeight="1">
      <c r="A146" s="143">
        <f t="shared" si="1"/>
        <v>14</v>
      </c>
      <c r="B146" s="140" t="str">
        <f t="shared" ref="B146:I146" si="7">IF($D$127=5,O133,IF($D$127=6,O133,IF($D$127=8,O134,IF($D$127=10,O134,IF($D$127=12,O134,IF($D$127=14,O135,IF($D$127=18,O135,IF($D$127=20,O135,IF($D$127=22,O135,)))))))))</f>
        <v>5-6mm คิ้วตบกระจกแนวนอน</v>
      </c>
      <c r="C146" s="140" t="str">
        <f t="shared" si="7"/>
        <v>5-6mm GLAZING BEAD HORIZONTAL</v>
      </c>
      <c r="D146" s="140" t="str">
        <f t="shared" si="7"/>
        <v>B24008</v>
      </c>
      <c r="E146" s="140">
        <f t="shared" si="7"/>
        <v>0.23100000000000001</v>
      </c>
      <c r="F146" s="140" t="str">
        <f t="shared" si="7"/>
        <v>B24008-001</v>
      </c>
      <c r="G146" s="143">
        <f t="shared" si="7"/>
        <v>24</v>
      </c>
      <c r="H146" s="129" t="str">
        <f t="shared" si="7"/>
        <v>(W-185-(113.25 × 11))/12</v>
      </c>
      <c r="I146" s="178">
        <f t="shared" si="7"/>
        <v>672.4375</v>
      </c>
      <c r="J146" s="131">
        <f t="shared" si="6"/>
        <v>48</v>
      </c>
      <c r="N146" s="98"/>
    </row>
    <row r="147" spans="1:14" s="1" customFormat="1" ht="18" customHeight="1">
      <c r="A147" s="143">
        <f t="shared" si="1"/>
        <v>15</v>
      </c>
      <c r="B147" s="140" t="str">
        <f t="shared" ref="B147:I147" si="8">IF($D$127=5,O136,IF($D$127=6,O136,IF($D$127=8,O137,IF($D$127=10,O137,IF($D$127=12,O137,IF($D$127=14,O138,IF($D$127=18,O138,IF($D$127=20,O138,IF($D$127=22,O138,)))))))))</f>
        <v>5-6mm คิ้วตบกระจกแนวตั้ง</v>
      </c>
      <c r="C147" s="140" t="str">
        <f t="shared" si="8"/>
        <v>5-6mm GLAZING BEAD VERTICAL</v>
      </c>
      <c r="D147" s="140" t="str">
        <f t="shared" si="8"/>
        <v>B24008</v>
      </c>
      <c r="E147" s="140">
        <f t="shared" si="8"/>
        <v>0.23100000000000001</v>
      </c>
      <c r="F147" s="140" t="str">
        <f t="shared" si="8"/>
        <v>B24008-002</v>
      </c>
      <c r="G147" s="143">
        <f t="shared" si="8"/>
        <v>24</v>
      </c>
      <c r="H147" s="129" t="str">
        <f t="shared" si="8"/>
        <v>H-242</v>
      </c>
      <c r="I147" s="144">
        <f t="shared" si="8"/>
        <v>2358</v>
      </c>
      <c r="J147" s="131">
        <f t="shared" si="6"/>
        <v>48</v>
      </c>
      <c r="N147" s="98"/>
    </row>
    <row r="148" spans="1:14" s="1" customFormat="1" ht="18" customHeight="1">
      <c r="A148" s="143" t="str">
        <f t="shared" si="1"/>
        <v/>
      </c>
      <c r="B148" s="140"/>
      <c r="C148" s="140"/>
      <c r="D148" s="139"/>
      <c r="E148" s="143"/>
      <c r="F148" s="139"/>
      <c r="G148" s="143"/>
      <c r="H148" s="143"/>
      <c r="I148" s="130"/>
      <c r="J148" s="131">
        <f t="shared" si="0"/>
        <v>0</v>
      </c>
      <c r="N148" s="98"/>
    </row>
    <row r="149" spans="1:14" s="1" customFormat="1" ht="18" customHeight="1">
      <c r="A149" s="143" t="str">
        <f t="shared" si="1"/>
        <v/>
      </c>
      <c r="B149" s="140"/>
      <c r="C149" s="140"/>
      <c r="D149" s="139"/>
      <c r="E149" s="143"/>
      <c r="F149" s="139"/>
      <c r="G149" s="143"/>
      <c r="H149" s="143"/>
      <c r="I149" s="130"/>
      <c r="J149" s="131">
        <f t="shared" si="0"/>
        <v>0</v>
      </c>
      <c r="N149" s="98"/>
    </row>
    <row r="150" spans="1:14" s="1" customFormat="1" ht="18" customHeight="1">
      <c r="A150" s="143" t="str">
        <f t="shared" si="1"/>
        <v/>
      </c>
      <c r="B150" s="140"/>
      <c r="C150" s="140"/>
      <c r="D150" s="139"/>
      <c r="E150" s="143"/>
      <c r="F150" s="139"/>
      <c r="G150" s="143"/>
      <c r="H150" s="143"/>
      <c r="I150" s="144"/>
      <c r="J150" s="131">
        <f t="shared" si="0"/>
        <v>0</v>
      </c>
      <c r="N150" s="98"/>
    </row>
    <row r="151" spans="1:14" s="1" customFormat="1" ht="18" customHeight="1" thickBot="1">
      <c r="A151" s="143" t="str">
        <f>IF(B151="","",+A150+1)</f>
        <v/>
      </c>
      <c r="B151" s="167"/>
      <c r="C151" s="167"/>
      <c r="D151" s="168"/>
      <c r="E151" s="166"/>
      <c r="F151" s="168"/>
      <c r="G151" s="166"/>
      <c r="H151" s="166"/>
      <c r="I151" s="171"/>
      <c r="J151" s="172">
        <f t="shared" si="0"/>
        <v>0</v>
      </c>
    </row>
    <row r="152" spans="1:14" s="1" customFormat="1" ht="27" outlineLevel="1" thickBot="1">
      <c r="A152" s="169" t="s">
        <v>2</v>
      </c>
      <c r="B152" s="169" t="s">
        <v>29</v>
      </c>
      <c r="C152" s="169" t="s">
        <v>3</v>
      </c>
      <c r="D152" s="169" t="s">
        <v>4</v>
      </c>
      <c r="E152" s="169" t="s">
        <v>5</v>
      </c>
      <c r="F152" s="177" t="s">
        <v>85</v>
      </c>
      <c r="G152" s="169" t="s">
        <v>22</v>
      </c>
      <c r="H152" s="170" t="s">
        <v>23</v>
      </c>
      <c r="I152" s="540"/>
      <c r="J152" s="541"/>
    </row>
    <row r="153" spans="1:14" s="1" customFormat="1" ht="15" customHeight="1" outlineLevel="1">
      <c r="A153" s="21">
        <f>IF(B153="","",1)</f>
        <v>1</v>
      </c>
      <c r="B153" s="173" t="str">
        <f t="shared" ref="B153:C159" si="9">B133</f>
        <v>เฟรมบน</v>
      </c>
      <c r="C153" s="173" t="str">
        <f t="shared" si="9"/>
        <v>HEAD</v>
      </c>
      <c r="D153" s="174" t="str">
        <f>VLOOKUP(C153,$C$133:$H$151,2,0)</f>
        <v>B24001</v>
      </c>
      <c r="E153" s="175">
        <f t="shared" ref="E153:E159" si="10">VLOOKUP(C153,$C$133:$H$151,3,0)</f>
        <v>1.603</v>
      </c>
      <c r="F153" s="353">
        <f>VLOOKUP(C153,$C$133:$J$151,7,0)</f>
        <v>9440</v>
      </c>
      <c r="G153" s="175">
        <f t="shared" ref="G153:G159" si="11">VLOOKUP(C153,$C$133:$J$151,8,0)</f>
        <v>2</v>
      </c>
      <c r="H153" s="191">
        <f>ROUNDUP((F153*G153)/6400,0)</f>
        <v>3</v>
      </c>
      <c r="I153" s="501"/>
      <c r="J153" s="501"/>
    </row>
    <row r="154" spans="1:14" s="1" customFormat="1" ht="15" customHeight="1" outlineLevel="1">
      <c r="A154" s="18">
        <f t="shared" ref="A154:A155" si="12">IF(B154="","",+A153+1)</f>
        <v>2</v>
      </c>
      <c r="B154" s="173" t="str">
        <f t="shared" si="9"/>
        <v>บังใบบน</v>
      </c>
      <c r="C154" s="173" t="str">
        <f t="shared" si="9"/>
        <v>DOOR STOP HEAD</v>
      </c>
      <c r="D154" s="174" t="str">
        <f>VLOOKUP(C154,$C$133:$H$151,2,0)</f>
        <v>B24002</v>
      </c>
      <c r="E154" s="175">
        <f t="shared" si="10"/>
        <v>0.27800000000000002</v>
      </c>
      <c r="F154" s="353">
        <f t="shared" ref="F154:F159" si="13">VLOOKUP(C154,$C$133:$I$151,7,0)</f>
        <v>9414</v>
      </c>
      <c r="G154" s="175">
        <f t="shared" si="11"/>
        <v>2</v>
      </c>
      <c r="H154" s="192">
        <f>ROUNDUP((F154*G154)/6400,0)</f>
        <v>3</v>
      </c>
      <c r="I154" s="501"/>
      <c r="J154" s="501"/>
    </row>
    <row r="155" spans="1:14" s="1" customFormat="1" ht="15" customHeight="1" outlineLevel="1">
      <c r="A155" s="18">
        <f t="shared" si="12"/>
        <v>3</v>
      </c>
      <c r="B155" s="173" t="str">
        <f t="shared" si="9"/>
        <v xml:space="preserve">เฟรมล่าง </v>
      </c>
      <c r="C155" s="173" t="str">
        <f t="shared" si="9"/>
        <v>SILL</v>
      </c>
      <c r="D155" s="174" t="str">
        <f>VLOOKUP(C155,$C$133:$H$151,2,0)</f>
        <v>B24003</v>
      </c>
      <c r="E155" s="175">
        <f t="shared" si="10"/>
        <v>1.603</v>
      </c>
      <c r="F155" s="353">
        <f t="shared" si="13"/>
        <v>9440</v>
      </c>
      <c r="G155" s="175">
        <f t="shared" si="11"/>
        <v>2</v>
      </c>
      <c r="H155" s="192">
        <f>ROUNDUP((F155*G155)/6400,0)</f>
        <v>3</v>
      </c>
      <c r="I155" s="501"/>
      <c r="J155" s="501"/>
    </row>
    <row r="156" spans="1:14" s="1" customFormat="1" ht="15" customHeight="1" outlineLevel="1">
      <c r="A156" s="18">
        <f t="shared" ref="A156:A159" si="14">IF(B156="","",+A155+1)</f>
        <v>4</v>
      </c>
      <c r="B156" s="173" t="str">
        <f t="shared" si="9"/>
        <v>ตัวตับธรณี</v>
      </c>
      <c r="C156" s="173" t="str">
        <f t="shared" si="9"/>
        <v>DOOR STOP SILL</v>
      </c>
      <c r="D156" s="174" t="str">
        <f>VLOOKUP(C156,$C$133:$H$151,2,0)</f>
        <v>B24004</v>
      </c>
      <c r="E156" s="175">
        <f t="shared" si="10"/>
        <v>0.51600000000000001</v>
      </c>
      <c r="F156" s="353">
        <f t="shared" si="13"/>
        <v>9440</v>
      </c>
      <c r="G156" s="175">
        <f t="shared" si="11"/>
        <v>2</v>
      </c>
      <c r="H156" s="192">
        <f>ROUNDUP((F156*G156)/6400,0)</f>
        <v>3</v>
      </c>
      <c r="I156" s="501"/>
      <c r="J156" s="501"/>
    </row>
    <row r="157" spans="1:14" s="1" customFormat="1" ht="15" customHeight="1" outlineLevel="1">
      <c r="A157" s="18">
        <f t="shared" si="14"/>
        <v>5</v>
      </c>
      <c r="B157" s="173" t="str">
        <f t="shared" si="9"/>
        <v>เฟรมข้าง (ซ้าย)</v>
      </c>
      <c r="C157" s="173" t="str">
        <f t="shared" si="9"/>
        <v>JAMB (L)</v>
      </c>
      <c r="D157" s="508" t="str">
        <f>VLOOKUP(C157,$C$133:$H$151,2,0)</f>
        <v>B24005</v>
      </c>
      <c r="E157" s="175">
        <f t="shared" si="10"/>
        <v>0.89300000000000002</v>
      </c>
      <c r="F157" s="353">
        <f t="shared" si="13"/>
        <v>2600</v>
      </c>
      <c r="G157" s="175">
        <f t="shared" si="11"/>
        <v>2</v>
      </c>
      <c r="H157" s="516">
        <f>ROUNDUP(((F157*G157)+(F158*G158))/6400,0)</f>
        <v>2</v>
      </c>
      <c r="I157" s="506"/>
      <c r="J157" s="506"/>
    </row>
    <row r="158" spans="1:14" s="1" customFormat="1" ht="15" customHeight="1" outlineLevel="1">
      <c r="A158" s="18">
        <f t="shared" si="14"/>
        <v>6</v>
      </c>
      <c r="B158" s="173" t="str">
        <f t="shared" si="9"/>
        <v>เฟรมข้าง (ขวา)</v>
      </c>
      <c r="C158" s="173" t="str">
        <f t="shared" si="9"/>
        <v>JAMB (R)</v>
      </c>
      <c r="D158" s="509"/>
      <c r="E158" s="175">
        <f t="shared" si="10"/>
        <v>0.89300000000000002</v>
      </c>
      <c r="F158" s="353">
        <f t="shared" si="13"/>
        <v>2600</v>
      </c>
      <c r="G158" s="175">
        <f t="shared" si="11"/>
        <v>2</v>
      </c>
      <c r="H158" s="516"/>
      <c r="I158" s="506"/>
      <c r="J158" s="506"/>
    </row>
    <row r="159" spans="1:14" s="1" customFormat="1" ht="15" customHeight="1" outlineLevel="1">
      <c r="A159" s="18">
        <f t="shared" si="14"/>
        <v>7</v>
      </c>
      <c r="B159" s="173" t="str">
        <f t="shared" si="9"/>
        <v>บังใบข้าง (ซ้าย)</v>
      </c>
      <c r="C159" s="173" t="str">
        <f t="shared" si="9"/>
        <v>DOOR STOP JAMB (L)</v>
      </c>
      <c r="D159" s="508" t="str">
        <f>VLOOKUP(C159,$C$133:$H$151,2,0)</f>
        <v>B24006</v>
      </c>
      <c r="E159" s="175">
        <f t="shared" si="10"/>
        <v>0.23499999999999999</v>
      </c>
      <c r="F159" s="353">
        <f t="shared" si="13"/>
        <v>2504</v>
      </c>
      <c r="G159" s="175">
        <f t="shared" si="11"/>
        <v>2</v>
      </c>
      <c r="H159" s="516">
        <f>ROUNDUP(((F159*G159)+(F160*G160))/6400,0)</f>
        <v>2</v>
      </c>
      <c r="I159" s="501"/>
      <c r="J159" s="501"/>
    </row>
    <row r="160" spans="1:14" s="1" customFormat="1" ht="15" customHeight="1" outlineLevel="1">
      <c r="A160" s="18">
        <f t="shared" ref="A160:A170" si="15">IF(B160="","",+A159+1)</f>
        <v>8</v>
      </c>
      <c r="B160" s="173" t="str">
        <f t="shared" ref="B160:C160" si="16">B140</f>
        <v>บังใบข้าง (ขวา)</v>
      </c>
      <c r="C160" s="173" t="str">
        <f t="shared" si="16"/>
        <v>DOOR STOP JAMB (R)</v>
      </c>
      <c r="D160" s="509"/>
      <c r="E160" s="175">
        <f t="shared" ref="E160:E170" si="17">VLOOKUP(C160,$C$133:$H$151,3,0)</f>
        <v>0.23499999999999999</v>
      </c>
      <c r="F160" s="353">
        <f t="shared" ref="F160:F170" si="18">VLOOKUP(C160,$C$133:$I$151,7,0)</f>
        <v>2504</v>
      </c>
      <c r="G160" s="175">
        <f t="shared" ref="G160:G170" si="19">VLOOKUP(C160,$C$133:$J$151,8,0)</f>
        <v>2</v>
      </c>
      <c r="H160" s="516"/>
      <c r="I160" s="506"/>
      <c r="J160" s="506"/>
    </row>
    <row r="161" spans="1:23" s="1" customFormat="1" ht="13.8" outlineLevel="1">
      <c r="A161" s="18">
        <f t="shared" si="15"/>
        <v>9</v>
      </c>
      <c r="B161" s="173" t="str">
        <f t="shared" ref="B161:C161" si="20">B141</f>
        <v>ขวางบน</v>
      </c>
      <c r="C161" s="173" t="str">
        <f t="shared" si="20"/>
        <v>SASH (Hor) (T)</v>
      </c>
      <c r="D161" s="508" t="str">
        <f t="shared" ref="D161:D170" si="21">VLOOKUP(C161,$C$133:$H$151,2,0)</f>
        <v>B24007</v>
      </c>
      <c r="E161" s="175">
        <f t="shared" si="17"/>
        <v>1.1060000000000001</v>
      </c>
      <c r="F161" s="353">
        <f t="shared" si="18"/>
        <v>672.4375</v>
      </c>
      <c r="G161" s="175">
        <f t="shared" si="19"/>
        <v>24</v>
      </c>
      <c r="H161" s="512">
        <f>ROUNDUP(((F161*G161)+(F162*G162)+(F163*G163)+(F164*G164)+(F165*G165))/6400,0)</f>
        <v>24</v>
      </c>
      <c r="I161" s="506"/>
      <c r="J161" s="506"/>
    </row>
    <row r="162" spans="1:23" s="1" customFormat="1" ht="13.8" outlineLevel="1">
      <c r="A162" s="18">
        <f t="shared" si="15"/>
        <v>10</v>
      </c>
      <c r="B162" s="173" t="str">
        <f t="shared" ref="B162:C162" si="22">B142</f>
        <v>ขวางล่าง</v>
      </c>
      <c r="C162" s="173" t="str">
        <f t="shared" si="22"/>
        <v>SASH (Hor) (B)</v>
      </c>
      <c r="D162" s="510"/>
      <c r="E162" s="175">
        <f t="shared" si="17"/>
        <v>1.1060000000000001</v>
      </c>
      <c r="F162" s="353">
        <f t="shared" si="18"/>
        <v>672.4375</v>
      </c>
      <c r="G162" s="175">
        <f t="shared" si="19"/>
        <v>24</v>
      </c>
      <c r="H162" s="514"/>
      <c r="I162" s="506"/>
      <c r="J162" s="506"/>
    </row>
    <row r="163" spans="1:23" s="1" customFormat="1" ht="13.8" outlineLevel="1">
      <c r="A163" s="18">
        <f t="shared" si="15"/>
        <v>11</v>
      </c>
      <c r="B163" s="173" t="str">
        <f t="shared" ref="B163:C163" si="23">B143</f>
        <v>เสา</v>
      </c>
      <c r="C163" s="173" t="str">
        <f t="shared" si="23"/>
        <v xml:space="preserve">SASH (Ver) </v>
      </c>
      <c r="D163" s="510"/>
      <c r="E163" s="175">
        <f t="shared" si="17"/>
        <v>1.1060000000000001</v>
      </c>
      <c r="F163" s="353">
        <f t="shared" si="18"/>
        <v>2508</v>
      </c>
      <c r="G163" s="175">
        <f t="shared" si="19"/>
        <v>36</v>
      </c>
      <c r="H163" s="514"/>
      <c r="I163" s="506"/>
      <c r="J163" s="506"/>
    </row>
    <row r="164" spans="1:23" s="1" customFormat="1" ht="13.8" outlineLevel="1">
      <c r="A164" s="18">
        <f t="shared" si="15"/>
        <v>12</v>
      </c>
      <c r="B164" s="173" t="str">
        <f t="shared" ref="B164:C164" si="24">B144</f>
        <v>เสากุญแจ</v>
      </c>
      <c r="C164" s="173" t="str">
        <f t="shared" si="24"/>
        <v xml:space="preserve">SASH (Ver) LOCK </v>
      </c>
      <c r="D164" s="510"/>
      <c r="E164" s="175">
        <f t="shared" si="17"/>
        <v>1.1060000000000001</v>
      </c>
      <c r="F164" s="353">
        <f t="shared" si="18"/>
        <v>2508</v>
      </c>
      <c r="G164" s="175">
        <f t="shared" si="19"/>
        <v>6</v>
      </c>
      <c r="H164" s="514"/>
      <c r="I164" s="506"/>
      <c r="J164" s="506"/>
    </row>
    <row r="165" spans="1:23" s="1" customFormat="1" ht="15" customHeight="1" outlineLevel="1">
      <c r="A165" s="18">
        <f t="shared" si="15"/>
        <v>13</v>
      </c>
      <c r="B165" s="173" t="str">
        <f t="shared" ref="B165:C165" si="25">B145</f>
        <v>เสากุญแจ</v>
      </c>
      <c r="C165" s="173" t="str">
        <f t="shared" si="25"/>
        <v xml:space="preserve">SASH (Ver) LOCK  </v>
      </c>
      <c r="D165" s="509"/>
      <c r="E165" s="175">
        <f t="shared" si="17"/>
        <v>1.1060000000000001</v>
      </c>
      <c r="F165" s="353">
        <f t="shared" si="18"/>
        <v>2508</v>
      </c>
      <c r="G165" s="175">
        <f t="shared" si="19"/>
        <v>6</v>
      </c>
      <c r="H165" s="515"/>
      <c r="I165" s="506"/>
      <c r="J165" s="506"/>
    </row>
    <row r="166" spans="1:23" s="1" customFormat="1" ht="15" customHeight="1" outlineLevel="1">
      <c r="A166" s="18">
        <f t="shared" si="15"/>
        <v>14</v>
      </c>
      <c r="B166" s="173" t="str">
        <f t="shared" ref="B166:C166" si="26">B146</f>
        <v>5-6mm คิ้วตบกระจกแนวนอน</v>
      </c>
      <c r="C166" s="173" t="str">
        <f t="shared" si="26"/>
        <v>5-6mm GLAZING BEAD HORIZONTAL</v>
      </c>
      <c r="D166" s="508" t="str">
        <f t="shared" si="21"/>
        <v>B24008</v>
      </c>
      <c r="E166" s="175">
        <f t="shared" si="17"/>
        <v>0.23100000000000001</v>
      </c>
      <c r="F166" s="353">
        <f t="shared" si="18"/>
        <v>672.4375</v>
      </c>
      <c r="G166" s="175">
        <f t="shared" si="19"/>
        <v>48</v>
      </c>
      <c r="H166" s="516">
        <f>ROUNDUP(((F166*G166)+(F167*G167))/6400,0)</f>
        <v>23</v>
      </c>
      <c r="I166" s="501"/>
      <c r="J166" s="501"/>
    </row>
    <row r="167" spans="1:23" s="1" customFormat="1" ht="15" customHeight="1" outlineLevel="1">
      <c r="A167" s="18">
        <f t="shared" si="15"/>
        <v>15</v>
      </c>
      <c r="B167" s="173" t="str">
        <f t="shared" ref="B167:C167" si="27">B147</f>
        <v>5-6mm คิ้วตบกระจกแนวตั้ง</v>
      </c>
      <c r="C167" s="173" t="str">
        <f t="shared" si="27"/>
        <v>5-6mm GLAZING BEAD VERTICAL</v>
      </c>
      <c r="D167" s="509"/>
      <c r="E167" s="175">
        <f t="shared" si="17"/>
        <v>0.23100000000000001</v>
      </c>
      <c r="F167" s="353">
        <f t="shared" si="18"/>
        <v>2358</v>
      </c>
      <c r="G167" s="175">
        <f t="shared" si="19"/>
        <v>48</v>
      </c>
      <c r="H167" s="516"/>
      <c r="I167" s="383"/>
      <c r="J167" s="383"/>
    </row>
    <row r="168" spans="1:23" s="1" customFormat="1" ht="15" customHeight="1" outlineLevel="1">
      <c r="A168" s="18">
        <f t="shared" si="15"/>
        <v>16</v>
      </c>
      <c r="B168" s="173">
        <f t="shared" ref="B168:C168" si="28">B148</f>
        <v>0</v>
      </c>
      <c r="C168" s="173">
        <f t="shared" si="28"/>
        <v>0</v>
      </c>
      <c r="D168" s="174" t="e">
        <f t="shared" si="21"/>
        <v>#N/A</v>
      </c>
      <c r="E168" s="175" t="e">
        <f t="shared" si="17"/>
        <v>#N/A</v>
      </c>
      <c r="F168" s="353" t="e">
        <f t="shared" si="18"/>
        <v>#N/A</v>
      </c>
      <c r="G168" s="175" t="e">
        <f t="shared" si="19"/>
        <v>#N/A</v>
      </c>
      <c r="H168" s="192" t="e">
        <f t="shared" ref="H168:H170" si="29">ROUNDUP((F168*G168)/6400,0)</f>
        <v>#N/A</v>
      </c>
      <c r="I168" s="383"/>
      <c r="J168" s="383"/>
    </row>
    <row r="169" spans="1:23" s="1" customFormat="1" ht="13.8" outlineLevel="1">
      <c r="A169" s="18">
        <f t="shared" si="15"/>
        <v>17</v>
      </c>
      <c r="B169" s="173">
        <f t="shared" ref="B169:C169" si="30">B149</f>
        <v>0</v>
      </c>
      <c r="C169" s="173">
        <f t="shared" si="30"/>
        <v>0</v>
      </c>
      <c r="D169" s="174" t="e">
        <f t="shared" si="21"/>
        <v>#N/A</v>
      </c>
      <c r="E169" s="175" t="e">
        <f t="shared" si="17"/>
        <v>#N/A</v>
      </c>
      <c r="F169" s="353" t="e">
        <f t="shared" si="18"/>
        <v>#N/A</v>
      </c>
      <c r="G169" s="175" t="e">
        <f t="shared" si="19"/>
        <v>#N/A</v>
      </c>
      <c r="H169" s="192" t="e">
        <f t="shared" si="29"/>
        <v>#N/A</v>
      </c>
      <c r="I169" s="383"/>
      <c r="J169" s="383"/>
    </row>
    <row r="170" spans="1:23" s="1" customFormat="1" outlineLevel="1" thickBot="1">
      <c r="A170" s="18">
        <f t="shared" si="15"/>
        <v>18</v>
      </c>
      <c r="B170" s="173">
        <f t="shared" ref="B170:C170" si="31">B150</f>
        <v>0</v>
      </c>
      <c r="C170" s="173">
        <f t="shared" si="31"/>
        <v>0</v>
      </c>
      <c r="D170" s="174" t="e">
        <f t="shared" si="21"/>
        <v>#N/A</v>
      </c>
      <c r="E170" s="175" t="e">
        <f t="shared" si="17"/>
        <v>#N/A</v>
      </c>
      <c r="F170" s="353" t="e">
        <f t="shared" si="18"/>
        <v>#N/A</v>
      </c>
      <c r="G170" s="175" t="e">
        <f t="shared" si="19"/>
        <v>#N/A</v>
      </c>
      <c r="H170" s="192" t="e">
        <f t="shared" si="29"/>
        <v>#N/A</v>
      </c>
      <c r="I170" s="383"/>
      <c r="J170" s="383"/>
    </row>
    <row r="171" spans="1:23" s="1" customFormat="1" ht="24.9" customHeight="1" thickBot="1">
      <c r="A171" s="529" t="s">
        <v>9</v>
      </c>
      <c r="B171" s="530"/>
      <c r="C171" s="530"/>
      <c r="D171" s="530"/>
      <c r="E171" s="530"/>
      <c r="F171" s="530"/>
      <c r="G171" s="530"/>
      <c r="H171" s="530"/>
      <c r="I171" s="530"/>
      <c r="J171" s="531"/>
    </row>
    <row r="172" spans="1:23" s="1" customFormat="1" ht="35.1" customHeight="1" thickBot="1">
      <c r="A172" s="102" t="s">
        <v>2</v>
      </c>
      <c r="B172" s="103" t="s">
        <v>29</v>
      </c>
      <c r="C172" s="103" t="s">
        <v>3</v>
      </c>
      <c r="D172" s="103" t="s">
        <v>199</v>
      </c>
      <c r="E172" s="103" t="s">
        <v>5</v>
      </c>
      <c r="F172" s="104" t="s">
        <v>28</v>
      </c>
      <c r="G172" s="103" t="s">
        <v>19</v>
      </c>
      <c r="H172" s="104" t="s">
        <v>200</v>
      </c>
      <c r="I172" s="104" t="s">
        <v>20</v>
      </c>
      <c r="J172" s="115" t="s">
        <v>201</v>
      </c>
      <c r="N172" s="101" t="s">
        <v>191</v>
      </c>
      <c r="O172" s="246" t="s">
        <v>29</v>
      </c>
      <c r="P172" s="246" t="s">
        <v>3</v>
      </c>
      <c r="Q172" s="246" t="s">
        <v>199</v>
      </c>
      <c r="R172" s="246" t="s">
        <v>5</v>
      </c>
      <c r="S172" s="246" t="s">
        <v>28</v>
      </c>
      <c r="T172" s="246" t="s">
        <v>19</v>
      </c>
      <c r="U172" s="246" t="s">
        <v>200</v>
      </c>
      <c r="V172" s="246" t="s">
        <v>20</v>
      </c>
      <c r="W172" s="246" t="s">
        <v>201</v>
      </c>
    </row>
    <row r="173" spans="1:23" s="1" customFormat="1" ht="18" customHeight="1">
      <c r="A173" s="200">
        <f>IF(B173="","",1)</f>
        <v>1</v>
      </c>
      <c r="B173" s="140" t="s">
        <v>111</v>
      </c>
      <c r="C173" s="140" t="s">
        <v>67</v>
      </c>
      <c r="D173" s="139" t="s">
        <v>74</v>
      </c>
      <c r="E173" s="143"/>
      <c r="F173" s="143" t="s">
        <v>74</v>
      </c>
      <c r="G173" s="143" t="s">
        <v>202</v>
      </c>
      <c r="H173" s="143">
        <v>24</v>
      </c>
      <c r="I173" s="130"/>
      <c r="J173" s="131">
        <f>$J$120*H173</f>
        <v>48</v>
      </c>
      <c r="N173" s="101" t="s">
        <v>226</v>
      </c>
      <c r="O173" s="280" t="s">
        <v>252</v>
      </c>
      <c r="P173" s="290" t="s">
        <v>248</v>
      </c>
      <c r="Q173" s="280" t="s">
        <v>69</v>
      </c>
      <c r="R173" s="213"/>
      <c r="S173" s="213" t="s">
        <v>69</v>
      </c>
      <c r="T173" s="213" t="s">
        <v>198</v>
      </c>
      <c r="U173" s="291">
        <f>((($I$141*$G$141)+($I$142*$G$142)+($I$143*$G$143)+($I$144*$G$144)+($I$145*$G$145)+($I$140*$G$140))/1000)*$J$120</f>
        <v>157.66900000000001</v>
      </c>
      <c r="V173" s="291">
        <v>100</v>
      </c>
      <c r="W173" s="292">
        <f>ROUNDUP((U173)/100,0)</f>
        <v>2</v>
      </c>
    </row>
    <row r="174" spans="1:23" s="1" customFormat="1" ht="18" customHeight="1">
      <c r="A174" s="201">
        <f>IF(B174="","",+A173+1)</f>
        <v>2</v>
      </c>
      <c r="B174" s="140" t="s">
        <v>106</v>
      </c>
      <c r="C174" s="140" t="s">
        <v>503</v>
      </c>
      <c r="D174" s="139" t="s">
        <v>75</v>
      </c>
      <c r="E174" s="143"/>
      <c r="F174" s="143" t="s">
        <v>75</v>
      </c>
      <c r="G174" s="143" t="s">
        <v>202</v>
      </c>
      <c r="H174" s="143">
        <v>2</v>
      </c>
      <c r="I174" s="130"/>
      <c r="J174" s="131">
        <f t="shared" ref="J174:J205" si="32">$J$120*H174</f>
        <v>4</v>
      </c>
      <c r="N174" s="101" t="s">
        <v>230</v>
      </c>
      <c r="O174" s="280" t="s">
        <v>253</v>
      </c>
      <c r="P174" s="290" t="s">
        <v>249</v>
      </c>
      <c r="Q174" s="280" t="s">
        <v>188</v>
      </c>
      <c r="R174" s="213"/>
      <c r="S174" s="213" t="s">
        <v>188</v>
      </c>
      <c r="T174" s="213" t="s">
        <v>198</v>
      </c>
      <c r="U174" s="291">
        <f>((($I$141*$G$141)+($I$142*$G$142)+($I$143*$G$143)+($I$144*$G$144)+($I$145*$G$145)+($I$140*$G$140))/1000)*$J$120</f>
        <v>157.66900000000001</v>
      </c>
      <c r="V174" s="291">
        <v>100</v>
      </c>
      <c r="W174" s="292">
        <f t="shared" ref="W174:W177" si="33">ROUNDUP((U174)/100,0)</f>
        <v>2</v>
      </c>
    </row>
    <row r="175" spans="1:23" s="1" customFormat="1" ht="18" customHeight="1">
      <c r="A175" s="201">
        <f t="shared" ref="A175:A204" si="34">IF(B175="","",+A174+1)</f>
        <v>3</v>
      </c>
      <c r="B175" s="140" t="s">
        <v>107</v>
      </c>
      <c r="C175" s="140" t="s">
        <v>504</v>
      </c>
      <c r="D175" s="139" t="s">
        <v>76</v>
      </c>
      <c r="E175" s="143"/>
      <c r="F175" s="143" t="s">
        <v>76</v>
      </c>
      <c r="G175" s="143" t="s">
        <v>202</v>
      </c>
      <c r="H175" s="143">
        <v>2</v>
      </c>
      <c r="I175" s="130"/>
      <c r="J175" s="131">
        <f t="shared" si="32"/>
        <v>4</v>
      </c>
      <c r="N175" s="101" t="s">
        <v>229</v>
      </c>
      <c r="O175" s="290" t="s">
        <v>254</v>
      </c>
      <c r="P175" s="290" t="s">
        <v>250</v>
      </c>
      <c r="Q175" s="280" t="s">
        <v>70</v>
      </c>
      <c r="R175" s="213"/>
      <c r="S175" s="213" t="s">
        <v>70</v>
      </c>
      <c r="T175" s="213" t="s">
        <v>198</v>
      </c>
      <c r="U175" s="291">
        <f>((($I$141*$G$141)+($I$142*$G$142)+($I$143*$G$143)+($I$144*$G$144)+($I$145*$G$145)+($I$140*$G$140))/1000)*$J$120</f>
        <v>157.66900000000001</v>
      </c>
      <c r="V175" s="291">
        <v>100</v>
      </c>
      <c r="W175" s="292">
        <f t="shared" si="33"/>
        <v>2</v>
      </c>
    </row>
    <row r="176" spans="1:23" s="1" customFormat="1" ht="18" customHeight="1">
      <c r="A176" s="201">
        <f t="shared" si="34"/>
        <v>4</v>
      </c>
      <c r="B176" s="140" t="s">
        <v>108</v>
      </c>
      <c r="C176" s="140" t="s">
        <v>10</v>
      </c>
      <c r="D176" s="139">
        <v>9</v>
      </c>
      <c r="E176" s="143"/>
      <c r="F176" s="143">
        <v>9</v>
      </c>
      <c r="G176" s="143" t="s">
        <v>202</v>
      </c>
      <c r="H176" s="143">
        <v>8</v>
      </c>
      <c r="I176" s="130"/>
      <c r="J176" s="131">
        <f t="shared" si="32"/>
        <v>16</v>
      </c>
      <c r="N176" s="101" t="s">
        <v>231</v>
      </c>
      <c r="O176" s="290" t="s">
        <v>255</v>
      </c>
      <c r="P176" s="290" t="s">
        <v>251</v>
      </c>
      <c r="Q176" s="280" t="s">
        <v>189</v>
      </c>
      <c r="R176" s="213"/>
      <c r="S176" s="213" t="s">
        <v>189</v>
      </c>
      <c r="T176" s="213" t="s">
        <v>198</v>
      </c>
      <c r="U176" s="291">
        <f>((($I$141*$G$141)+($I$142*$G$142)+($I$143*$G$143)+($I$144*$G$144)+($I$145*$G$145)+($I$140*$G$140))/1000)*$J$120</f>
        <v>157.66900000000001</v>
      </c>
      <c r="V176" s="291">
        <v>100</v>
      </c>
      <c r="W176" s="292">
        <f t="shared" si="33"/>
        <v>2</v>
      </c>
    </row>
    <row r="177" spans="1:23" s="1" customFormat="1" ht="18" customHeight="1">
      <c r="A177" s="201">
        <f t="shared" si="34"/>
        <v>5</v>
      </c>
      <c r="B177" s="140" t="s">
        <v>109</v>
      </c>
      <c r="C177" s="140" t="s">
        <v>68</v>
      </c>
      <c r="D177" s="139">
        <v>9</v>
      </c>
      <c r="E177" s="143"/>
      <c r="F177" s="143">
        <v>9</v>
      </c>
      <c r="G177" s="143" t="s">
        <v>202</v>
      </c>
      <c r="H177" s="143">
        <v>110</v>
      </c>
      <c r="I177" s="130"/>
      <c r="J177" s="131">
        <f t="shared" si="32"/>
        <v>220</v>
      </c>
      <c r="N177" s="101" t="s">
        <v>232</v>
      </c>
      <c r="O177" s="290" t="s">
        <v>256</v>
      </c>
      <c r="P177" s="290" t="s">
        <v>247</v>
      </c>
      <c r="Q177" s="280" t="s">
        <v>233</v>
      </c>
      <c r="R177" s="213"/>
      <c r="S177" s="213" t="s">
        <v>233</v>
      </c>
      <c r="T177" s="213" t="s">
        <v>198</v>
      </c>
      <c r="U177" s="291">
        <f>((($I$141*$G$141)+($I$142*$G$142)+($I$143*$G$143)+($I$144*$G$144)+($I$145*$G$145)+($I$140*$G$140))/1000)*$J$120</f>
        <v>157.66900000000001</v>
      </c>
      <c r="V177" s="291">
        <v>100</v>
      </c>
      <c r="W177" s="292">
        <f t="shared" si="33"/>
        <v>2</v>
      </c>
    </row>
    <row r="178" spans="1:23" s="1" customFormat="1" ht="18" customHeight="1">
      <c r="A178" s="201">
        <f t="shared" si="34"/>
        <v>6</v>
      </c>
      <c r="B178" s="140" t="s">
        <v>132</v>
      </c>
      <c r="C178" s="140" t="s">
        <v>79</v>
      </c>
      <c r="D178" s="139" t="s">
        <v>82</v>
      </c>
      <c r="E178" s="143"/>
      <c r="F178" s="143" t="s">
        <v>82</v>
      </c>
      <c r="G178" s="143" t="s">
        <v>185</v>
      </c>
      <c r="H178" s="143">
        <v>2</v>
      </c>
      <c r="I178" s="130"/>
      <c r="J178" s="131">
        <f>$J$120*H178</f>
        <v>4</v>
      </c>
    </row>
    <row r="179" spans="1:23" s="1" customFormat="1" ht="18" customHeight="1">
      <c r="A179" s="201">
        <f t="shared" si="34"/>
        <v>7</v>
      </c>
      <c r="B179" s="140" t="s">
        <v>143</v>
      </c>
      <c r="C179" s="140" t="s">
        <v>121</v>
      </c>
      <c r="D179" s="139" t="s">
        <v>103</v>
      </c>
      <c r="E179" s="143"/>
      <c r="F179" s="143" t="s">
        <v>103</v>
      </c>
      <c r="G179" s="143" t="s">
        <v>185</v>
      </c>
      <c r="H179" s="143">
        <v>4</v>
      </c>
      <c r="I179" s="130"/>
      <c r="J179" s="131">
        <f>$J$120*H179</f>
        <v>8</v>
      </c>
    </row>
    <row r="180" spans="1:23" s="1" customFormat="1" ht="18" customHeight="1">
      <c r="A180" s="201">
        <f t="shared" si="34"/>
        <v>8</v>
      </c>
      <c r="B180" s="140" t="s">
        <v>118</v>
      </c>
      <c r="C180" s="140" t="s">
        <v>77</v>
      </c>
      <c r="D180" s="139" t="s">
        <v>80</v>
      </c>
      <c r="E180" s="143"/>
      <c r="F180" s="143" t="s">
        <v>80</v>
      </c>
      <c r="G180" s="143" t="s">
        <v>185</v>
      </c>
      <c r="H180" s="143">
        <v>1</v>
      </c>
      <c r="I180" s="130"/>
      <c r="J180" s="131">
        <f t="shared" si="32"/>
        <v>2</v>
      </c>
    </row>
    <row r="181" spans="1:23" s="1" customFormat="1" ht="18" customHeight="1">
      <c r="A181" s="201">
        <f t="shared" si="34"/>
        <v>9</v>
      </c>
      <c r="B181" s="140" t="s">
        <v>120</v>
      </c>
      <c r="C181" s="140" t="s">
        <v>94</v>
      </c>
      <c r="D181" s="139" t="s">
        <v>96</v>
      </c>
      <c r="E181" s="143"/>
      <c r="F181" s="143" t="s">
        <v>96</v>
      </c>
      <c r="G181" s="143" t="s">
        <v>185</v>
      </c>
      <c r="H181" s="143">
        <v>1</v>
      </c>
      <c r="I181" s="130"/>
      <c r="J181" s="131">
        <f t="shared" si="32"/>
        <v>2</v>
      </c>
    </row>
    <row r="182" spans="1:23" s="1" customFormat="1" ht="18" customHeight="1">
      <c r="A182" s="201">
        <f t="shared" si="34"/>
        <v>10</v>
      </c>
      <c r="B182" s="140" t="s">
        <v>131</v>
      </c>
      <c r="C182" s="140" t="s">
        <v>130</v>
      </c>
      <c r="D182" s="139" t="s">
        <v>129</v>
      </c>
      <c r="E182" s="143"/>
      <c r="F182" s="143" t="s">
        <v>129</v>
      </c>
      <c r="G182" s="143" t="s">
        <v>185</v>
      </c>
      <c r="H182" s="143">
        <v>1</v>
      </c>
      <c r="I182" s="130"/>
      <c r="J182" s="131">
        <f>$J$120*H182</f>
        <v>2</v>
      </c>
      <c r="N182" s="56"/>
      <c r="O182" s="56"/>
      <c r="P182" s="56"/>
      <c r="Q182" s="289"/>
      <c r="R182" s="289"/>
      <c r="S182" s="289"/>
      <c r="T182" s="17"/>
      <c r="U182" s="17"/>
      <c r="V182" s="17"/>
      <c r="W182" s="56"/>
    </row>
    <row r="183" spans="1:23" s="1" customFormat="1" ht="18" customHeight="1">
      <c r="A183" s="201">
        <f t="shared" si="34"/>
        <v>11</v>
      </c>
      <c r="B183" s="140" t="s">
        <v>131</v>
      </c>
      <c r="C183" s="140" t="s">
        <v>100</v>
      </c>
      <c r="D183" s="139" t="s">
        <v>102</v>
      </c>
      <c r="E183" s="143"/>
      <c r="F183" s="143" t="s">
        <v>102</v>
      </c>
      <c r="G183" s="143" t="s">
        <v>185</v>
      </c>
      <c r="H183" s="143">
        <v>4</v>
      </c>
      <c r="I183" s="144"/>
      <c r="J183" s="131">
        <f t="shared" si="32"/>
        <v>8</v>
      </c>
      <c r="N183" s="101" t="s">
        <v>227</v>
      </c>
      <c r="O183" s="246" t="s">
        <v>29</v>
      </c>
      <c r="P183" s="246" t="s">
        <v>3</v>
      </c>
      <c r="Q183" s="246" t="s">
        <v>199</v>
      </c>
      <c r="R183" s="246" t="s">
        <v>5</v>
      </c>
      <c r="S183" s="246" t="s">
        <v>28</v>
      </c>
      <c r="T183" s="246" t="s">
        <v>19</v>
      </c>
      <c r="U183" s="246" t="s">
        <v>200</v>
      </c>
      <c r="V183" s="246" t="s">
        <v>20</v>
      </c>
      <c r="W183" s="246" t="s">
        <v>201</v>
      </c>
    </row>
    <row r="184" spans="1:23" s="1" customFormat="1" ht="18" customHeight="1">
      <c r="A184" s="201">
        <f t="shared" si="34"/>
        <v>12</v>
      </c>
      <c r="B184" s="140" t="s">
        <v>113</v>
      </c>
      <c r="C184" s="140" t="s">
        <v>502</v>
      </c>
      <c r="D184" s="139" t="s">
        <v>83</v>
      </c>
      <c r="E184" s="143"/>
      <c r="F184" s="143" t="s">
        <v>83</v>
      </c>
      <c r="G184" s="143" t="s">
        <v>185</v>
      </c>
      <c r="H184" s="143">
        <v>6</v>
      </c>
      <c r="I184" s="144"/>
      <c r="J184" s="131">
        <f t="shared" si="32"/>
        <v>12</v>
      </c>
      <c r="N184" s="101" t="s">
        <v>240</v>
      </c>
      <c r="O184" s="290" t="s">
        <v>234</v>
      </c>
      <c r="P184" s="290" t="s">
        <v>236</v>
      </c>
      <c r="Q184" s="280" t="s">
        <v>190</v>
      </c>
      <c r="R184" s="213"/>
      <c r="S184" s="213" t="s">
        <v>190</v>
      </c>
      <c r="T184" s="213" t="s">
        <v>198</v>
      </c>
      <c r="U184" s="291">
        <f>((($I$134*$G$134)+($I$136*$G$136)+($I$139*$G$139))/1000)*$J$120</f>
        <v>42.716000000000001</v>
      </c>
      <c r="V184" s="291">
        <v>300</v>
      </c>
      <c r="W184" s="292">
        <f>ROUNDUP((U184)/V184,0)</f>
        <v>1</v>
      </c>
    </row>
    <row r="185" spans="1:23" s="1" customFormat="1" ht="18" customHeight="1">
      <c r="A185" s="201">
        <f t="shared" si="34"/>
        <v>13</v>
      </c>
      <c r="B185" s="140" t="s">
        <v>112</v>
      </c>
      <c r="C185" s="140" t="s">
        <v>114</v>
      </c>
      <c r="D185" s="128" t="s">
        <v>520</v>
      </c>
      <c r="E185" s="129"/>
      <c r="F185" s="129" t="s">
        <v>520</v>
      </c>
      <c r="G185" s="143" t="s">
        <v>202</v>
      </c>
      <c r="H185" s="143">
        <v>10</v>
      </c>
      <c r="I185" s="130"/>
      <c r="J185" s="131">
        <f>$J$120*H185</f>
        <v>20</v>
      </c>
      <c r="N185" s="101" t="s">
        <v>241</v>
      </c>
      <c r="O185" s="290" t="s">
        <v>235</v>
      </c>
      <c r="P185" s="290" t="s">
        <v>238</v>
      </c>
      <c r="Q185" s="280" t="s">
        <v>71</v>
      </c>
      <c r="R185" s="213"/>
      <c r="S185" s="213" t="s">
        <v>71</v>
      </c>
      <c r="T185" s="213" t="s">
        <v>198</v>
      </c>
      <c r="U185" s="291">
        <f>((($I$134*$G$134)+($I$136*$G$136)+($I$139*$G$139))/1000)*$J$120</f>
        <v>42.716000000000001</v>
      </c>
      <c r="V185" s="291">
        <v>100</v>
      </c>
      <c r="W185" s="292">
        <f t="shared" ref="W185:W187" si="35">ROUNDUP((U185)/V185,0)</f>
        <v>1</v>
      </c>
    </row>
    <row r="186" spans="1:23" s="1" customFormat="1" ht="18" customHeight="1">
      <c r="A186" s="201">
        <f t="shared" si="34"/>
        <v>14</v>
      </c>
      <c r="B186" s="140" t="s">
        <v>115</v>
      </c>
      <c r="C186" s="140" t="s">
        <v>45</v>
      </c>
      <c r="D186" s="139" t="s">
        <v>84</v>
      </c>
      <c r="E186" s="143"/>
      <c r="F186" s="143" t="s">
        <v>84</v>
      </c>
      <c r="G186" s="143" t="s">
        <v>202</v>
      </c>
      <c r="H186" s="143">
        <v>1</v>
      </c>
      <c r="I186" s="130"/>
      <c r="J186" s="131">
        <f>$J$120*H186</f>
        <v>2</v>
      </c>
      <c r="N186" s="101" t="s">
        <v>240</v>
      </c>
      <c r="O186" s="290" t="s">
        <v>245</v>
      </c>
      <c r="P186" s="290" t="s">
        <v>237</v>
      </c>
      <c r="Q186" s="280" t="s">
        <v>72</v>
      </c>
      <c r="R186" s="213"/>
      <c r="S186" s="213" t="s">
        <v>72</v>
      </c>
      <c r="T186" s="213" t="s">
        <v>198</v>
      </c>
      <c r="U186" s="291">
        <f>((($I$141*$G$141*2)+($I$143*$G$143*2)+($I$144*$G$144*2)+($I$145*($G$145-1)*2))/1000)*$J$120</f>
        <v>263.01299999999998</v>
      </c>
      <c r="V186" s="291">
        <v>350</v>
      </c>
      <c r="W186" s="292">
        <f t="shared" si="35"/>
        <v>1</v>
      </c>
    </row>
    <row r="187" spans="1:23" s="1" customFormat="1" ht="18" customHeight="1">
      <c r="A187" s="201">
        <f t="shared" si="34"/>
        <v>15</v>
      </c>
      <c r="B187" s="140" t="s">
        <v>110</v>
      </c>
      <c r="C187" s="140" t="s">
        <v>66</v>
      </c>
      <c r="D187" s="139" t="s">
        <v>73</v>
      </c>
      <c r="E187" s="143"/>
      <c r="F187" s="143" t="s">
        <v>73</v>
      </c>
      <c r="G187" s="143" t="s">
        <v>202</v>
      </c>
      <c r="H187" s="143">
        <v>6</v>
      </c>
      <c r="I187" s="130"/>
      <c r="J187" s="131">
        <f>$J$120*H187</f>
        <v>12</v>
      </c>
      <c r="N187" s="101" t="s">
        <v>241</v>
      </c>
      <c r="O187" s="290" t="s">
        <v>246</v>
      </c>
      <c r="P187" s="290" t="s">
        <v>239</v>
      </c>
      <c r="Q187" s="280" t="s">
        <v>193</v>
      </c>
      <c r="R187" s="213"/>
      <c r="S187" s="213" t="s">
        <v>193</v>
      </c>
      <c r="T187" s="213" t="s">
        <v>198</v>
      </c>
      <c r="U187" s="291">
        <f>((($I$141*$G$141*2)+($I$143*$G$143*2)+($I$144*$G$144*2)+($I$145*($G$145-1)*2))/1000)*$J$120</f>
        <v>263.01299999999998</v>
      </c>
      <c r="V187" s="291">
        <v>100</v>
      </c>
      <c r="W187" s="292">
        <f t="shared" si="35"/>
        <v>3</v>
      </c>
    </row>
    <row r="188" spans="1:23" s="1" customFormat="1" ht="18" customHeight="1">
      <c r="A188" s="201">
        <f t="shared" si="34"/>
        <v>16</v>
      </c>
      <c r="B188" s="139" t="str">
        <f>IF($D$129="Standard",$O$184,IF($D$129="Soumdproof",$O$185,))</f>
        <v>ยางเฟรมกันน้ำ (ธรรมดา)</v>
      </c>
      <c r="C188" s="139" t="str">
        <f>IF($D$129="Standard",$P$184,IF($D$129="Soumdproof",$P$185,))</f>
        <v>FRAME SEAL (Standard)</v>
      </c>
      <c r="D188" s="139" t="str">
        <f>IF($D$129="Standard",$Q$184,IF($D$129="Soumdproof",$Q$185,))</f>
        <v>02-026</v>
      </c>
      <c r="E188" s="143">
        <f>IF($D$129="Standard",R190,IF($D$129="Soumdproof",R191,))</f>
        <v>0</v>
      </c>
      <c r="F188" s="143" t="str">
        <f>IF($D$129="Standard",$S$184,IF($D$129="Soumdproof",$S$185,))</f>
        <v>02-026</v>
      </c>
      <c r="G188" s="143" t="str">
        <f>IF($D$129="Standard",$T$184,IF($D$129="Soumdproof",$T$185,))</f>
        <v>M</v>
      </c>
      <c r="H188" s="261">
        <f>IF($D$129="Standard",$U$184,IF($D$129="Soumdproof",$U$185,))</f>
        <v>42.716000000000001</v>
      </c>
      <c r="I188" s="258">
        <f>IF($D$129="Standard",$V$184,IF($D$129="Soumdproof",$V$185,))</f>
        <v>300</v>
      </c>
      <c r="J188" s="267">
        <f>ROUNDUP((H188)/100,0)</f>
        <v>1</v>
      </c>
    </row>
    <row r="189" spans="1:23" s="1" customFormat="1" ht="18" customHeight="1">
      <c r="A189" s="201">
        <f t="shared" si="34"/>
        <v>17</v>
      </c>
      <c r="B189" s="139" t="str">
        <f>IF($D$129="Standard",$O$186,IF($D$129="Soumdproof",$O$187,))</f>
        <v>ยางแซชกันน้ำ (ธรรมดา)</v>
      </c>
      <c r="C189" s="139" t="str">
        <f>IF($D$129="Standard",$P$186,IF($D$129="Soumdproof",$P$187,))</f>
        <v>SASH SEAL FOAM (Standard)</v>
      </c>
      <c r="D189" s="139" t="str">
        <f>IF($D$129="Standard",$Q$186,IF($D$129="Soumdproof",$Q$187,))</f>
        <v>02-031</v>
      </c>
      <c r="E189" s="143">
        <f>IF($D$129="Standard",R192,IF($D$129="Soumdproof",R193,))</f>
        <v>0</v>
      </c>
      <c r="F189" s="143" t="str">
        <f>IF($D$129="Standard",$S$186,IF($D$129="Soumdproof",$S$187,))</f>
        <v>02-031</v>
      </c>
      <c r="G189" s="143" t="str">
        <f>IF($D$129="Standard",$T$186,IF($D$129="Soumdproof",$T$187,))</f>
        <v>M</v>
      </c>
      <c r="H189" s="261">
        <f>IF($D$129="Standard",$U$186,IF($D$129="Soumdproof",$U$187,))</f>
        <v>263.01299999999998</v>
      </c>
      <c r="I189" s="258">
        <f>IF($D$129="Standard",$V$186,IF($D$129="Soumdproof",$V$187,))</f>
        <v>350</v>
      </c>
      <c r="J189" s="260">
        <f t="shared" ref="J189:J191" si="36">ROUNDUP((H189)/100,0)</f>
        <v>3</v>
      </c>
    </row>
    <row r="190" spans="1:23" s="1" customFormat="1" ht="18" customHeight="1">
      <c r="A190" s="201">
        <f t="shared" si="34"/>
        <v>18</v>
      </c>
      <c r="B190" s="241" t="str">
        <f>IF($D$127=5,$O$175,IF($D$127=6,$O$176,IF($D$127=8,$O$177,IF($D$127=10,$O$175,IF($D$127=12,$O$175,IF($D$127=14,$O$177,IF($D$127=18,$O$175,IF($D$127=20,$O$176,IF($D$127=22,"")))))))))</f>
        <v>6,20 mm ยางอัดกระจก</v>
      </c>
      <c r="C190" s="241" t="str">
        <f>IF($D$127=5,$P$175,IF($D$127=6,$P$176,IF($D$127=8,$P$177,IF($D$127=10,$P$175,IF($D$127=12,$P$175,IF($D$127=14,$P$177,IF($D$127=18,$P$175,IF($D$127=20,$P$176,IF($D$127=22,"")))))))))</f>
        <v>6,20 mm ROLL IN WEDGE</v>
      </c>
      <c r="D190" s="241" t="str">
        <f>IF($D$127=5,$Q$175,IF($D$127=6,$Q$176,IF($D$127=8,$Q$177,IF($D$127=10,$Q$175,IF($D$127=12,$Q$175,IF($D$127=14,$Q$177,IF($D$127=18,$Q$175,IF($D$127=20,$Q$176,IF($D$127=22,"")))))))))</f>
        <v>02-034</v>
      </c>
      <c r="E190" s="241">
        <f>IF($D$127=5,R181,IF($D$127=6,R182,IF($D$127=8,R183,IF($D$127=10,R181,IF($D$127=12,R181,IF($D$127=14,R183,IF($D$127=18,R181,IF($D$127=20,R182,IF($D$127=22,"",)))))))))</f>
        <v>0</v>
      </c>
      <c r="F190" s="242" t="str">
        <f>IF($D$127=5,$S$175,IF($D$127=6,$S$176,IF($D$127=8,$S$177,IF($D$127=10,$S$175,IF($D$127=12,$S$175,IF($D$127=14,$S$177,IF($D$127=18,$S$175,IF($D$127=20,$S$176,IF($D$127=22,"")))))))))</f>
        <v>02-034</v>
      </c>
      <c r="G190" s="242" t="str">
        <f>IF($D$127=5,$T$175,IF($D$127=6,$T$176,IF($D$127=8,$T$177,IF($D$127=10,$T$175,IF($D$127=12,$T$175,IF($D$127=14,$T$177,IF($D$127=18,$T$175,IF($D$127=20,$T$176,IF($D$127=22,"")))))))))</f>
        <v>M</v>
      </c>
      <c r="H190" s="261">
        <f>IF($D$127=5,$U$175,IF($D$127=6,$U$176,IF($D$127=8,$U$177,IF($D$127=10,$U$175*2,IF($D$127=12,$U$175,IF($D$127=14,$U$177*2,IF($D$127=18,$U$175,IF($D$127=20,$U$176,IF($D$127=22,"")))))))))</f>
        <v>157.66900000000001</v>
      </c>
      <c r="I190" s="258">
        <f>IF($D$127=5,$V$175,IF($D$127=6,$V$176,IF($D$127=8,$V$177,IF($D$127=10,$V$175,IF($D$127=12,$V$175,IF($D$127=14,$V$177,IF($D$127=18,$V$175,IF($D$127=20,$V$176,IF($D$127=22,"")))))))))</f>
        <v>100</v>
      </c>
      <c r="J190" s="260">
        <f t="shared" si="36"/>
        <v>2</v>
      </c>
    </row>
    <row r="191" spans="1:23" s="1" customFormat="1" ht="18" customHeight="1">
      <c r="A191" s="201">
        <f t="shared" si="34"/>
        <v>19</v>
      </c>
      <c r="B191" s="241" t="str">
        <f>IF($D$127=5,$O$173,IF($D$127=6,$O$173,IF($D$127=8,$O$175,IF($D$127=10,"",IF($D$127=12,$O$174,IF($D$127=14,"",IF($D$127=18,$O$173,IF($D$127=20,$O$174,IF($D$127=22,"",)))))))))</f>
        <v>5,6,18 mm ยางรองกระจก</v>
      </c>
      <c r="C191" s="241" t="str">
        <f>IF($D$127=5,$P$173,IF($D$127=6,$P$173,IF($D$127=8,$P$175,IF($D$127=10,"",IF($D$127=12,$P$174,IF($D$127=14,"",IF($D$127=18,$P$173,IF($D$127=20,$P$174,IF($D$127=22,"",)))))))))</f>
        <v>5,6,18 mm CAPTIVE WEDGE</v>
      </c>
      <c r="D191" s="241" t="str">
        <f>IF($D$127=5,$Q$173,IF($D$127=6,$Q$173,IF($D$127=8,$Q$175,IF($D$127=10,"",IF($D$127=12,$Q$174,IF($D$127=14,"",IF($D$127=18,$Q$173,IF($D$127=20,$Q$174,IF($D$127=22,"",)))))))))</f>
        <v>02-022</v>
      </c>
      <c r="E191" s="241">
        <f>IF($D$127=5,R179,IF($D$127=6,R179,IF($D$127=8,R181,IF($D$127=10,"",IF($D$127=12,R180,IF($D$127=14,"",IF($D$127=18,R179,IF($D$127=20,R180,IF($D$127=22,"",)))))))))</f>
        <v>0</v>
      </c>
      <c r="F191" s="242" t="str">
        <f>IF($D$127=5,$S$173,IF($D$127=6,$S$173,IF($D$127=8,$S$175,IF($D$127=10,"",IF($D$127=12,$S$174,IF($D$127=14,"",IF($D$127=18,$S$173,IF($D$127=20,$S$174,IF($D$127=22,"",)))))))))</f>
        <v>02-022</v>
      </c>
      <c r="G191" s="242" t="str">
        <f>IF($D$127=5,$T$173,IF($D$127=6,$T$173,IF($D$127=8,$T$175,IF($D$127=10,"",IF($D$127=12,$T$174,IF($D$127=14,"",IF($D$127=18,$T$173,IF($D$127=20,$T$174,IF($D$127=22,"",)))))))))</f>
        <v>M</v>
      </c>
      <c r="H191" s="261">
        <f>IF($D$127=5,$U$173,IF($D$127=6,$U$173,IF($D$127=8,$U$175,IF($D$127=10,"",IF($D$127=12,$U$174,IF($D$127=14,"",IF($D$127=18,$U$173,IF($D$127=20,$U$174,IF($D$127=22,"")))))))))</f>
        <v>157.66900000000001</v>
      </c>
      <c r="I191" s="258">
        <f>IF($D$127=5,$V$173,IF($D$127=6,$V$173,IF($D$127=8,$V$175,IF($D$127=10,"",IF($D$127=12,$V$174,IF($D$127=14,"",IF($D$127=18,$V$173,IF($D$127=20,$V$174,IF($D$127=22,"",)))))))))</f>
        <v>100</v>
      </c>
      <c r="J191" s="260">
        <f t="shared" si="36"/>
        <v>2</v>
      </c>
    </row>
    <row r="192" spans="1:23" s="1" customFormat="1" ht="18" customHeight="1">
      <c r="A192" s="201" t="str">
        <f t="shared" si="34"/>
        <v/>
      </c>
      <c r="B192" s="140"/>
      <c r="C192" s="140"/>
      <c r="D192" s="139"/>
      <c r="E192" s="143"/>
      <c r="F192" s="143"/>
      <c r="G192" s="143"/>
      <c r="H192" s="143"/>
      <c r="I192" s="130"/>
      <c r="J192" s="131">
        <f t="shared" si="32"/>
        <v>0</v>
      </c>
    </row>
    <row r="193" spans="1:24" ht="18" customHeight="1">
      <c r="A193" s="201" t="str">
        <f t="shared" si="34"/>
        <v/>
      </c>
      <c r="B193" s="140"/>
      <c r="C193" s="140"/>
      <c r="D193" s="139"/>
      <c r="E193" s="143"/>
      <c r="F193" s="143"/>
      <c r="G193" s="143"/>
      <c r="H193" s="143"/>
      <c r="I193" s="130"/>
      <c r="J193" s="131">
        <f t="shared" si="32"/>
        <v>0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s="1" customFormat="1" ht="18" customHeight="1">
      <c r="A194" s="201" t="str">
        <f t="shared" si="34"/>
        <v/>
      </c>
      <c r="B194" s="140"/>
      <c r="C194" s="140"/>
      <c r="D194" s="139"/>
      <c r="E194" s="143"/>
      <c r="F194" s="143"/>
      <c r="G194" s="143"/>
      <c r="H194" s="143"/>
      <c r="I194" s="130"/>
      <c r="J194" s="131">
        <f t="shared" si="32"/>
        <v>0</v>
      </c>
    </row>
    <row r="195" spans="1:24" s="1" customFormat="1" ht="18" customHeight="1">
      <c r="A195" s="201" t="str">
        <f t="shared" si="34"/>
        <v/>
      </c>
      <c r="B195" s="140"/>
      <c r="C195" s="140"/>
      <c r="D195" s="139"/>
      <c r="E195" s="143"/>
      <c r="F195" s="143"/>
      <c r="G195" s="143"/>
      <c r="H195" s="143"/>
      <c r="I195" s="130"/>
      <c r="J195" s="131">
        <f t="shared" si="32"/>
        <v>0</v>
      </c>
    </row>
    <row r="196" spans="1:24" s="1" customFormat="1" ht="18" customHeight="1">
      <c r="A196" s="201" t="str">
        <f t="shared" si="34"/>
        <v/>
      </c>
      <c r="B196" s="140"/>
      <c r="C196" s="140"/>
      <c r="D196" s="139"/>
      <c r="E196" s="143"/>
      <c r="F196" s="143"/>
      <c r="G196" s="143"/>
      <c r="H196" s="261"/>
      <c r="I196" s="258"/>
      <c r="J196" s="131">
        <f t="shared" si="32"/>
        <v>0</v>
      </c>
    </row>
    <row r="197" spans="1:24" s="1" customFormat="1" ht="18" customHeight="1">
      <c r="A197" s="201" t="str">
        <f t="shared" si="34"/>
        <v/>
      </c>
      <c r="B197" s="140"/>
      <c r="C197" s="140"/>
      <c r="D197" s="139"/>
      <c r="E197" s="143"/>
      <c r="F197" s="143"/>
      <c r="G197" s="143"/>
      <c r="H197" s="261"/>
      <c r="I197" s="258"/>
      <c r="J197" s="131">
        <f t="shared" si="32"/>
        <v>0</v>
      </c>
    </row>
    <row r="198" spans="1:24" s="1" customFormat="1" ht="18" customHeight="1">
      <c r="A198" s="201" t="str">
        <f t="shared" si="34"/>
        <v/>
      </c>
      <c r="B198" s="140"/>
      <c r="C198" s="140"/>
      <c r="D198" s="139"/>
      <c r="E198" s="143"/>
      <c r="F198" s="143"/>
      <c r="G198" s="143"/>
      <c r="H198" s="143"/>
      <c r="I198" s="130"/>
      <c r="J198" s="131">
        <f t="shared" si="32"/>
        <v>0</v>
      </c>
    </row>
    <row r="199" spans="1:24" s="1" customFormat="1" ht="18" customHeight="1">
      <c r="A199" s="201" t="str">
        <f t="shared" si="34"/>
        <v/>
      </c>
      <c r="B199" s="140"/>
      <c r="C199" s="140"/>
      <c r="D199" s="139"/>
      <c r="E199" s="143"/>
      <c r="F199" s="143"/>
      <c r="G199" s="143"/>
      <c r="H199" s="143"/>
      <c r="I199" s="130"/>
      <c r="J199" s="131">
        <f t="shared" si="32"/>
        <v>0</v>
      </c>
    </row>
    <row r="200" spans="1:24" s="1" customFormat="1" ht="18" customHeight="1">
      <c r="A200" s="201" t="str">
        <f t="shared" si="34"/>
        <v/>
      </c>
      <c r="B200" s="140"/>
      <c r="C200" s="140"/>
      <c r="D200" s="139"/>
      <c r="E200" s="143"/>
      <c r="F200" s="143"/>
      <c r="G200" s="143"/>
      <c r="H200" s="143"/>
      <c r="I200" s="144"/>
      <c r="J200" s="131">
        <f t="shared" si="32"/>
        <v>0</v>
      </c>
    </row>
    <row r="201" spans="1:24" s="1" customFormat="1" ht="18" customHeight="1">
      <c r="A201" s="201" t="str">
        <f t="shared" si="34"/>
        <v/>
      </c>
      <c r="B201" s="140"/>
      <c r="C201" s="140"/>
      <c r="D201" s="139"/>
      <c r="E201" s="143"/>
      <c r="F201" s="143"/>
      <c r="G201" s="143"/>
      <c r="H201" s="143"/>
      <c r="I201" s="144"/>
      <c r="J201" s="131">
        <f t="shared" si="32"/>
        <v>0</v>
      </c>
    </row>
    <row r="202" spans="1:24" s="1" customFormat="1" ht="18" customHeight="1">
      <c r="A202" s="201" t="str">
        <f t="shared" si="34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si="32"/>
        <v>0</v>
      </c>
    </row>
    <row r="203" spans="1:24" s="1" customFormat="1" ht="18" customHeight="1">
      <c r="A203" s="201" t="str">
        <f t="shared" si="34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si="32"/>
        <v>0</v>
      </c>
    </row>
    <row r="204" spans="1:24" s="1" customFormat="1" ht="18" customHeight="1">
      <c r="A204" s="201" t="str">
        <f t="shared" si="34"/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 t="shared" si="32"/>
        <v>0</v>
      </c>
    </row>
    <row r="205" spans="1:24" s="1" customFormat="1" ht="18" customHeight="1">
      <c r="A205" s="317" t="str">
        <f t="shared" ref="A205" si="37">IF(B205="","",+A204+1)</f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 t="shared" si="32"/>
        <v>0</v>
      </c>
    </row>
    <row r="206" spans="1:24" s="193" customFormat="1" ht="18" customHeight="1">
      <c r="A206" s="27"/>
      <c r="B206" s="161"/>
      <c r="C206" s="33"/>
      <c r="D206" s="161"/>
      <c r="E206" s="109"/>
      <c r="F206" s="161"/>
      <c r="G206" s="161"/>
      <c r="H206" s="161"/>
      <c r="I206" s="24"/>
      <c r="J206" s="24"/>
    </row>
    <row r="207" spans="1:24" ht="18" customHeight="1">
      <c r="A207" s="17"/>
      <c r="J207" s="99" t="str">
        <f>LEFT($J$111,14)&amp;"-02"</f>
        <v>FG-240-12P6L6R-02</v>
      </c>
    </row>
    <row r="208" spans="1:24" ht="12.75" customHeight="1">
      <c r="B208" s="56"/>
      <c r="C208" s="56"/>
      <c r="D208" s="30"/>
      <c r="E208" s="17"/>
      <c r="F208" s="17"/>
      <c r="G208" s="17"/>
      <c r="H208" s="17"/>
      <c r="K208" s="7"/>
      <c r="L208" s="7"/>
      <c r="M208" s="2"/>
      <c r="N208" s="2"/>
    </row>
    <row r="209" spans="1:14" ht="30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279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279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/>
      <c r="C215"/>
      <c r="D215" s="81"/>
      <c r="E215"/>
      <c r="F215"/>
      <c r="G215"/>
      <c r="H215"/>
      <c r="I215" s="160"/>
      <c r="J215" s="116"/>
    </row>
    <row r="216" spans="1:14" s="1" customFormat="1" ht="15" customHeight="1">
      <c r="A216" s="17"/>
      <c r="B216" s="93"/>
      <c r="C216" s="56"/>
      <c r="D216" s="30"/>
      <c r="E216" s="29"/>
      <c r="F216" s="160"/>
      <c r="G216" s="160"/>
      <c r="H216" s="16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s="1" customFormat="1" ht="15.6">
      <c r="A218" s="109"/>
      <c r="B218" s="33"/>
      <c r="C218" s="385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272</v>
      </c>
      <c r="D220" s="30"/>
      <c r="E220" s="29"/>
      <c r="F220" s="30"/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89"/>
      <c r="J221" s="12"/>
    </row>
    <row r="222" spans="1:14" s="1" customFormat="1" ht="15" customHeight="1">
      <c r="A222" s="109"/>
      <c r="B222" s="33"/>
      <c r="C222" s="385" t="s">
        <v>273</v>
      </c>
      <c r="D222" s="161"/>
      <c r="E222" s="109"/>
      <c r="F222" s="161"/>
      <c r="J222" s="12"/>
    </row>
    <row r="223" spans="1:14" s="1" customFormat="1" ht="15" customHeight="1">
      <c r="A223" s="109"/>
      <c r="B223" s="33"/>
      <c r="C223" s="374">
        <f>$I$133</f>
        <v>9440</v>
      </c>
      <c r="D223" s="161"/>
      <c r="E223" s="35"/>
      <c r="F223" s="161"/>
      <c r="G223" s="68"/>
      <c r="J223" s="12"/>
    </row>
    <row r="224" spans="1:14" s="1" customFormat="1" ht="15" customHeight="1">
      <c r="A224" s="109"/>
      <c r="B224" s="33"/>
      <c r="C224" s="363">
        <f>$J$133</f>
        <v>2</v>
      </c>
      <c r="D224" s="161"/>
      <c r="E224" s="35"/>
      <c r="F224" s="161"/>
      <c r="G224" s="384"/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384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385"/>
      <c r="D229" s="161"/>
      <c r="E229" s="109"/>
      <c r="F229" s="161"/>
      <c r="H229" s="109"/>
      <c r="I229" s="328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328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328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328"/>
      <c r="J232" s="117"/>
    </row>
    <row r="233" spans="1:10" s="1" customFormat="1" ht="15.9" customHeight="1">
      <c r="A233" s="44"/>
      <c r="B233" s="44"/>
      <c r="C233" s="89" t="s">
        <v>274</v>
      </c>
      <c r="D233" s="84"/>
      <c r="E233" s="44"/>
      <c r="F233" s="44"/>
      <c r="G233" s="109"/>
      <c r="H233" s="109"/>
      <c r="I233" s="328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9414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2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328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328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109"/>
      <c r="J242" s="24"/>
    </row>
    <row r="243" spans="1:10" s="1" customFormat="1" ht="15.9" customHeight="1">
      <c r="A243" s="109"/>
      <c r="B243" s="33"/>
      <c r="C243" s="89" t="s">
        <v>276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.9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" customHeight="1">
      <c r="A245" s="109"/>
      <c r="B245" s="33"/>
      <c r="C245" s="385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9440</v>
      </c>
      <c r="D246" s="161"/>
      <c r="E246" s="109"/>
      <c r="F246" s="161"/>
      <c r="G246" s="109"/>
      <c r="H246" s="109"/>
      <c r="I246" s="44"/>
      <c r="J246" s="119"/>
    </row>
    <row r="247" spans="1:10" s="1" customFormat="1" ht="15.9" customHeight="1">
      <c r="A247" s="109"/>
      <c r="B247" s="33"/>
      <c r="C247" s="363">
        <f>$J$135</f>
        <v>2</v>
      </c>
      <c r="D247" s="161"/>
      <c r="E247" s="109"/>
      <c r="F247" s="161"/>
      <c r="G247" s="109"/>
      <c r="H247" s="109"/>
      <c r="I247" s="32"/>
      <c r="J247" s="40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0"/>
      <c r="H251" s="109"/>
      <c r="I251" s="24"/>
      <c r="J251" s="24"/>
    </row>
    <row r="252" spans="1:10" s="1" customFormat="1" ht="15.9" customHeight="1">
      <c r="A252" s="109"/>
      <c r="B252" s="33"/>
      <c r="D252" s="161"/>
      <c r="E252" s="109"/>
      <c r="F252" s="109"/>
      <c r="G252" s="109"/>
      <c r="H252" s="109"/>
      <c r="I252" s="24"/>
      <c r="J252" s="24"/>
    </row>
    <row r="253" spans="1:10" s="1" customFormat="1" ht="15.9" customHeight="1">
      <c r="A253" s="44"/>
      <c r="B253" s="44"/>
      <c r="D253" s="84"/>
      <c r="E253" s="44"/>
      <c r="F253" s="44"/>
      <c r="G253" s="109"/>
      <c r="H253" s="109"/>
      <c r="I253" s="24"/>
      <c r="J253" s="24"/>
    </row>
    <row r="254" spans="1:10" s="1" customFormat="1" ht="15.9" customHeight="1">
      <c r="A254" s="40"/>
      <c r="B254" s="40"/>
      <c r="C254" s="89" t="s">
        <v>277</v>
      </c>
      <c r="D254" s="85"/>
      <c r="E254" s="40"/>
      <c r="F254" s="32"/>
      <c r="G254" s="109"/>
      <c r="I254" s="24"/>
      <c r="J254" s="24"/>
    </row>
    <row r="255" spans="1:10" s="1" customFormat="1" ht="15.9" customHeight="1">
      <c r="A255" s="27"/>
      <c r="B255" s="33"/>
      <c r="C255" s="328" t="s">
        <v>275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85" t="s">
        <v>273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74">
        <f>$I$136</f>
        <v>9440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63">
        <f>$J$136</f>
        <v>2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46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161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89" t="s">
        <v>278</v>
      </c>
      <c r="D264" s="161"/>
      <c r="E264" s="109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8" t="s">
        <v>379</v>
      </c>
      <c r="D265" s="328"/>
      <c r="E265" s="328"/>
      <c r="F265" s="109"/>
      <c r="G265" s="109"/>
      <c r="H265" s="109"/>
      <c r="I265" s="24"/>
      <c r="J265" s="24"/>
    </row>
    <row r="266" spans="1:10" s="1" customFormat="1" ht="15.9" customHeight="1">
      <c r="A266" s="27"/>
      <c r="B266" s="33"/>
      <c r="C266" s="385" t="s">
        <v>279</v>
      </c>
      <c r="D266" s="385"/>
      <c r="E266" s="385"/>
      <c r="F266" s="109"/>
      <c r="G266" s="109"/>
      <c r="H266" s="109"/>
      <c r="J266" s="12"/>
    </row>
    <row r="267" spans="1:10" s="1" customFormat="1" ht="15.9" customHeight="1">
      <c r="A267" s="27"/>
      <c r="B267" s="33"/>
      <c r="C267" s="374">
        <f>$I$137</f>
        <v>2600</v>
      </c>
      <c r="D267" s="161"/>
      <c r="E267" s="109"/>
      <c r="F267" s="109"/>
      <c r="G267" s="33"/>
      <c r="H267" s="33"/>
      <c r="J267" s="12"/>
    </row>
    <row r="268" spans="1:10" s="1" customFormat="1" ht="15.9" customHeight="1">
      <c r="A268" s="27"/>
      <c r="B268" s="33"/>
      <c r="C268" s="363">
        <f>$J$137+$J$138</f>
        <v>4</v>
      </c>
      <c r="D268" s="161"/>
      <c r="E268" s="10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D271" s="328"/>
      <c r="E271" s="328"/>
      <c r="F271" s="109"/>
      <c r="G271" s="109"/>
      <c r="H271" s="109"/>
      <c r="J271" s="12"/>
    </row>
    <row r="272" spans="1:10" s="1" customFormat="1" ht="15.9" customHeight="1">
      <c r="A272" s="27"/>
      <c r="B272" s="33"/>
      <c r="D272" s="328"/>
      <c r="E272" s="328"/>
      <c r="F272" s="109"/>
      <c r="G272" s="109"/>
      <c r="I272" s="24"/>
      <c r="J272" s="24"/>
    </row>
    <row r="273" spans="1:10" s="1" customFormat="1" ht="15.9" customHeight="1">
      <c r="A273" s="27"/>
      <c r="B273" s="33"/>
      <c r="C273" s="33"/>
      <c r="D273" s="161"/>
      <c r="E273" s="109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89" t="s">
        <v>280</v>
      </c>
      <c r="D274" s="162"/>
      <c r="E274" s="24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328" t="s">
        <v>649</v>
      </c>
      <c r="D275" s="328"/>
      <c r="E275" s="328"/>
      <c r="F275" s="109"/>
      <c r="G275" s="109"/>
      <c r="I275" s="109"/>
      <c r="J275" s="24"/>
    </row>
    <row r="276" spans="1:10" s="1" customFormat="1" ht="15.9" customHeight="1">
      <c r="A276" s="27"/>
      <c r="B276" s="33"/>
      <c r="C276" s="433" t="s">
        <v>650</v>
      </c>
      <c r="D276" s="385"/>
      <c r="E276" s="385"/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374">
        <f>$I$139</f>
        <v>2504</v>
      </c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363">
        <f>$J$139+$J$140</f>
        <v>4</v>
      </c>
      <c r="F278" s="109"/>
      <c r="G278" s="109"/>
      <c r="I278" s="109"/>
      <c r="J278" s="24"/>
    </row>
    <row r="279" spans="1:10" s="1" customFormat="1" ht="15.9" customHeight="1">
      <c r="A279" s="27"/>
      <c r="B279" s="33"/>
      <c r="F279" s="109"/>
      <c r="G279" s="109"/>
      <c r="H279" s="109"/>
      <c r="J279" s="12"/>
    </row>
    <row r="280" spans="1:10" s="1" customFormat="1" ht="15.9" customHeight="1">
      <c r="A280" s="27"/>
      <c r="B280" s="33"/>
      <c r="C280" s="33"/>
      <c r="D280" s="161"/>
      <c r="E280" s="109"/>
      <c r="F280" s="109"/>
      <c r="G280" s="109"/>
      <c r="H280" s="109"/>
      <c r="J280" s="12"/>
    </row>
    <row r="281" spans="1:10" s="1" customFormat="1" ht="15.9" customHeight="1">
      <c r="A281" s="27"/>
      <c r="B281" s="33"/>
      <c r="F281" s="109"/>
      <c r="G281" s="109"/>
      <c r="H281" s="109"/>
      <c r="J281" s="12"/>
    </row>
    <row r="282" spans="1:10" s="1" customFormat="1" ht="15.9" customHeight="1">
      <c r="A282" s="27"/>
      <c r="B282" s="33"/>
      <c r="F282" s="109"/>
      <c r="G282" s="109"/>
      <c r="H282" s="109"/>
      <c r="I282" s="162"/>
      <c r="J282" s="24"/>
    </row>
    <row r="283" spans="1:10" s="1" customFormat="1" ht="15.9" customHeight="1">
      <c r="A283" s="27"/>
      <c r="B283" s="33"/>
      <c r="C283" s="89" t="s">
        <v>283</v>
      </c>
      <c r="F283" s="109"/>
      <c r="G283" s="109"/>
      <c r="H283" s="109"/>
      <c r="I283" s="109"/>
      <c r="J283" s="24"/>
    </row>
    <row r="284" spans="1:10" s="1" customFormat="1" ht="15.9" customHeight="1">
      <c r="A284" s="27"/>
      <c r="B284" s="33"/>
      <c r="C284" s="94" t="s">
        <v>431</v>
      </c>
      <c r="D284" s="161"/>
      <c r="E284" s="109"/>
      <c r="F284" s="109"/>
      <c r="G284" s="109"/>
      <c r="H284" s="109"/>
      <c r="I284" s="24"/>
      <c r="J284" s="24"/>
    </row>
    <row r="285" spans="1:10" s="1" customFormat="1" ht="15.9" customHeight="1">
      <c r="A285" s="27"/>
      <c r="B285" s="33"/>
      <c r="C285" s="385" t="s">
        <v>432</v>
      </c>
      <c r="D285" s="161"/>
      <c r="E285" s="109"/>
      <c r="F285" s="109"/>
      <c r="G285" s="109"/>
      <c r="H285" s="109"/>
      <c r="I285" s="24"/>
      <c r="J285" s="24"/>
    </row>
    <row r="286" spans="1:10" s="1" customFormat="1" ht="15.9" customHeight="1">
      <c r="A286" s="27"/>
      <c r="B286" s="33"/>
      <c r="C286" s="328" t="s">
        <v>281</v>
      </c>
      <c r="D286" s="328"/>
      <c r="E286" s="328"/>
      <c r="F286" s="109"/>
      <c r="G286" s="109"/>
      <c r="I286" s="24"/>
      <c r="J286" s="24"/>
    </row>
    <row r="287" spans="1:10" s="23" customFormat="1" ht="15.9" customHeight="1">
      <c r="A287" s="27"/>
      <c r="B287" s="33"/>
      <c r="C287" s="385" t="s">
        <v>282</v>
      </c>
      <c r="D287" s="385"/>
      <c r="E287" s="385"/>
      <c r="F287" s="109"/>
      <c r="G287" s="109"/>
      <c r="H287" s="1"/>
      <c r="I287" s="109"/>
      <c r="J287" s="109"/>
    </row>
    <row r="288" spans="1:10" s="1" customFormat="1" ht="15.9" customHeight="1">
      <c r="A288" s="27"/>
      <c r="B288" s="33"/>
      <c r="C288" s="374">
        <f>$I$141</f>
        <v>672.4375</v>
      </c>
      <c r="F288" s="109"/>
      <c r="G288" s="109"/>
      <c r="I288" s="44"/>
      <c r="J288" s="119"/>
    </row>
    <row r="289" spans="1:10" s="1" customFormat="1" ht="15.9" customHeight="1">
      <c r="A289" s="27"/>
      <c r="B289" s="33"/>
      <c r="C289" s="363">
        <f>$J$141+$J$142</f>
        <v>48</v>
      </c>
      <c r="D289" s="161"/>
      <c r="E289" s="109"/>
      <c r="F289" s="109"/>
      <c r="G289" s="109"/>
      <c r="H289" s="161"/>
      <c r="I289" s="32"/>
      <c r="J289" s="40"/>
    </row>
    <row r="290" spans="1:10" s="1" customFormat="1" ht="15.9" customHeight="1">
      <c r="A290" s="27"/>
      <c r="B290" s="33"/>
      <c r="C290" s="374">
        <f>$I$143</f>
        <v>2508</v>
      </c>
      <c r="D290" s="161"/>
      <c r="E290" s="109"/>
      <c r="F290" s="109"/>
      <c r="G290" s="109"/>
      <c r="H290" s="109"/>
      <c r="I290" s="24"/>
      <c r="J290" s="24"/>
    </row>
    <row r="291" spans="1:10" s="1" customFormat="1" ht="15.9" customHeight="1">
      <c r="A291" s="27"/>
      <c r="B291" s="33"/>
      <c r="C291" s="363">
        <f>$J$143+$J$144+$J$145</f>
        <v>48</v>
      </c>
      <c r="D291" s="161"/>
      <c r="E291" s="109"/>
      <c r="F291" s="109"/>
      <c r="G291" s="109"/>
      <c r="H291" s="109"/>
      <c r="I291" s="24"/>
      <c r="J291" s="24"/>
    </row>
    <row r="292" spans="1:10" s="1" customFormat="1" ht="15.9" customHeight="1">
      <c r="A292" s="27"/>
      <c r="B292" s="33"/>
      <c r="C292" s="33"/>
      <c r="D292" s="161"/>
      <c r="E292" s="109"/>
      <c r="F292" s="109"/>
      <c r="G292" s="109"/>
      <c r="H292" s="109"/>
      <c r="I292" s="109"/>
      <c r="J292" s="24"/>
    </row>
    <row r="293" spans="1:10" s="1" customFormat="1" ht="15.9" customHeight="1">
      <c r="A293" s="27"/>
      <c r="B293" s="33"/>
      <c r="C293" s="23"/>
      <c r="D293" s="161"/>
      <c r="E293" s="109"/>
      <c r="F293" s="109"/>
      <c r="G293" s="109"/>
      <c r="H293" s="109"/>
      <c r="I293" s="109"/>
      <c r="J293" s="24"/>
    </row>
    <row r="294" spans="1:10" s="1" customFormat="1" ht="15.9" customHeight="1">
      <c r="A294" s="27"/>
      <c r="B294" s="33"/>
      <c r="C294" s="89" t="s">
        <v>284</v>
      </c>
      <c r="D294" s="161"/>
      <c r="E294" s="109"/>
      <c r="F294" s="109"/>
      <c r="G294" s="109"/>
      <c r="H294" s="109"/>
      <c r="I294" s="109"/>
      <c r="J294" s="24"/>
    </row>
    <row r="295" spans="1:10" s="1" customFormat="1" ht="15.9" customHeight="1">
      <c r="A295" s="27"/>
      <c r="B295" s="33"/>
      <c r="C295" s="94" t="s">
        <v>431</v>
      </c>
      <c r="D295" s="161"/>
      <c r="E295" s="109"/>
      <c r="F295" s="109"/>
      <c r="G295" s="44"/>
      <c r="H295" s="44"/>
      <c r="I295" s="109"/>
      <c r="J295" s="24"/>
    </row>
    <row r="296" spans="1:10" s="1" customFormat="1" ht="15.9" customHeight="1">
      <c r="A296" s="27"/>
      <c r="B296" s="33"/>
      <c r="C296" s="385" t="s">
        <v>433</v>
      </c>
      <c r="D296" s="328"/>
      <c r="E296" s="328"/>
      <c r="F296" s="109"/>
      <c r="G296" s="40"/>
      <c r="H296" s="32"/>
      <c r="I296" s="109"/>
      <c r="J296" s="24"/>
    </row>
    <row r="297" spans="1:10" s="1" customFormat="1" ht="15.9" customHeight="1">
      <c r="A297" s="41"/>
      <c r="B297" s="33"/>
      <c r="C297" s="328" t="s">
        <v>286</v>
      </c>
      <c r="D297" s="385"/>
      <c r="E297" s="385"/>
      <c r="F297" s="109"/>
      <c r="G297" s="109"/>
      <c r="H297" s="109"/>
      <c r="I297" s="109"/>
      <c r="J297" s="24"/>
    </row>
    <row r="298" spans="1:10" s="1" customFormat="1" ht="15.9" customHeight="1">
      <c r="A298" s="44"/>
      <c r="B298" s="44"/>
      <c r="C298" s="385" t="s">
        <v>285</v>
      </c>
      <c r="D298" s="86"/>
      <c r="E298" s="79"/>
      <c r="F298" s="44"/>
      <c r="G298" s="109"/>
      <c r="H298" s="109"/>
      <c r="I298" s="109"/>
      <c r="J298" s="24"/>
    </row>
    <row r="299" spans="1:10" s="1" customFormat="1" ht="15.9" customHeight="1">
      <c r="A299" s="40"/>
      <c r="B299" s="40"/>
      <c r="C299" s="374">
        <f>$I$146</f>
        <v>672.4375</v>
      </c>
      <c r="D299" s="87"/>
      <c r="E299" s="80"/>
      <c r="F299" s="32"/>
      <c r="G299" s="109"/>
      <c r="H299" s="109"/>
      <c r="I299" s="109"/>
      <c r="J299" s="24"/>
    </row>
    <row r="300" spans="1:10" s="1" customFormat="1" ht="15.9" customHeight="1">
      <c r="A300" s="109"/>
      <c r="B300" s="33"/>
      <c r="C300" s="363">
        <f>$J$146</f>
        <v>48</v>
      </c>
      <c r="D300" s="15"/>
      <c r="F300" s="109"/>
      <c r="G300" s="109"/>
      <c r="H300" s="109"/>
      <c r="I300" s="109"/>
      <c r="J300" s="24"/>
    </row>
    <row r="301" spans="1:10" s="1" customFormat="1" ht="15.9" customHeight="1">
      <c r="A301" s="109"/>
      <c r="B301" s="33"/>
      <c r="C301" s="374">
        <f>$I$147</f>
        <v>2358</v>
      </c>
      <c r="D301" s="15"/>
      <c r="F301" s="109"/>
      <c r="G301" s="109"/>
      <c r="H301" s="109"/>
      <c r="I301" s="109"/>
      <c r="J301" s="24"/>
    </row>
    <row r="302" spans="1:10" s="1" customFormat="1" ht="15.9" customHeight="1">
      <c r="A302" s="109"/>
      <c r="B302" s="33"/>
      <c r="C302" s="363">
        <f>$J$147</f>
        <v>48</v>
      </c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D305" s="15"/>
      <c r="F305" s="109"/>
      <c r="G305" s="109"/>
      <c r="H305" s="109"/>
      <c r="I305" s="109"/>
      <c r="J305" s="24"/>
    </row>
    <row r="306" spans="1:14" s="1" customFormat="1" ht="15.75" customHeight="1">
      <c r="A306" s="109"/>
      <c r="B306" s="33"/>
      <c r="C306" s="89"/>
      <c r="D306" s="161"/>
      <c r="E306" s="109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328"/>
      <c r="D307" s="328"/>
      <c r="E307" s="328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542"/>
      <c r="D308" s="542"/>
      <c r="E308" s="542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74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63"/>
      <c r="D310" s="328"/>
      <c r="E310" s="328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C311" s="328"/>
      <c r="D311" s="328"/>
      <c r="E311" s="328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C312" s="328"/>
      <c r="D312" s="328"/>
      <c r="E312" s="328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33"/>
      <c r="D314" s="162"/>
      <c r="E314" s="24"/>
      <c r="F314" s="109"/>
      <c r="G314" s="109"/>
      <c r="H314" s="109"/>
      <c r="I314" s="27"/>
      <c r="J314" s="99" t="str">
        <f>LEFT($J$111,14)&amp;"-03"</f>
        <v>FG-240-12P6L6R-03</v>
      </c>
    </row>
    <row r="315" spans="1:14" ht="12.75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30" customHeight="1">
      <c r="I316" s="95"/>
      <c r="J316" s="90" t="str">
        <f>$J$2</f>
        <v>HOMELIFE</v>
      </c>
      <c r="K316" s="11"/>
      <c r="L316" s="11"/>
      <c r="M316" s="2"/>
      <c r="N316" s="2"/>
    </row>
    <row r="317" spans="1:14" ht="24.9" customHeight="1">
      <c r="B317" s="279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279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s="1" customFormat="1" ht="15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  <c r="K320" s="4"/>
      <c r="L320" s="4"/>
      <c r="M320" s="4"/>
      <c r="N320" s="4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384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384"/>
      <c r="I331" s="161"/>
      <c r="J331" s="109"/>
    </row>
    <row r="332" spans="1:10" s="1" customFormat="1" ht="15" customHeight="1">
      <c r="A332" s="64" t="str">
        <f>A18</f>
        <v>240-12 Panel (6L6R)</v>
      </c>
      <c r="B332" s="92"/>
      <c r="C332" s="161"/>
      <c r="D332" s="161"/>
      <c r="E332" s="109"/>
      <c r="F332" s="384"/>
      <c r="G332" s="384"/>
      <c r="H332" s="384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92"/>
      <c r="C333" s="161"/>
      <c r="D333" s="161"/>
      <c r="E333" s="109"/>
      <c r="F333" s="384"/>
      <c r="G333" s="384"/>
      <c r="H333" s="384"/>
      <c r="I333" s="109"/>
      <c r="J333" s="109"/>
    </row>
    <row r="334" spans="1:10" s="1" customFormat="1" ht="15.9" customHeight="1">
      <c r="A334" s="109"/>
      <c r="B334" s="45"/>
      <c r="C334" s="42"/>
      <c r="D334" s="161"/>
      <c r="E334" s="109"/>
      <c r="F334" s="507"/>
      <c r="G334" s="507"/>
      <c r="H334" s="384"/>
      <c r="I334" s="109"/>
      <c r="J334" s="109"/>
    </row>
    <row r="335" spans="1:10" s="1" customFormat="1" ht="15.9" customHeight="1">
      <c r="A335" s="39"/>
      <c r="B335" s="109"/>
      <c r="C335" s="161"/>
      <c r="D335" s="161"/>
      <c r="E335" s="109"/>
      <c r="F335" s="37"/>
      <c r="G335" s="38"/>
      <c r="H335" s="109"/>
      <c r="I335" s="109"/>
      <c r="J335" s="109"/>
    </row>
    <row r="336" spans="1:10" s="1" customFormat="1" ht="15.9" customHeight="1">
      <c r="A336" s="44"/>
      <c r="C336" s="43"/>
      <c r="D336" s="161"/>
      <c r="E336" s="109"/>
      <c r="F336" s="109"/>
      <c r="G336" s="109"/>
      <c r="H336" s="109"/>
      <c r="I336" s="44"/>
      <c r="J336" s="119"/>
    </row>
    <row r="337" spans="1:10" s="1" customFormat="1" ht="15.9" customHeight="1">
      <c r="A337" s="40"/>
      <c r="C337" s="44"/>
      <c r="D337" s="84"/>
      <c r="E337" s="44"/>
      <c r="F337" s="44"/>
      <c r="G337" s="44"/>
      <c r="H337" s="44"/>
      <c r="I337" s="32"/>
      <c r="J337" s="40"/>
    </row>
    <row r="338" spans="1:10" s="1" customFormat="1" ht="15.9" customHeight="1">
      <c r="A338" s="109"/>
      <c r="C338" s="161"/>
      <c r="D338" s="85"/>
      <c r="E338" s="40"/>
      <c r="F338" s="32"/>
      <c r="G338" s="40"/>
      <c r="H338" s="32"/>
      <c r="I338" s="24"/>
      <c r="J338" s="24"/>
    </row>
    <row r="339" spans="1:10" s="1" customFormat="1" ht="15.9" customHeight="1">
      <c r="A339" s="109"/>
      <c r="C339" s="163"/>
      <c r="D339" s="161"/>
      <c r="E339" s="109"/>
      <c r="F339" s="161"/>
      <c r="G339" s="109"/>
      <c r="H339" s="109"/>
      <c r="I339" s="24"/>
      <c r="J339" s="24"/>
    </row>
    <row r="340" spans="1:10" s="1" customFormat="1" ht="15.9" customHeight="1">
      <c r="A340" s="109"/>
      <c r="B340" s="33"/>
      <c r="C340" s="161"/>
      <c r="D340" s="161"/>
      <c r="E340" s="109"/>
      <c r="F340" s="161"/>
      <c r="G340" s="109"/>
      <c r="H340" s="109"/>
      <c r="I340" s="162"/>
      <c r="J340" s="162"/>
    </row>
    <row r="341" spans="1:10" s="1" customFormat="1" ht="15.9" customHeight="1">
      <c r="A341" s="109"/>
      <c r="B341" s="33"/>
      <c r="C341" s="44"/>
      <c r="D341" s="161"/>
      <c r="E341" s="109"/>
      <c r="F341" s="161"/>
      <c r="G341" s="109"/>
      <c r="H341" s="162"/>
      <c r="I341" s="161"/>
      <c r="J341" s="161"/>
    </row>
    <row r="342" spans="1:10" s="1" customFormat="1" ht="15.9" customHeight="1">
      <c r="A342" s="109"/>
      <c r="B342" s="33"/>
      <c r="C342" s="42"/>
      <c r="D342" s="161"/>
      <c r="E342" s="109"/>
      <c r="F342" s="161"/>
      <c r="G342" s="109"/>
      <c r="H342" s="161"/>
      <c r="I342" s="161"/>
      <c r="J342" s="161"/>
    </row>
    <row r="343" spans="1:10" s="1" customFormat="1" ht="15.9" customHeight="1">
      <c r="A343" s="109"/>
      <c r="B343" s="33"/>
      <c r="C343" s="163"/>
      <c r="D343" s="161"/>
      <c r="E343" s="109"/>
      <c r="F343" s="161"/>
      <c r="G343" s="109"/>
      <c r="H343" s="161"/>
      <c r="I343" s="109"/>
      <c r="J343" s="24"/>
    </row>
    <row r="344" spans="1:10" s="1" customFormat="1" ht="15.9" customHeight="1">
      <c r="A344" s="109"/>
      <c r="B344" s="33"/>
      <c r="C344" s="161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44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3"/>
      <c r="D350" s="161"/>
      <c r="E350" s="109"/>
      <c r="F350" s="161"/>
      <c r="G350" s="109"/>
      <c r="H350" s="109"/>
      <c r="I350" s="109"/>
      <c r="J350" s="24"/>
    </row>
    <row r="351" spans="1:10" s="1" customFormat="1" ht="15.9" customHeight="1">
      <c r="A351" s="109"/>
      <c r="B351" s="33"/>
      <c r="C351" s="161"/>
      <c r="D351" s="161"/>
      <c r="E351" s="109"/>
      <c r="F351" s="161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1" customFormat="1" ht="15" customHeight="1">
      <c r="A353" s="109"/>
      <c r="B353" s="33"/>
      <c r="C353" s="33"/>
      <c r="D353" s="161"/>
      <c r="E353" s="109"/>
      <c r="F353" s="109"/>
      <c r="G353" s="109"/>
      <c r="H353" s="107"/>
      <c r="I353" s="24"/>
      <c r="J353" s="24"/>
    </row>
    <row r="354" spans="1:10" s="23" customFormat="1" ht="15.9" customHeight="1">
      <c r="A354" s="109"/>
      <c r="B354" s="33"/>
      <c r="C354" s="33"/>
      <c r="D354" s="161"/>
      <c r="E354" s="109"/>
      <c r="F354" s="109"/>
      <c r="G354" s="109"/>
      <c r="H354" s="109"/>
      <c r="I354" s="109"/>
      <c r="J354" s="109"/>
    </row>
    <row r="355" spans="1:10" s="1" customFormat="1" ht="15.9" customHeight="1">
      <c r="A355" s="44"/>
      <c r="B355" s="33"/>
      <c r="C355" s="33"/>
      <c r="D355" s="161"/>
      <c r="E355" s="109"/>
      <c r="F355" s="109"/>
      <c r="G355" s="109"/>
      <c r="H355" s="109"/>
      <c r="I355" s="44"/>
      <c r="J355" s="119"/>
    </row>
    <row r="356" spans="1:10" s="1" customFormat="1" ht="15.9" customHeight="1">
      <c r="A356" s="40"/>
      <c r="B356" s="44"/>
      <c r="C356" s="44"/>
      <c r="D356" s="84"/>
      <c r="E356" s="44"/>
      <c r="F356" s="44"/>
      <c r="G356" s="44"/>
      <c r="H356" s="44"/>
      <c r="I356" s="32"/>
      <c r="J356" s="40"/>
    </row>
    <row r="357" spans="1:10" s="1" customFormat="1" ht="15.9" customHeight="1">
      <c r="A357" s="27"/>
      <c r="B357" s="40"/>
      <c r="C357" s="44"/>
      <c r="D357" s="85"/>
      <c r="E357" s="40"/>
      <c r="F357" s="32"/>
      <c r="G357" s="40"/>
      <c r="H357" s="32"/>
      <c r="I357" s="24"/>
      <c r="J357" s="24"/>
    </row>
    <row r="358" spans="1:10" s="1" customFormat="1" ht="15.9" customHeight="1">
      <c r="A358" s="27"/>
      <c r="B358" s="33"/>
      <c r="C358" s="42"/>
      <c r="D358" s="161"/>
      <c r="E358" s="109"/>
      <c r="F358" s="109"/>
      <c r="G358" s="109"/>
      <c r="H358" s="42"/>
      <c r="I358" s="163"/>
      <c r="J358" s="163"/>
    </row>
    <row r="359" spans="1:10" s="1" customFormat="1" ht="15.9" customHeight="1">
      <c r="A359" s="27"/>
      <c r="B359" s="33"/>
      <c r="C359" s="163"/>
      <c r="D359" s="161"/>
      <c r="E359" s="109"/>
      <c r="F359" s="109"/>
      <c r="G359" s="109"/>
      <c r="H359" s="163"/>
      <c r="I359" s="161"/>
      <c r="J359" s="161"/>
    </row>
    <row r="360" spans="1:10" s="1" customFormat="1" ht="15.9" customHeight="1">
      <c r="A360" s="27"/>
      <c r="B360" s="33"/>
      <c r="C360" s="161"/>
      <c r="D360" s="161"/>
      <c r="E360" s="109"/>
      <c r="F360" s="109"/>
      <c r="G360" s="109"/>
      <c r="H360" s="161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46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161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D372" s="161"/>
      <c r="E372" s="109"/>
      <c r="F372" s="109"/>
      <c r="G372" s="33"/>
      <c r="H372" s="33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42"/>
      <c r="I376" s="163"/>
      <c r="J376" s="163"/>
    </row>
    <row r="377" spans="1:10" s="1" customFormat="1" ht="15.9" customHeight="1">
      <c r="A377" s="27"/>
      <c r="B377" s="33"/>
      <c r="C377" s="47"/>
      <c r="D377" s="161"/>
      <c r="E377" s="109"/>
      <c r="F377" s="109"/>
      <c r="G377" s="109"/>
      <c r="H377" s="163"/>
      <c r="I377" s="161"/>
      <c r="J377" s="161"/>
    </row>
    <row r="378" spans="1:10" s="1" customFormat="1" ht="15.9" customHeight="1">
      <c r="A378" s="27"/>
      <c r="B378" s="33"/>
      <c r="C378" s="46"/>
      <c r="D378" s="161"/>
      <c r="E378" s="109"/>
      <c r="F378" s="109"/>
      <c r="G378" s="109"/>
      <c r="H378" s="161"/>
      <c r="I378" s="24"/>
      <c r="J378" s="24"/>
    </row>
    <row r="379" spans="1:10" s="1" customFormat="1" ht="15.9" customHeight="1">
      <c r="A379" s="27"/>
      <c r="B379" s="33"/>
      <c r="C379" s="161"/>
      <c r="D379" s="161"/>
      <c r="E379" s="109"/>
      <c r="F379" s="109"/>
      <c r="G379" s="109"/>
      <c r="H379" s="42"/>
      <c r="I379" s="163"/>
      <c r="J379" s="163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3"/>
      <c r="I380" s="161"/>
      <c r="J380" s="161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1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64"/>
      <c r="J388" s="16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4"/>
      <c r="I389" s="165"/>
      <c r="J389" s="165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5"/>
      <c r="I390" s="161"/>
      <c r="J390" s="161"/>
    </row>
    <row r="391" spans="1:10" s="1" customFormat="1" ht="15.9" customHeight="1">
      <c r="A391" s="27"/>
      <c r="B391" s="33"/>
      <c r="C391" s="47"/>
      <c r="D391" s="161"/>
      <c r="E391" s="109"/>
      <c r="F391" s="109"/>
      <c r="G391" s="109"/>
      <c r="H391" s="161"/>
      <c r="I391" s="24"/>
      <c r="J391" s="24"/>
    </row>
    <row r="392" spans="1:10" s="1" customFormat="1" ht="15.9" customHeight="1">
      <c r="A392" s="27"/>
      <c r="B392" s="33"/>
      <c r="C392" s="46"/>
      <c r="D392" s="161"/>
      <c r="E392" s="109"/>
      <c r="F392" s="109"/>
      <c r="G392" s="109"/>
      <c r="H392" s="109"/>
      <c r="I392" s="109"/>
      <c r="J392" s="24"/>
    </row>
    <row r="393" spans="1:10" s="1" customFormat="1" ht="15.9" customHeight="1">
      <c r="A393" s="27"/>
      <c r="B393" s="33"/>
      <c r="C393" s="161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23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1" customFormat="1" ht="15.9" customHeight="1">
      <c r="A405" s="44"/>
      <c r="B405" s="33"/>
      <c r="C405" s="33"/>
      <c r="D405" s="161"/>
      <c r="E405" s="109"/>
      <c r="F405" s="109"/>
      <c r="G405" s="109"/>
      <c r="H405" s="109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75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109"/>
      <c r="B419" s="44"/>
      <c r="C419" s="44"/>
      <c r="D419" s="84"/>
      <c r="E419" s="44"/>
      <c r="F419" s="44"/>
      <c r="G419" s="44"/>
      <c r="H419" s="44"/>
      <c r="I419" s="24"/>
      <c r="J419" s="24"/>
      <c r="K419" s="71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LEFT($J$111,14)&amp;"-04"</f>
        <v>FG-240-12P6L6R-04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B423" s="33"/>
      <c r="C423" s="33"/>
      <c r="D423" s="161"/>
      <c r="E423" s="109"/>
      <c r="F423" s="109"/>
      <c r="G423" s="109"/>
      <c r="H423" s="109"/>
      <c r="I423" s="95"/>
      <c r="J423" s="90" t="str">
        <f>J2</f>
        <v>HOMELIFE</v>
      </c>
      <c r="K423" s="11"/>
      <c r="L423" s="11"/>
      <c r="M423" s="2"/>
      <c r="N423" s="2"/>
    </row>
    <row r="424" spans="1:14" ht="24.9" customHeight="1">
      <c r="B424" s="279"/>
      <c r="C424" s="5"/>
      <c r="D424" s="95"/>
      <c r="E424" s="95"/>
      <c r="F424" s="95"/>
      <c r="G424" s="95"/>
      <c r="H424" s="95"/>
      <c r="I424" s="28"/>
      <c r="J424" s="91" t="str">
        <f>J3</f>
        <v>Fabricators Guide</v>
      </c>
      <c r="K424" s="11"/>
      <c r="L424" s="11"/>
      <c r="M424" s="2"/>
      <c r="N424" s="2"/>
    </row>
    <row r="425" spans="1:14" ht="24.9" customHeight="1">
      <c r="B425" s="279"/>
      <c r="C425" s="28"/>
      <c r="D425" s="28"/>
      <c r="E425" s="28"/>
      <c r="F425" s="28"/>
      <c r="G425" s="28"/>
      <c r="H425" s="28"/>
      <c r="I425" s="28"/>
      <c r="J425" s="91" t="str">
        <f>J4</f>
        <v xml:space="preserve">240 Series Bi Fold Door </v>
      </c>
      <c r="K425" s="48"/>
      <c r="L425" s="48"/>
      <c r="M425" s="4"/>
      <c r="N425" s="4"/>
    </row>
    <row r="426" spans="1:14" s="1" customFormat="1" ht="15" customHeight="1" thickBot="1">
      <c r="A426" s="78"/>
      <c r="B426" s="8"/>
      <c r="C426" s="28"/>
      <c r="D426" s="28"/>
      <c r="E426" s="28"/>
      <c r="F426" s="28"/>
      <c r="G426" s="28"/>
      <c r="H426" s="2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  <c r="K427" s="4"/>
      <c r="L427" s="4"/>
      <c r="M427" s="4"/>
      <c r="N427" s="4"/>
    </row>
    <row r="428" spans="1:14" s="1" customFormat="1" ht="15" customHeight="1">
      <c r="A428" s="193"/>
      <c r="B428" s="194"/>
      <c r="C428" s="194"/>
      <c r="D428" s="194"/>
      <c r="E428" s="194"/>
      <c r="F428" s="194"/>
      <c r="G428" s="194"/>
      <c r="H428" s="194"/>
      <c r="I428" s="193"/>
      <c r="K428" s="56"/>
      <c r="L428" s="56"/>
      <c r="M428" s="56"/>
      <c r="N428" s="56"/>
    </row>
    <row r="429" spans="1:14" s="1" customFormat="1" ht="15" customHeight="1">
      <c r="A429" s="45"/>
      <c r="B429" s="193"/>
      <c r="C429" s="193"/>
      <c r="D429" s="193"/>
      <c r="E429" s="193"/>
      <c r="F429" s="193"/>
      <c r="G429" s="193"/>
      <c r="H429" s="193"/>
      <c r="I429" s="44"/>
      <c r="J429" s="119"/>
    </row>
    <row r="430" spans="1:14" s="1" customFormat="1" ht="15" customHeight="1">
      <c r="A430" s="109"/>
      <c r="B430" s="39"/>
      <c r="C430" s="33"/>
      <c r="D430" s="161"/>
      <c r="E430" s="35"/>
      <c r="F430" s="39"/>
      <c r="G430" s="193"/>
      <c r="H430" s="44"/>
      <c r="I430" s="44"/>
      <c r="J430" s="119"/>
    </row>
    <row r="431" spans="1:14" s="1" customFormat="1" ht="15" customHeight="1">
      <c r="A431" s="109"/>
      <c r="B431" s="33"/>
      <c r="C431" s="33"/>
      <c r="D431" s="161"/>
      <c r="E431" s="35"/>
      <c r="F431" s="161"/>
      <c r="G431" s="193"/>
      <c r="H431" s="44"/>
      <c r="I431" s="44"/>
      <c r="J431" s="119"/>
    </row>
    <row r="432" spans="1:14" s="1" customFormat="1" ht="15" customHeight="1">
      <c r="A432" s="109"/>
      <c r="B432" s="56"/>
      <c r="C432" s="56"/>
      <c r="D432" s="30"/>
      <c r="E432" s="29"/>
      <c r="F432" s="30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109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3"/>
      <c r="H434" s="44"/>
      <c r="I434" s="44"/>
      <c r="J434" s="119"/>
    </row>
    <row r="435" spans="1:10" s="1" customFormat="1" ht="15" customHeight="1">
      <c r="A435" s="109"/>
      <c r="B435" s="33"/>
      <c r="C435" s="161"/>
      <c r="D435" s="161"/>
      <c r="E435" s="35"/>
      <c r="F435" s="161"/>
      <c r="H435" s="44"/>
      <c r="I435" s="44"/>
      <c r="J435" s="119"/>
    </row>
    <row r="436" spans="1:10" s="1" customFormat="1" ht="15" customHeight="1">
      <c r="A436" s="39"/>
      <c r="B436" s="33"/>
      <c r="C436" s="42"/>
      <c r="D436" s="161"/>
      <c r="E436" s="109"/>
      <c r="F436" s="69"/>
      <c r="H436" s="44"/>
      <c r="I436" s="44"/>
      <c r="J436" s="119"/>
    </row>
    <row r="437" spans="1:10" s="1" customFormat="1" ht="15" customHeight="1">
      <c r="A437" s="92"/>
      <c r="B437" s="39"/>
      <c r="C437" s="163"/>
      <c r="D437" s="161"/>
      <c r="E437" s="109"/>
      <c r="F437" s="68"/>
      <c r="H437" s="44"/>
      <c r="I437" s="44"/>
      <c r="J437" s="119"/>
    </row>
    <row r="438" spans="1:10" s="1" customFormat="1" ht="15" customHeight="1">
      <c r="B438" s="92"/>
      <c r="C438" s="161"/>
      <c r="D438" s="161"/>
      <c r="E438" s="109"/>
      <c r="F438" s="384"/>
      <c r="H438" s="44"/>
      <c r="I438" s="44"/>
      <c r="J438" s="119"/>
    </row>
    <row r="439" spans="1:10" s="1" customFormat="1" ht="15" customHeight="1">
      <c r="A439" s="64" t="str">
        <f>A18</f>
        <v>240-12 Panel (6L6R)</v>
      </c>
      <c r="B439" s="92"/>
      <c r="C439" s="161"/>
      <c r="D439" s="161"/>
      <c r="E439" s="109"/>
      <c r="F439" s="384"/>
      <c r="H439" s="44"/>
      <c r="I439" s="44"/>
      <c r="J439" s="119"/>
    </row>
    <row r="440" spans="1:10" s="1" customFormat="1" ht="15.9" customHeight="1">
      <c r="A440" s="76" t="str">
        <f>A19</f>
        <v xml:space="preserve">Outside Bi Fold Door </v>
      </c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44"/>
      <c r="B442" s="38"/>
      <c r="C442" s="43"/>
      <c r="D442" s="161"/>
      <c r="E442" s="109"/>
      <c r="F442" s="109"/>
      <c r="H442" s="44"/>
      <c r="I442" s="44"/>
      <c r="J442" s="119"/>
    </row>
    <row r="443" spans="1:10" s="1" customFormat="1" ht="15.9" customHeight="1">
      <c r="A443" s="40"/>
      <c r="C443" s="44"/>
      <c r="D443" s="84"/>
      <c r="E443" s="44"/>
      <c r="F443" s="44"/>
      <c r="H443" s="44"/>
      <c r="I443" s="44"/>
      <c r="J443" s="119"/>
    </row>
    <row r="444" spans="1:10" s="1" customFormat="1" ht="35.1" customHeight="1">
      <c r="A444" s="109"/>
      <c r="C444" s="161"/>
      <c r="D444" s="85"/>
      <c r="E444" s="40"/>
      <c r="F444" s="32"/>
      <c r="H444" s="44"/>
      <c r="I444" s="24"/>
      <c r="J444" s="24"/>
    </row>
    <row r="445" spans="1:10" ht="15.6">
      <c r="B445" s="64"/>
      <c r="C445" s="163"/>
      <c r="D445" s="161"/>
      <c r="E445" s="109"/>
      <c r="F445" s="161"/>
      <c r="G445" s="109"/>
      <c r="H445" s="109"/>
    </row>
    <row r="450" spans="1:10" s="1" customFormat="1" ht="15.9" customHeight="1">
      <c r="A450" s="109"/>
      <c r="B450"/>
      <c r="C450"/>
      <c r="D450" s="81"/>
      <c r="E450"/>
      <c r="F450"/>
      <c r="G450"/>
      <c r="H450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44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1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163"/>
      <c r="D456" s="161"/>
      <c r="E456" s="109"/>
      <c r="F456" s="161"/>
      <c r="G456" s="109"/>
      <c r="H456" s="109"/>
      <c r="I456" s="109"/>
      <c r="J456" s="24"/>
    </row>
    <row r="457" spans="1:10" s="1" customFormat="1" ht="15.9" customHeight="1">
      <c r="A457" s="109"/>
      <c r="B457" s="33"/>
      <c r="C457" s="161"/>
      <c r="D457" s="161"/>
      <c r="E457" s="109"/>
      <c r="F457" s="161"/>
      <c r="G457" s="109"/>
      <c r="H457" s="109"/>
      <c r="I457" s="24"/>
      <c r="J457" s="24"/>
    </row>
    <row r="458" spans="1:10" s="1" customFormat="1" ht="15.9" customHeight="1">
      <c r="A458" s="109"/>
      <c r="B458" s="33"/>
      <c r="C458" s="33"/>
      <c r="D458" s="161"/>
      <c r="E458" s="109"/>
      <c r="F458" s="109"/>
      <c r="G458" s="109"/>
      <c r="H458" s="109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7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" customHeight="1">
      <c r="A476" s="109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23" customFormat="1" ht="15.9" customHeight="1">
      <c r="A477" s="109"/>
      <c r="B477" s="33"/>
      <c r="C477" s="33"/>
      <c r="D477" s="161"/>
      <c r="E477" s="109"/>
      <c r="F477" s="109"/>
      <c r="G477" s="109"/>
      <c r="H477" s="109"/>
      <c r="I477" s="109"/>
      <c r="J477" s="109"/>
    </row>
    <row r="478" spans="1:10" s="1" customFormat="1" ht="15.9" customHeight="1">
      <c r="A478" s="44"/>
      <c r="B478" s="33"/>
      <c r="C478" s="33"/>
      <c r="D478" s="161"/>
      <c r="E478" s="109"/>
      <c r="F478" s="109"/>
      <c r="G478" s="109"/>
      <c r="H478" s="109"/>
      <c r="I478" s="44"/>
      <c r="J478" s="119"/>
    </row>
    <row r="479" spans="1:10" s="1" customFormat="1" ht="15.9" customHeight="1">
      <c r="A479" s="40"/>
      <c r="B479" s="44"/>
      <c r="C479" s="44"/>
      <c r="D479" s="84"/>
      <c r="E479" s="44"/>
      <c r="F479" s="44"/>
      <c r="G479" s="44"/>
      <c r="H479" s="44"/>
      <c r="I479" s="32"/>
      <c r="J479" s="40"/>
    </row>
    <row r="480" spans="1:10" s="1" customFormat="1" ht="15.9" customHeight="1">
      <c r="A480" s="27"/>
      <c r="B480" s="40"/>
      <c r="C480" s="44"/>
      <c r="D480" s="85"/>
      <c r="E480" s="40"/>
      <c r="F480" s="32"/>
      <c r="G480" s="40"/>
      <c r="H480" s="32"/>
      <c r="I480" s="24"/>
      <c r="J480" s="24"/>
    </row>
    <row r="481" spans="1:10" s="1" customFormat="1" ht="15.9" customHeight="1">
      <c r="A481" s="27"/>
      <c r="B481" s="33"/>
      <c r="C481" s="42"/>
      <c r="D481" s="161"/>
      <c r="E481" s="109"/>
      <c r="F481" s="109"/>
      <c r="G481" s="109"/>
      <c r="H481" s="42"/>
      <c r="I481" s="67"/>
      <c r="J481" s="165"/>
    </row>
    <row r="482" spans="1:10" s="1" customFormat="1" ht="15.9" customHeight="1">
      <c r="A482" s="27"/>
      <c r="B482" s="33"/>
      <c r="C482" s="163"/>
      <c r="D482" s="161"/>
      <c r="E482" s="109"/>
      <c r="F482" s="109"/>
      <c r="G482" s="109"/>
      <c r="H482" s="67"/>
      <c r="I482" s="38"/>
      <c r="J482" s="109"/>
    </row>
    <row r="483" spans="1:10" s="1" customFormat="1" ht="15.9" customHeight="1">
      <c r="A483" s="27"/>
      <c r="B483" s="33"/>
      <c r="C483" s="161"/>
      <c r="D483" s="161"/>
      <c r="E483" s="109"/>
      <c r="F483" s="109"/>
      <c r="G483" s="109"/>
      <c r="H483" s="38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46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161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D495" s="161"/>
      <c r="E495" s="109"/>
      <c r="F495" s="109"/>
      <c r="G495" s="33"/>
      <c r="H495" s="33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42"/>
      <c r="I499" s="67"/>
      <c r="J499" s="165"/>
    </row>
    <row r="500" spans="1:10" s="1" customFormat="1" ht="15.9" customHeight="1">
      <c r="A500" s="27"/>
      <c r="B500" s="33"/>
      <c r="C500" s="47"/>
      <c r="D500" s="161"/>
      <c r="E500" s="109"/>
      <c r="F500" s="109"/>
      <c r="G500" s="109"/>
      <c r="H500" s="67"/>
      <c r="I500" s="38"/>
      <c r="J500" s="109"/>
    </row>
    <row r="501" spans="1:10" s="1" customFormat="1" ht="15.9" customHeight="1">
      <c r="A501" s="27"/>
      <c r="B501" s="33"/>
      <c r="C501" s="46"/>
      <c r="D501" s="161"/>
      <c r="E501" s="109"/>
      <c r="F501" s="109"/>
      <c r="G501" s="109"/>
      <c r="H501" s="38"/>
      <c r="I501" s="24"/>
      <c r="J501" s="24"/>
    </row>
    <row r="502" spans="1:10" s="1" customFormat="1" ht="15.9" customHeight="1">
      <c r="A502" s="27"/>
      <c r="B502" s="33"/>
      <c r="C502" s="161"/>
      <c r="D502" s="161"/>
      <c r="E502" s="109"/>
      <c r="F502" s="109"/>
      <c r="G502" s="109"/>
      <c r="H502" s="42"/>
      <c r="I502" s="67"/>
      <c r="J502" s="165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67"/>
      <c r="I503" s="38"/>
      <c r="J503" s="109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38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109"/>
      <c r="J512" s="24"/>
    </row>
    <row r="513" spans="1:22" s="1" customFormat="1" ht="15.75" customHeight="1">
      <c r="A513" s="44"/>
      <c r="B513" s="33"/>
      <c r="C513" s="33"/>
      <c r="D513" s="161"/>
      <c r="E513" s="109"/>
      <c r="F513" s="109"/>
      <c r="G513" s="109"/>
      <c r="H513" s="67"/>
      <c r="I513" s="44"/>
      <c r="J513" s="119"/>
    </row>
    <row r="514" spans="1:22" s="1" customFormat="1" ht="15.9" customHeight="1">
      <c r="A514" s="44"/>
      <c r="B514" s="44"/>
      <c r="C514" s="44"/>
      <c r="D514" s="84"/>
      <c r="E514" s="44"/>
      <c r="F514" s="44"/>
      <c r="G514" s="44"/>
      <c r="H514" s="44"/>
      <c r="I514" s="44"/>
      <c r="J514" s="119"/>
    </row>
    <row r="515" spans="1:22" s="1" customFormat="1" ht="15.9" customHeight="1">
      <c r="A515" s="44"/>
      <c r="B515" s="44"/>
      <c r="C515" s="44"/>
      <c r="D515" s="84"/>
      <c r="E515" s="44"/>
      <c r="F515" s="44"/>
      <c r="G515" s="44"/>
      <c r="H515" s="44"/>
      <c r="I515" s="44"/>
      <c r="J515" s="119"/>
    </row>
    <row r="516" spans="1:22" s="1" customFormat="1" ht="15.9" customHeight="1">
      <c r="B516" s="44"/>
      <c r="C516" s="44"/>
      <c r="D516" s="84"/>
      <c r="E516" s="44"/>
      <c r="F516" s="44"/>
      <c r="G516" s="44"/>
      <c r="H516" s="44"/>
    </row>
    <row r="517" spans="1:22" s="1" customFormat="1" ht="15.9" customHeight="1" thickBot="1"/>
    <row r="518" spans="1:22" s="1" customFormat="1" ht="24.9" customHeight="1" thickBot="1">
      <c r="A518" s="502" t="s">
        <v>401</v>
      </c>
      <c r="B518" s="503"/>
      <c r="C518" s="503"/>
      <c r="D518" s="503"/>
      <c r="E518" s="503"/>
      <c r="F518" s="503"/>
      <c r="G518" s="503"/>
      <c r="H518" s="503"/>
      <c r="I518" s="503"/>
      <c r="J518" s="504"/>
    </row>
    <row r="519" spans="1:22" s="1" customFormat="1" ht="35.1" customHeight="1" thickBot="1">
      <c r="A519" s="146" t="s">
        <v>2</v>
      </c>
      <c r="B519" s="147" t="s">
        <v>3</v>
      </c>
      <c r="C519" s="103" t="s">
        <v>3</v>
      </c>
      <c r="D519" s="104" t="s">
        <v>35</v>
      </c>
      <c r="E519" s="103" t="s">
        <v>5</v>
      </c>
      <c r="F519" s="387" t="s">
        <v>27</v>
      </c>
      <c r="G519" s="305"/>
      <c r="H519" s="104" t="s">
        <v>27</v>
      </c>
      <c r="I519" s="104" t="s">
        <v>26</v>
      </c>
      <c r="J519" s="115" t="s">
        <v>6</v>
      </c>
      <c r="N519" s="249" t="s">
        <v>3</v>
      </c>
      <c r="O519" s="249" t="s">
        <v>3</v>
      </c>
    </row>
    <row r="520" spans="1:22" s="1" customFormat="1" ht="15.9" customHeight="1">
      <c r="A520" s="150">
        <f>IF(C520="","",1)</f>
        <v>1</v>
      </c>
      <c r="B520" s="121" t="str">
        <f>IF($D$127=5,N520,IF($D$127=6,N521,IF($D$127=8,N522,IF($D$127=10,N523,IF($D$127=12,N524,IF($D$127=14,N525,IF($D$127=18,N526,IF($D$127=20,N527,IF($D$127=22,N528,)))))))))</f>
        <v>กระจก 6 mm (สูง) (กว้าง)</v>
      </c>
      <c r="C520" s="121" t="str">
        <f>IF($D$127=5,O520,IF($D$127=6,O521,IF($D$127=8,O522,IF($D$127=10,O523,IF($D$127=12,O524,IF($D$127=14,O525,IF($D$127=18,O526,IF($D$127=20,O527,IF($D$127=22,O528,)))))))))</f>
        <v>GLASS thk.6 mm (H) (W)</v>
      </c>
      <c r="D520" s="124">
        <f>$J$123-215</f>
        <v>2385</v>
      </c>
      <c r="E520" s="123" t="s">
        <v>11</v>
      </c>
      <c r="F520" s="527" t="s">
        <v>271</v>
      </c>
      <c r="G520" s="528"/>
      <c r="H520" s="123" t="s">
        <v>309</v>
      </c>
      <c r="I520" s="124">
        <f>(($J$126-185-(113.25*11))/12)-13</f>
        <v>659.4375</v>
      </c>
      <c r="J520" s="151">
        <f>$J$120*12</f>
        <v>24</v>
      </c>
      <c r="N520" s="19" t="s">
        <v>194</v>
      </c>
      <c r="O520" s="19" t="s">
        <v>195</v>
      </c>
    </row>
    <row r="521" spans="1:22" s="1" customFormat="1" ht="15.9" customHeight="1">
      <c r="A521" s="152"/>
      <c r="B521" s="127"/>
      <c r="C521" s="127"/>
      <c r="D521" s="128" t="s">
        <v>0</v>
      </c>
      <c r="E521" s="129"/>
      <c r="F521" s="155"/>
      <c r="G521" s="156"/>
      <c r="H521" s="127"/>
      <c r="I521" s="130"/>
      <c r="J521" s="153"/>
      <c r="N521" s="19" t="s">
        <v>53</v>
      </c>
      <c r="O521" s="19" t="s">
        <v>54</v>
      </c>
    </row>
    <row r="522" spans="1:22" s="1" customFormat="1" ht="15.9" customHeight="1">
      <c r="A522" s="152"/>
      <c r="B522" s="127"/>
      <c r="C522" s="127"/>
      <c r="D522" s="128"/>
      <c r="E522" s="129"/>
      <c r="F522" s="155"/>
      <c r="G522" s="156"/>
      <c r="H522" s="129"/>
      <c r="I522" s="130"/>
      <c r="J522" s="153"/>
      <c r="N522" s="19" t="s">
        <v>257</v>
      </c>
      <c r="O522" s="19" t="s">
        <v>258</v>
      </c>
    </row>
    <row r="523" spans="1:22" s="1" customFormat="1" ht="15.9" customHeight="1">
      <c r="A523" s="129" t="str">
        <f>IF(B523="","",+A521+1)</f>
        <v/>
      </c>
      <c r="B523" s="127"/>
      <c r="C523" s="127"/>
      <c r="D523" s="128"/>
      <c r="E523" s="129"/>
      <c r="F523" s="155"/>
      <c r="G523" s="386"/>
      <c r="H523" s="129"/>
      <c r="I523" s="144"/>
      <c r="J523" s="130"/>
      <c r="N523" s="19" t="s">
        <v>259</v>
      </c>
      <c r="O523" s="19" t="s">
        <v>265</v>
      </c>
    </row>
    <row r="524" spans="1:22" s="1" customFormat="1" ht="15.9" customHeight="1">
      <c r="A524" s="135" t="str">
        <f>IF(B524="","",+A523+1)</f>
        <v/>
      </c>
      <c r="B524" s="133"/>
      <c r="C524" s="133"/>
      <c r="D524" s="134"/>
      <c r="E524" s="135"/>
      <c r="F524" s="158"/>
      <c r="G524" s="159"/>
      <c r="H524" s="135"/>
      <c r="I524" s="145"/>
      <c r="J524" s="136"/>
      <c r="N524" s="19" t="s">
        <v>260</v>
      </c>
      <c r="O524" s="19" t="s">
        <v>266</v>
      </c>
    </row>
    <row r="525" spans="1:22" s="1" customFormat="1" ht="15.9" customHeight="1">
      <c r="A525" s="17"/>
      <c r="B525" s="56"/>
      <c r="C525" s="56"/>
      <c r="D525" s="30"/>
      <c r="E525" s="17"/>
      <c r="F525" s="17"/>
      <c r="G525" s="17"/>
      <c r="H525" s="109"/>
      <c r="I525" s="109"/>
      <c r="J525" s="24"/>
      <c r="N525" s="19" t="s">
        <v>261</v>
      </c>
      <c r="O525" s="19" t="s">
        <v>267</v>
      </c>
    </row>
    <row r="526" spans="1:22">
      <c r="H526" s="294"/>
      <c r="I526" s="294"/>
      <c r="J526" s="99" t="str">
        <f>LEFT($J$111,14)&amp;"-05"</f>
        <v>FG-240-12P6L6R-05</v>
      </c>
      <c r="M526" s="1"/>
      <c r="N526" s="19" t="s">
        <v>262</v>
      </c>
      <c r="O526" s="19" t="s">
        <v>268</v>
      </c>
      <c r="P526" s="1"/>
      <c r="Q526" s="1"/>
      <c r="R526" s="1"/>
      <c r="S526" s="1"/>
      <c r="T526" s="1"/>
      <c r="U526" s="1"/>
      <c r="V526" s="1"/>
    </row>
    <row r="527" spans="1:22">
      <c r="M527" s="1"/>
      <c r="N527" s="19" t="s">
        <v>263</v>
      </c>
      <c r="O527" s="19" t="s">
        <v>269</v>
      </c>
      <c r="P527" s="1"/>
      <c r="Q527" s="1"/>
      <c r="R527" s="1"/>
      <c r="S527" s="1"/>
      <c r="T527" s="1"/>
      <c r="U527" s="1"/>
      <c r="V527" s="1"/>
    </row>
    <row r="528" spans="1:22">
      <c r="N528" s="19" t="s">
        <v>264</v>
      </c>
      <c r="O528" s="19" t="s">
        <v>270</v>
      </c>
    </row>
  </sheetData>
  <sheetProtection selectLockedCells="1" selectUnlockedCells="1"/>
  <dataConsolidate function="product">
    <dataRefs count="1">
      <dataRef ref="N129:N131" sheet="240_7Panel(6L1R)" r:id="rId1"/>
    </dataRefs>
  </dataConsolidate>
  <mergeCells count="44">
    <mergeCell ref="A427:J427"/>
    <mergeCell ref="A518:J518"/>
    <mergeCell ref="F520:G520"/>
    <mergeCell ref="A213:J213"/>
    <mergeCell ref="C308:E308"/>
    <mergeCell ref="A320:J320"/>
    <mergeCell ref="F330:G330"/>
    <mergeCell ref="F331:G331"/>
    <mergeCell ref="F334:G334"/>
    <mergeCell ref="I166:J166"/>
    <mergeCell ref="A171:J171"/>
    <mergeCell ref="I164:J165"/>
    <mergeCell ref="I160:J163"/>
    <mergeCell ref="D157:D158"/>
    <mergeCell ref="H157:H158"/>
    <mergeCell ref="I157:J158"/>
    <mergeCell ref="I159:J159"/>
    <mergeCell ref="D159:D160"/>
    <mergeCell ref="D161:D165"/>
    <mergeCell ref="D166:D167"/>
    <mergeCell ref="H161:H165"/>
    <mergeCell ref="H159:H160"/>
    <mergeCell ref="H166:H167"/>
    <mergeCell ref="H126:I127"/>
    <mergeCell ref="J126:J127"/>
    <mergeCell ref="D127:G127"/>
    <mergeCell ref="I155:J155"/>
    <mergeCell ref="I156:J156"/>
    <mergeCell ref="D129:G129"/>
    <mergeCell ref="A131:J131"/>
    <mergeCell ref="I152:J152"/>
    <mergeCell ref="I153:J153"/>
    <mergeCell ref="I154:J154"/>
    <mergeCell ref="A6:J6"/>
    <mergeCell ref="A117:J117"/>
    <mergeCell ref="D119:G119"/>
    <mergeCell ref="H120:I121"/>
    <mergeCell ref="J120:J121"/>
    <mergeCell ref="D121:G121"/>
    <mergeCell ref="D123:G123"/>
    <mergeCell ref="H123:I124"/>
    <mergeCell ref="J123:J124"/>
    <mergeCell ref="A125:B125"/>
    <mergeCell ref="D125:G125"/>
  </mergeCells>
  <dataValidations count="4">
    <dataValidation type="list" allowBlank="1" showInputMessage="1" showErrorMessage="1" sqref="D129:G129">
      <formula1>$O$119</formula1>
    </dataValidation>
    <dataValidation type="list" allowBlank="1" showInputMessage="1" showErrorMessage="1" sqref="D127:G127">
      <formula1>$N$119:$N$127</formula1>
    </dataValidation>
    <dataValidation type="list" allowBlank="1" showInputMessage="1" showErrorMessage="1" sqref="D123:G123">
      <formula1>$P$118:$P$128</formula1>
    </dataValidation>
    <dataValidation type="list" allowBlank="1" showInputMessage="1" showErrorMessage="1" sqref="C206">
      <formula1>$O$173:$O$191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in="1" max="9" man="1"/>
    <brk id="207" min="1" max="9" man="1"/>
    <brk id="314" max="16383" man="1"/>
    <brk id="421" min="1" max="9" man="1"/>
  </rowBreaks>
  <drawing r:id="rId3"/>
  <legacyDrawing r:id="rId4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8">
    <tabColor theme="5" tint="-0.249977111117893"/>
  </sheetPr>
  <dimension ref="A1:AJ528"/>
  <sheetViews>
    <sheetView showGridLines="0" view="pageBreakPreview" topLeftCell="A118" zoomScale="75" zoomScaleNormal="75" zoomScaleSheetLayoutView="75" workbookViewId="0">
      <selection activeCell="I135" sqref="I135"/>
    </sheetView>
  </sheetViews>
  <sheetFormatPr defaultRowHeight="14.4" outlineLevelRow="1" outlineLevelCol="1"/>
  <cols>
    <col min="1" max="1" width="7" customWidth="1"/>
    <col min="2" max="2" width="40.6640625" customWidth="1"/>
    <col min="3" max="3" width="55.6640625" customWidth="1"/>
    <col min="4" max="4" width="13.44140625" style="81" customWidth="1"/>
    <col min="5" max="5" width="7.44140625" hidden="1" customWidth="1" outlineLevel="1"/>
    <col min="6" max="6" width="20.6640625" customWidth="1" collapsed="1"/>
    <col min="7" max="7" width="7.5546875" customWidth="1"/>
    <col min="8" max="8" width="29" bestFit="1" customWidth="1"/>
    <col min="9" max="9" width="15.109375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2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71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71"/>
      <c r="E3" s="271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210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/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>
      <c r="G55" s="10"/>
    </row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360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71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  <c r="N113" s="2"/>
    </row>
    <row r="114" spans="1:16" ht="24.9" customHeight="1">
      <c r="B114" s="271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  <c r="N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  <c r="N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  <c r="N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  <c r="N117" s="4"/>
    </row>
    <row r="118" spans="1:16" s="1" customFormat="1" ht="18">
      <c r="A118" s="12"/>
      <c r="C118" s="8"/>
      <c r="D118" s="15"/>
      <c r="E118" s="13"/>
      <c r="J118" s="273"/>
      <c r="K118" s="11"/>
      <c r="L118" s="56"/>
      <c r="M118" s="56"/>
      <c r="N118" s="247" t="s">
        <v>191</v>
      </c>
      <c r="O118" s="12" t="s">
        <v>227</v>
      </c>
      <c r="P118" s="247" t="s">
        <v>16</v>
      </c>
    </row>
    <row r="119" spans="1:16" s="1" customFormat="1" ht="15" customHeight="1">
      <c r="A119" s="12"/>
      <c r="C119" s="110" t="s">
        <v>635</v>
      </c>
      <c r="D119" s="524"/>
      <c r="E119" s="525"/>
      <c r="F119" s="525"/>
      <c r="G119" s="526"/>
      <c r="I119" s="16"/>
      <c r="J119" s="12"/>
      <c r="N119" s="247">
        <v>5</v>
      </c>
      <c r="O119" s="12" t="s">
        <v>243</v>
      </c>
      <c r="P119" s="335" t="s">
        <v>389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8">
        <v>6</v>
      </c>
      <c r="O120" s="12" t="s">
        <v>244</v>
      </c>
      <c r="P120" s="336" t="s">
        <v>390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8">
        <v>8</v>
      </c>
      <c r="P121" s="336" t="s">
        <v>391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8">
        <v>10</v>
      </c>
      <c r="P122" s="336" t="s">
        <v>392</v>
      </c>
    </row>
    <row r="123" spans="1:16" s="1" customFormat="1" ht="15" customHeight="1">
      <c r="A123" s="12"/>
      <c r="C123" s="110" t="s">
        <v>629</v>
      </c>
      <c r="D123" s="524" t="s">
        <v>15</v>
      </c>
      <c r="E123" s="525"/>
      <c r="F123" s="525"/>
      <c r="G123" s="526"/>
      <c r="H123" s="519" t="s">
        <v>638</v>
      </c>
      <c r="I123" s="520"/>
      <c r="J123" s="517">
        <v>2500</v>
      </c>
      <c r="N123" s="248">
        <v>12</v>
      </c>
      <c r="P123" s="335" t="s">
        <v>393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8">
        <v>14</v>
      </c>
      <c r="P124" s="335" t="s">
        <v>394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272"/>
      <c r="L125" s="77"/>
      <c r="N125" s="248">
        <v>18</v>
      </c>
      <c r="P125" s="335" t="s">
        <v>395</v>
      </c>
    </row>
    <row r="126" spans="1:16" s="1" customFormat="1" ht="15" customHeight="1">
      <c r="A126" s="273"/>
      <c r="B126" s="273"/>
      <c r="C126" s="423" t="s">
        <v>631</v>
      </c>
      <c r="D126" s="15"/>
      <c r="H126" s="519" t="s">
        <v>639</v>
      </c>
      <c r="I126" s="520"/>
      <c r="J126" s="517">
        <v>2000</v>
      </c>
      <c r="K126" s="272"/>
      <c r="L126" s="77"/>
      <c r="N126" s="248">
        <v>20</v>
      </c>
      <c r="P126" s="335" t="s">
        <v>396</v>
      </c>
    </row>
    <row r="127" spans="1:16" s="1" customFormat="1" ht="15" customHeight="1">
      <c r="A127" s="273"/>
      <c r="B127" s="273"/>
      <c r="C127" s="110" t="s">
        <v>633</v>
      </c>
      <c r="D127" s="534">
        <v>5</v>
      </c>
      <c r="E127" s="535"/>
      <c r="F127" s="535"/>
      <c r="G127" s="536"/>
      <c r="H127" s="520"/>
      <c r="I127" s="520"/>
      <c r="J127" s="518"/>
      <c r="N127" s="248">
        <v>22</v>
      </c>
      <c r="P127" s="335" t="s">
        <v>397</v>
      </c>
    </row>
    <row r="128" spans="1:16" s="1" customFormat="1" ht="18.75" customHeight="1">
      <c r="C128" s="423" t="s">
        <v>632</v>
      </c>
      <c r="I128" s="12"/>
      <c r="J128" s="12"/>
    </row>
    <row r="129" spans="1:23" s="1" customFormat="1" ht="15" customHeight="1">
      <c r="A129" s="88" t="str">
        <f>A18</f>
        <v>240-14 Panel (7L7R)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1940</v>
      </c>
      <c r="J133" s="125">
        <f t="shared" ref="J133:J151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28</v>
      </c>
      <c r="U133" s="283" t="s">
        <v>310</v>
      </c>
      <c r="V133" s="329">
        <f>($J$126-185-(113.25*13))/14</f>
        <v>24.482142857142858</v>
      </c>
      <c r="W133" s="286">
        <f>$J$120*T133</f>
        <v>28</v>
      </c>
    </row>
    <row r="134" spans="1:23" s="1" customFormat="1" ht="18" customHeight="1">
      <c r="A134" s="143">
        <f t="shared" ref="A134:A150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1914</v>
      </c>
      <c r="J134" s="131">
        <f t="shared" ref="J134:J139" si="2"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28</v>
      </c>
      <c r="U134" s="129" t="s">
        <v>310</v>
      </c>
      <c r="V134" s="330">
        <f t="shared" ref="V134:V135" si="3">($J$126-185-(113.25*13))/14</f>
        <v>24.482142857142858</v>
      </c>
      <c r="W134" s="131">
        <f t="shared" ref="W134:W135" si="4">$J$120*T134</f>
        <v>28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1940</v>
      </c>
      <c r="J135" s="131">
        <f t="shared" si="2"/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28</v>
      </c>
      <c r="U135" s="135" t="s">
        <v>310</v>
      </c>
      <c r="V135" s="331">
        <f t="shared" si="3"/>
        <v>24.482142857142858</v>
      </c>
      <c r="W135" s="293">
        <f t="shared" si="4"/>
        <v>28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1940</v>
      </c>
      <c r="J136" s="131">
        <f t="shared" si="2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28</v>
      </c>
      <c r="U136" s="283" t="s">
        <v>64</v>
      </c>
      <c r="V136" s="288">
        <f>$J$123-242</f>
        <v>2258</v>
      </c>
      <c r="W136" s="286">
        <f>$J$120*T136</f>
        <v>28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2500</v>
      </c>
      <c r="J137" s="131">
        <f t="shared" si="2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28</v>
      </c>
      <c r="U137" s="129" t="s">
        <v>64</v>
      </c>
      <c r="V137" s="130">
        <f>$J$123-242</f>
        <v>2258</v>
      </c>
      <c r="W137" s="131">
        <f t="shared" ref="W137:W138" si="5">$J$120*T137</f>
        <v>28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2500</v>
      </c>
      <c r="J138" s="131">
        <f t="shared" si="2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28</v>
      </c>
      <c r="U138" s="135" t="s">
        <v>64</v>
      </c>
      <c r="V138" s="136">
        <f>$J$123-242</f>
        <v>2258</v>
      </c>
      <c r="W138" s="293">
        <f t="shared" si="5"/>
        <v>28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2404</v>
      </c>
      <c r="J139" s="131">
        <f t="shared" si="2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2404</v>
      </c>
      <c r="J140" s="131">
        <f t="shared" ref="J140" si="6">$J$120*G140</f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14</v>
      </c>
      <c r="H141" s="268" t="s">
        <v>310</v>
      </c>
      <c r="I141" s="178">
        <f>($J$126-185-(113.25*13))/14</f>
        <v>24.482142857142858</v>
      </c>
      <c r="J141" s="131">
        <f t="shared" ref="J141:J150" si="7">$J$120*G141</f>
        <v>14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14</v>
      </c>
      <c r="H142" s="268" t="s">
        <v>310</v>
      </c>
      <c r="I142" s="178">
        <f>($J$126-185-(113.25*13))/14</f>
        <v>24.482142857142858</v>
      </c>
      <c r="J142" s="131">
        <f t="shared" si="7"/>
        <v>14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21</v>
      </c>
      <c r="H143" s="143" t="s">
        <v>63</v>
      </c>
      <c r="I143" s="130">
        <f>$J$123-92</f>
        <v>2408</v>
      </c>
      <c r="J143" s="131">
        <f t="shared" si="7"/>
        <v>21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3</v>
      </c>
      <c r="H144" s="143" t="s">
        <v>63</v>
      </c>
      <c r="I144" s="130">
        <f>$J$123-92</f>
        <v>2408</v>
      </c>
      <c r="J144" s="131">
        <f t="shared" si="7"/>
        <v>3</v>
      </c>
      <c r="N144" s="98"/>
    </row>
    <row r="145" spans="1:14" s="1" customFormat="1" ht="18" customHeight="1">
      <c r="A145" s="143">
        <f t="shared" si="1"/>
        <v>13</v>
      </c>
      <c r="B145" s="140" t="s">
        <v>8</v>
      </c>
      <c r="C145" s="140" t="s">
        <v>58</v>
      </c>
      <c r="D145" s="139" t="s">
        <v>50</v>
      </c>
      <c r="E145" s="143">
        <v>1.1060000000000001</v>
      </c>
      <c r="F145" s="139" t="s">
        <v>496</v>
      </c>
      <c r="G145" s="143">
        <v>3</v>
      </c>
      <c r="H145" s="143" t="s">
        <v>63</v>
      </c>
      <c r="I145" s="130">
        <f>$J$123-92</f>
        <v>2408</v>
      </c>
      <c r="J145" s="131">
        <f t="shared" si="7"/>
        <v>3</v>
      </c>
      <c r="N145" s="98"/>
    </row>
    <row r="146" spans="1:14" s="1" customFormat="1" ht="18" customHeight="1">
      <c r="A146" s="143">
        <f t="shared" si="1"/>
        <v>14</v>
      </c>
      <c r="B146" s="140" t="s">
        <v>116</v>
      </c>
      <c r="C146" s="140" t="s">
        <v>99</v>
      </c>
      <c r="D146" s="139" t="s">
        <v>50</v>
      </c>
      <c r="E146" s="143">
        <v>1.1060000000000001</v>
      </c>
      <c r="F146" s="139" t="s">
        <v>506</v>
      </c>
      <c r="G146" s="143">
        <v>1</v>
      </c>
      <c r="H146" s="143" t="s">
        <v>63</v>
      </c>
      <c r="I146" s="130">
        <f>$J$123-92</f>
        <v>2408</v>
      </c>
      <c r="J146" s="131">
        <f t="shared" si="7"/>
        <v>1</v>
      </c>
      <c r="N146" s="98"/>
    </row>
    <row r="147" spans="1:14" s="1" customFormat="1" ht="18" customHeight="1">
      <c r="A147" s="143">
        <f t="shared" si="1"/>
        <v>15</v>
      </c>
      <c r="B147" s="140" t="str">
        <f t="shared" ref="B147:I147" si="8">IF($D$127=5,O133,IF($D$127=6,O133,IF($D$127=8,O134,IF($D$127=10,O134,IF($D$127=12,O134,IF($D$127=14,O135,IF($D$127=18,O135,IF($D$127=20,O135,IF($D$127=22,O135,)))))))))</f>
        <v>5-6mm คิ้วตบกระจกแนวนอน</v>
      </c>
      <c r="C147" s="140" t="str">
        <f t="shared" si="8"/>
        <v>5-6mm GLAZING BEAD HORIZONTAL</v>
      </c>
      <c r="D147" s="140" t="str">
        <f t="shared" si="8"/>
        <v>B24008</v>
      </c>
      <c r="E147" s="140">
        <f t="shared" si="8"/>
        <v>0.23100000000000001</v>
      </c>
      <c r="F147" s="140" t="str">
        <f t="shared" si="8"/>
        <v>B24008-001</v>
      </c>
      <c r="G147" s="143">
        <f t="shared" si="8"/>
        <v>28</v>
      </c>
      <c r="H147" s="129" t="str">
        <f t="shared" si="8"/>
        <v>(W-185-(113.25 × 13))/14</v>
      </c>
      <c r="I147" s="178">
        <f t="shared" si="8"/>
        <v>24.482142857142858</v>
      </c>
      <c r="J147" s="131">
        <f t="shared" si="7"/>
        <v>28</v>
      </c>
      <c r="N147" s="98"/>
    </row>
    <row r="148" spans="1:14" s="1" customFormat="1" ht="18" customHeight="1">
      <c r="A148" s="143">
        <f t="shared" si="1"/>
        <v>16</v>
      </c>
      <c r="B148" s="140" t="str">
        <f t="shared" ref="B148:I148" si="9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40" t="str">
        <f t="shared" si="9"/>
        <v>5-6mm GLAZING BEAD VERTICAL</v>
      </c>
      <c r="D148" s="140" t="str">
        <f t="shared" si="9"/>
        <v>B24008</v>
      </c>
      <c r="E148" s="140">
        <f t="shared" si="9"/>
        <v>0.23100000000000001</v>
      </c>
      <c r="F148" s="140" t="str">
        <f t="shared" si="9"/>
        <v>B24008-002</v>
      </c>
      <c r="G148" s="143">
        <f t="shared" si="9"/>
        <v>28</v>
      </c>
      <c r="H148" s="129" t="str">
        <f t="shared" si="9"/>
        <v>H-242</v>
      </c>
      <c r="I148" s="144">
        <f t="shared" si="9"/>
        <v>2258</v>
      </c>
      <c r="J148" s="131">
        <f t="shared" si="7"/>
        <v>28</v>
      </c>
      <c r="N148" s="98"/>
    </row>
    <row r="149" spans="1:14" s="1" customFormat="1" ht="18" customHeight="1">
      <c r="A149" s="143">
        <f t="shared" si="1"/>
        <v>17</v>
      </c>
      <c r="B149" s="140" t="s">
        <v>125</v>
      </c>
      <c r="C149" s="140" t="s">
        <v>124</v>
      </c>
      <c r="D149" s="139" t="s">
        <v>123</v>
      </c>
      <c r="E149" s="143"/>
      <c r="F149" s="139" t="s">
        <v>362</v>
      </c>
      <c r="G149" s="143">
        <v>1</v>
      </c>
      <c r="H149" s="143" t="s">
        <v>63</v>
      </c>
      <c r="I149" s="130">
        <f>$J$123-92</f>
        <v>2408</v>
      </c>
      <c r="J149" s="131">
        <f t="shared" si="7"/>
        <v>1</v>
      </c>
      <c r="N149" s="98"/>
    </row>
    <row r="150" spans="1:14" s="1" customFormat="1" ht="18" customHeight="1">
      <c r="A150" s="143">
        <f t="shared" si="1"/>
        <v>18</v>
      </c>
      <c r="B150" s="140" t="s">
        <v>125</v>
      </c>
      <c r="C150" s="140" t="s">
        <v>124</v>
      </c>
      <c r="D150" s="139" t="s">
        <v>123</v>
      </c>
      <c r="E150" s="143"/>
      <c r="F150" s="139" t="s">
        <v>363</v>
      </c>
      <c r="G150" s="143">
        <v>1</v>
      </c>
      <c r="H150" s="143" t="s">
        <v>63</v>
      </c>
      <c r="I150" s="130">
        <f>$J$123-92</f>
        <v>2408</v>
      </c>
      <c r="J150" s="131">
        <f t="shared" si="7"/>
        <v>1</v>
      </c>
      <c r="N150" s="98"/>
    </row>
    <row r="151" spans="1:14" s="1" customFormat="1" ht="18" customHeight="1" thickBot="1">
      <c r="A151" s="143" t="str">
        <f>IF(B151="","",+A140+1)</f>
        <v/>
      </c>
      <c r="B151" s="167"/>
      <c r="C151" s="167"/>
      <c r="D151" s="168"/>
      <c r="E151" s="166"/>
      <c r="F151" s="168"/>
      <c r="G151" s="166"/>
      <c r="H151" s="166"/>
      <c r="I151" s="171"/>
      <c r="J151" s="172">
        <f t="shared" si="0"/>
        <v>0</v>
      </c>
    </row>
    <row r="152" spans="1:14" s="1" customFormat="1" ht="27" outlineLevel="1" thickBot="1">
      <c r="A152" s="169" t="s">
        <v>2</v>
      </c>
      <c r="B152" s="169" t="s">
        <v>29</v>
      </c>
      <c r="C152" s="169" t="s">
        <v>3</v>
      </c>
      <c r="D152" s="169" t="s">
        <v>4</v>
      </c>
      <c r="E152" s="169" t="s">
        <v>5</v>
      </c>
      <c r="F152" s="177" t="s">
        <v>85</v>
      </c>
      <c r="G152" s="169" t="s">
        <v>22</v>
      </c>
      <c r="H152" s="170" t="s">
        <v>23</v>
      </c>
      <c r="I152" s="540"/>
      <c r="J152" s="541"/>
    </row>
    <row r="153" spans="1:14" s="1" customFormat="1" ht="15" customHeight="1" outlineLevel="1">
      <c r="A153" s="21">
        <f>IF(B153="","",1)</f>
        <v>1</v>
      </c>
      <c r="B153" s="173" t="str">
        <f t="shared" ref="B153:C159" si="10">B133</f>
        <v>เฟรมบน</v>
      </c>
      <c r="C153" s="173" t="str">
        <f t="shared" si="10"/>
        <v>HEAD</v>
      </c>
      <c r="D153" s="174" t="str">
        <f>VLOOKUP(C153,$C$133:$H$151,2,0)</f>
        <v>B24001</v>
      </c>
      <c r="E153" s="175">
        <f t="shared" ref="E153:E159" si="11">VLOOKUP(C153,$C$133:$H$151,3,0)</f>
        <v>1.603</v>
      </c>
      <c r="F153" s="353">
        <f>VLOOKUP(C153,$C$133:$J$151,7,0)</f>
        <v>1940</v>
      </c>
      <c r="G153" s="175">
        <f t="shared" ref="G153:G159" si="12">VLOOKUP(C153,$C$133:$J$151,8,0)</f>
        <v>1</v>
      </c>
      <c r="H153" s="191">
        <f>ROUNDUP((F153*G153)/6400,0)</f>
        <v>1</v>
      </c>
      <c r="I153" s="501"/>
      <c r="J153" s="501"/>
    </row>
    <row r="154" spans="1:14" s="1" customFormat="1" ht="15" customHeight="1" outlineLevel="1">
      <c r="A154" s="18">
        <f t="shared" ref="A154" si="13">IF(B154="","",+A153+1)</f>
        <v>2</v>
      </c>
      <c r="B154" s="173" t="str">
        <f t="shared" si="10"/>
        <v>บังใบบน</v>
      </c>
      <c r="C154" s="173" t="str">
        <f t="shared" si="10"/>
        <v>DOOR STOP HEAD</v>
      </c>
      <c r="D154" s="174" t="str">
        <f>VLOOKUP(C154,$C$133:$H$151,2,0)</f>
        <v>B24002</v>
      </c>
      <c r="E154" s="175">
        <f t="shared" si="11"/>
        <v>0.27800000000000002</v>
      </c>
      <c r="F154" s="353">
        <f t="shared" ref="F154:F159" si="14">VLOOKUP(C154,$C$133:$I$151,7,0)</f>
        <v>1914</v>
      </c>
      <c r="G154" s="175">
        <f t="shared" si="12"/>
        <v>1</v>
      </c>
      <c r="H154" s="192">
        <f>ROUNDUP((F154*G154)/6400,0)</f>
        <v>1</v>
      </c>
      <c r="I154" s="501"/>
      <c r="J154" s="501"/>
    </row>
    <row r="155" spans="1:14" s="1" customFormat="1" ht="15" customHeight="1" outlineLevel="1">
      <c r="A155" s="18">
        <f t="shared" ref="A155:A159" si="15">IF(B155="","",+A154+1)</f>
        <v>3</v>
      </c>
      <c r="B155" s="173" t="str">
        <f t="shared" si="10"/>
        <v xml:space="preserve">เฟรมล่าง </v>
      </c>
      <c r="C155" s="173" t="str">
        <f t="shared" si="10"/>
        <v>SILL</v>
      </c>
      <c r="D155" s="174" t="str">
        <f>VLOOKUP(C155,$C$133:$H$151,2,0)</f>
        <v>B24003</v>
      </c>
      <c r="E155" s="175">
        <f t="shared" si="11"/>
        <v>1.603</v>
      </c>
      <c r="F155" s="353">
        <f t="shared" si="14"/>
        <v>1940</v>
      </c>
      <c r="G155" s="175">
        <f t="shared" si="12"/>
        <v>1</v>
      </c>
      <c r="H155" s="192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si="15"/>
        <v>4</v>
      </c>
      <c r="B156" s="173" t="str">
        <f t="shared" si="10"/>
        <v>ตัวตับธรณี</v>
      </c>
      <c r="C156" s="173" t="str">
        <f t="shared" si="10"/>
        <v>DOOR STOP SILL</v>
      </c>
      <c r="D156" s="174" t="str">
        <f>VLOOKUP(C156,$C$133:$H$151,2,0)</f>
        <v>B24004</v>
      </c>
      <c r="E156" s="175">
        <f t="shared" si="11"/>
        <v>0.51600000000000001</v>
      </c>
      <c r="F156" s="353">
        <f t="shared" si="14"/>
        <v>1940</v>
      </c>
      <c r="G156" s="175">
        <f t="shared" si="12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si="15"/>
        <v>5</v>
      </c>
      <c r="B157" s="173" t="str">
        <f t="shared" si="10"/>
        <v>เฟรมข้าง (ซ้าย)</v>
      </c>
      <c r="C157" s="173" t="str">
        <f t="shared" si="10"/>
        <v>JAMB (L)</v>
      </c>
      <c r="D157" s="508" t="str">
        <f>VLOOKUP(C157,$C$133:$H$151,2,0)</f>
        <v>B24005</v>
      </c>
      <c r="E157" s="175">
        <f t="shared" si="11"/>
        <v>0.89300000000000002</v>
      </c>
      <c r="F157" s="353">
        <f t="shared" si="14"/>
        <v>2500</v>
      </c>
      <c r="G157" s="175">
        <f t="shared" si="12"/>
        <v>1</v>
      </c>
      <c r="H157" s="516">
        <f>ROUNDUP(((F157*G157)+(F158*G158))/6400,0)</f>
        <v>1</v>
      </c>
      <c r="I157" s="506"/>
      <c r="J157" s="506"/>
    </row>
    <row r="158" spans="1:14" s="1" customFormat="1" ht="15" customHeight="1" outlineLevel="1">
      <c r="A158" s="18">
        <f t="shared" si="15"/>
        <v>6</v>
      </c>
      <c r="B158" s="173" t="str">
        <f t="shared" si="10"/>
        <v>เฟรมข้าง (ขวา)</v>
      </c>
      <c r="C158" s="173" t="str">
        <f t="shared" si="10"/>
        <v>JAMB (R)</v>
      </c>
      <c r="D158" s="509"/>
      <c r="E158" s="175">
        <f t="shared" si="11"/>
        <v>0.89300000000000002</v>
      </c>
      <c r="F158" s="353">
        <f t="shared" si="14"/>
        <v>2500</v>
      </c>
      <c r="G158" s="175">
        <f t="shared" si="12"/>
        <v>1</v>
      </c>
      <c r="H158" s="516"/>
      <c r="I158" s="506"/>
      <c r="J158" s="506"/>
    </row>
    <row r="159" spans="1:14" s="1" customFormat="1" ht="15" customHeight="1" outlineLevel="1">
      <c r="A159" s="18">
        <f t="shared" si="15"/>
        <v>7</v>
      </c>
      <c r="B159" s="173" t="str">
        <f t="shared" si="10"/>
        <v>บังใบข้าง (ซ้าย)</v>
      </c>
      <c r="C159" s="173" t="str">
        <f t="shared" si="10"/>
        <v>DOOR STOP JAMB (L)</v>
      </c>
      <c r="D159" s="508" t="str">
        <f>VLOOKUP(C159,$C$133:$H$151,2,0)</f>
        <v>B24006</v>
      </c>
      <c r="E159" s="175">
        <f t="shared" si="11"/>
        <v>0.23499999999999999</v>
      </c>
      <c r="F159" s="353">
        <f t="shared" si="14"/>
        <v>2404</v>
      </c>
      <c r="G159" s="175">
        <f t="shared" si="12"/>
        <v>1</v>
      </c>
      <c r="H159" s="516">
        <f>ROUNDUP(((F159*G159)+(F160*G160))/6400,0)</f>
        <v>1</v>
      </c>
      <c r="I159" s="501"/>
      <c r="J159" s="501"/>
    </row>
    <row r="160" spans="1:14" s="1" customFormat="1" ht="15" customHeight="1" outlineLevel="1">
      <c r="A160" s="18">
        <f t="shared" ref="A160:A170" si="16">IF(B160="","",+A159+1)</f>
        <v>8</v>
      </c>
      <c r="B160" s="173" t="str">
        <f t="shared" ref="B160:C160" si="17">B140</f>
        <v>บังใบข้าง (ขวา)</v>
      </c>
      <c r="C160" s="173" t="str">
        <f t="shared" si="17"/>
        <v>DOOR STOP JAMB (R)</v>
      </c>
      <c r="D160" s="509"/>
      <c r="E160" s="175">
        <f t="shared" ref="E160:E170" si="18">VLOOKUP(C160,$C$133:$H$151,3,0)</f>
        <v>0.23499999999999999</v>
      </c>
      <c r="F160" s="353">
        <f t="shared" ref="F160:F170" si="19">VLOOKUP(C160,$C$133:$I$151,7,0)</f>
        <v>2404</v>
      </c>
      <c r="G160" s="175">
        <f t="shared" ref="G160:G170" si="20">VLOOKUP(C160,$C$133:$J$151,8,0)</f>
        <v>1</v>
      </c>
      <c r="H160" s="516"/>
      <c r="I160" s="506"/>
      <c r="J160" s="506"/>
    </row>
    <row r="161" spans="1:36" s="1" customFormat="1" ht="13.8" outlineLevel="1">
      <c r="A161" s="18">
        <f t="shared" si="16"/>
        <v>9</v>
      </c>
      <c r="B161" s="173" t="str">
        <f t="shared" ref="B161:C161" si="21">B141</f>
        <v>ขวางบน</v>
      </c>
      <c r="C161" s="173" t="str">
        <f t="shared" si="21"/>
        <v>SASH (Hor) (T)</v>
      </c>
      <c r="D161" s="508" t="str">
        <f t="shared" ref="D161:D169" si="22">VLOOKUP(C161,$C$133:$H$151,2,0)</f>
        <v>B24007</v>
      </c>
      <c r="E161" s="175">
        <f t="shared" si="18"/>
        <v>1.1060000000000001</v>
      </c>
      <c r="F161" s="353">
        <f t="shared" si="19"/>
        <v>24.482142857142858</v>
      </c>
      <c r="G161" s="175">
        <f t="shared" si="20"/>
        <v>14</v>
      </c>
      <c r="H161" s="512">
        <f>ROUNDUP(((F161*G161)+(F162*G162)+(F163*G163)+(F164*G164)+(F165*G165)+(F166*G166))/6400,0)</f>
        <v>11</v>
      </c>
      <c r="I161" s="506"/>
      <c r="J161" s="506"/>
    </row>
    <row r="162" spans="1:36" s="1" customFormat="1" ht="13.8" outlineLevel="1">
      <c r="A162" s="18">
        <f t="shared" si="16"/>
        <v>10</v>
      </c>
      <c r="B162" s="173" t="str">
        <f t="shared" ref="B162:C162" si="23">B142</f>
        <v>ขวางล่าง</v>
      </c>
      <c r="C162" s="173" t="str">
        <f t="shared" si="23"/>
        <v>SASH (Hor) (B)</v>
      </c>
      <c r="D162" s="510"/>
      <c r="E162" s="175">
        <f t="shared" si="18"/>
        <v>1.1060000000000001</v>
      </c>
      <c r="F162" s="353">
        <f t="shared" si="19"/>
        <v>24.482142857142858</v>
      </c>
      <c r="G162" s="175">
        <f t="shared" si="20"/>
        <v>14</v>
      </c>
      <c r="H162" s="514"/>
      <c r="I162" s="506"/>
      <c r="J162" s="506"/>
    </row>
    <row r="163" spans="1:36" s="1" customFormat="1" ht="13.8" outlineLevel="1">
      <c r="A163" s="18">
        <f t="shared" si="16"/>
        <v>11</v>
      </c>
      <c r="B163" s="173" t="str">
        <f t="shared" ref="B163:C163" si="24">B143</f>
        <v>เสา</v>
      </c>
      <c r="C163" s="173" t="str">
        <f t="shared" si="24"/>
        <v xml:space="preserve">SASH (Ver) </v>
      </c>
      <c r="D163" s="510"/>
      <c r="E163" s="175">
        <f t="shared" si="18"/>
        <v>1.1060000000000001</v>
      </c>
      <c r="F163" s="353">
        <f t="shared" si="19"/>
        <v>2408</v>
      </c>
      <c r="G163" s="175">
        <f t="shared" si="20"/>
        <v>21</v>
      </c>
      <c r="H163" s="514"/>
      <c r="I163" s="506"/>
      <c r="J163" s="506"/>
    </row>
    <row r="164" spans="1:36" s="1" customFormat="1" ht="13.8" outlineLevel="1">
      <c r="A164" s="18">
        <f t="shared" si="16"/>
        <v>12</v>
      </c>
      <c r="B164" s="173" t="str">
        <f t="shared" ref="B164:C164" si="25">B144</f>
        <v>เสากุญแจ</v>
      </c>
      <c r="C164" s="173" t="str">
        <f t="shared" si="25"/>
        <v xml:space="preserve">SASH (Ver) LOCK </v>
      </c>
      <c r="D164" s="510"/>
      <c r="E164" s="175">
        <f t="shared" si="18"/>
        <v>1.1060000000000001</v>
      </c>
      <c r="F164" s="353">
        <f t="shared" si="19"/>
        <v>2408</v>
      </c>
      <c r="G164" s="175">
        <f t="shared" si="20"/>
        <v>3</v>
      </c>
      <c r="H164" s="514"/>
      <c r="I164" s="506"/>
      <c r="J164" s="506"/>
    </row>
    <row r="165" spans="1:36" s="1" customFormat="1" ht="13.8" outlineLevel="1">
      <c r="A165" s="18">
        <f t="shared" si="16"/>
        <v>13</v>
      </c>
      <c r="B165" s="173" t="str">
        <f t="shared" ref="B165:C165" si="26">B145</f>
        <v>เสากุญแจ</v>
      </c>
      <c r="C165" s="173" t="str">
        <f t="shared" si="26"/>
        <v xml:space="preserve">SASH (Ver) LOCK </v>
      </c>
      <c r="D165" s="510"/>
      <c r="E165" s="175">
        <f t="shared" si="18"/>
        <v>1.1060000000000001</v>
      </c>
      <c r="F165" s="353">
        <f t="shared" si="19"/>
        <v>2408</v>
      </c>
      <c r="G165" s="175">
        <f t="shared" si="20"/>
        <v>3</v>
      </c>
      <c r="H165" s="514"/>
      <c r="I165" s="506"/>
      <c r="J165" s="506"/>
    </row>
    <row r="166" spans="1:36" s="1" customFormat="1" ht="15" customHeight="1" outlineLevel="1">
      <c r="A166" s="18">
        <f t="shared" si="16"/>
        <v>14</v>
      </c>
      <c r="B166" s="173" t="str">
        <f t="shared" ref="B166:C166" si="27">B146</f>
        <v>เสากุญแจมือจับ</v>
      </c>
      <c r="C166" s="173" t="str">
        <f t="shared" si="27"/>
        <v>SASH (Ver) LOCK HANDLE</v>
      </c>
      <c r="D166" s="509"/>
      <c r="E166" s="175">
        <f t="shared" si="18"/>
        <v>1.1060000000000001</v>
      </c>
      <c r="F166" s="353">
        <f t="shared" si="19"/>
        <v>2408</v>
      </c>
      <c r="G166" s="175">
        <f t="shared" si="20"/>
        <v>1</v>
      </c>
      <c r="H166" s="515"/>
      <c r="I166" s="501"/>
      <c r="J166" s="501"/>
    </row>
    <row r="167" spans="1:36" s="1" customFormat="1" ht="15" customHeight="1" outlineLevel="1">
      <c r="A167" s="18">
        <f t="shared" si="16"/>
        <v>15</v>
      </c>
      <c r="B167" s="173" t="str">
        <f t="shared" ref="B167:C167" si="28">B147</f>
        <v>5-6mm คิ้วตบกระจกแนวนอน</v>
      </c>
      <c r="C167" s="173" t="str">
        <f t="shared" si="28"/>
        <v>5-6mm GLAZING BEAD HORIZONTAL</v>
      </c>
      <c r="D167" s="508" t="str">
        <f t="shared" si="22"/>
        <v>B24008</v>
      </c>
      <c r="E167" s="175">
        <f t="shared" si="18"/>
        <v>0.23100000000000001</v>
      </c>
      <c r="F167" s="353">
        <f t="shared" si="19"/>
        <v>24.482142857142858</v>
      </c>
      <c r="G167" s="175">
        <f t="shared" si="20"/>
        <v>28</v>
      </c>
      <c r="H167" s="516">
        <f>ROUNDUP(((F167*G167)+(F168*G168))/6400,0)</f>
        <v>10</v>
      </c>
      <c r="I167" s="269"/>
      <c r="J167" s="269"/>
    </row>
    <row r="168" spans="1:36" s="1" customFormat="1" ht="15" customHeight="1" outlineLevel="1">
      <c r="A168" s="18">
        <f t="shared" si="16"/>
        <v>16</v>
      </c>
      <c r="B168" s="173" t="str">
        <f t="shared" ref="B168:C168" si="29">B148</f>
        <v>5-6mm คิ้วตบกระจกแนวตั้ง</v>
      </c>
      <c r="C168" s="173" t="str">
        <f t="shared" si="29"/>
        <v>5-6mm GLAZING BEAD VERTICAL</v>
      </c>
      <c r="D168" s="509"/>
      <c r="E168" s="175">
        <f t="shared" si="18"/>
        <v>0.23100000000000001</v>
      </c>
      <c r="F168" s="353">
        <f t="shared" si="19"/>
        <v>2258</v>
      </c>
      <c r="G168" s="175">
        <f t="shared" si="20"/>
        <v>28</v>
      </c>
      <c r="H168" s="516"/>
      <c r="I168" s="269"/>
      <c r="J168" s="269"/>
    </row>
    <row r="169" spans="1:36" s="1" customFormat="1" ht="13.8" outlineLevel="1">
      <c r="A169" s="18">
        <f t="shared" si="16"/>
        <v>17</v>
      </c>
      <c r="B169" s="173" t="str">
        <f t="shared" ref="B169:C169" si="30">B149</f>
        <v>บังใบ</v>
      </c>
      <c r="C169" s="173" t="str">
        <f t="shared" si="30"/>
        <v>SASH STOP</v>
      </c>
      <c r="D169" s="508" t="str">
        <f t="shared" si="22"/>
        <v>B24009</v>
      </c>
      <c r="E169" s="175">
        <f t="shared" si="18"/>
        <v>0</v>
      </c>
      <c r="F169" s="353">
        <f t="shared" si="19"/>
        <v>2408</v>
      </c>
      <c r="G169" s="175">
        <f t="shared" si="20"/>
        <v>1</v>
      </c>
      <c r="H169" s="516">
        <f>ROUNDUP(((F169*G169)+(F170*G170))/6400,0)</f>
        <v>1</v>
      </c>
      <c r="I169" s="269"/>
      <c r="J169" s="269"/>
    </row>
    <row r="170" spans="1:36" s="23" customFormat="1" ht="15" customHeight="1" outlineLevel="1" thickBot="1">
      <c r="A170" s="18">
        <f t="shared" si="16"/>
        <v>18</v>
      </c>
      <c r="B170" s="173" t="str">
        <f t="shared" ref="B170:C170" si="31">B150</f>
        <v>บังใบ</v>
      </c>
      <c r="C170" s="173" t="str">
        <f t="shared" si="31"/>
        <v>SASH STOP</v>
      </c>
      <c r="D170" s="511"/>
      <c r="E170" s="175">
        <f t="shared" si="18"/>
        <v>0</v>
      </c>
      <c r="F170" s="353">
        <f t="shared" si="19"/>
        <v>2408</v>
      </c>
      <c r="G170" s="175">
        <f t="shared" si="20"/>
        <v>1</v>
      </c>
      <c r="H170" s="516"/>
      <c r="I170" s="500"/>
      <c r="J170" s="50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s="1" customFormat="1" ht="24.9" customHeight="1" thickBot="1">
      <c r="A171" s="529" t="s">
        <v>9</v>
      </c>
      <c r="B171" s="530"/>
      <c r="C171" s="530"/>
      <c r="D171" s="530"/>
      <c r="E171" s="530"/>
      <c r="F171" s="530"/>
      <c r="G171" s="530"/>
      <c r="H171" s="530"/>
      <c r="I171" s="530"/>
      <c r="J171" s="531"/>
    </row>
    <row r="172" spans="1:36" s="1" customFormat="1" ht="35.1" customHeight="1" thickBot="1">
      <c r="A172" s="102" t="s">
        <v>2</v>
      </c>
      <c r="B172" s="103" t="s">
        <v>29</v>
      </c>
      <c r="C172" s="103" t="s">
        <v>3</v>
      </c>
      <c r="D172" s="103" t="s">
        <v>199</v>
      </c>
      <c r="E172" s="103" t="s">
        <v>5</v>
      </c>
      <c r="F172" s="104" t="s">
        <v>28</v>
      </c>
      <c r="G172" s="103" t="s">
        <v>19</v>
      </c>
      <c r="H172" s="104" t="s">
        <v>200</v>
      </c>
      <c r="I172" s="104" t="s">
        <v>20</v>
      </c>
      <c r="J172" s="115" t="s">
        <v>201</v>
      </c>
      <c r="N172" s="101" t="s">
        <v>191</v>
      </c>
      <c r="O172" s="246" t="s">
        <v>29</v>
      </c>
      <c r="P172" s="246" t="s">
        <v>3</v>
      </c>
      <c r="Q172" s="246" t="s">
        <v>199</v>
      </c>
      <c r="R172" s="246" t="s">
        <v>5</v>
      </c>
      <c r="S172" s="246" t="s">
        <v>28</v>
      </c>
      <c r="T172" s="246" t="s">
        <v>19</v>
      </c>
      <c r="U172" s="246" t="s">
        <v>200</v>
      </c>
      <c r="V172" s="246" t="s">
        <v>20</v>
      </c>
      <c r="W172" s="246" t="s">
        <v>201</v>
      </c>
    </row>
    <row r="173" spans="1:36" s="1" customFormat="1" ht="18" customHeight="1">
      <c r="A173" s="200">
        <f>IF(B173="","",1)</f>
        <v>1</v>
      </c>
      <c r="B173" s="140" t="s">
        <v>111</v>
      </c>
      <c r="C173" s="140" t="s">
        <v>67</v>
      </c>
      <c r="D173" s="139" t="s">
        <v>74</v>
      </c>
      <c r="E173" s="143"/>
      <c r="F173" s="143" t="s">
        <v>74</v>
      </c>
      <c r="G173" s="143" t="s">
        <v>202</v>
      </c>
      <c r="H173" s="143">
        <v>26</v>
      </c>
      <c r="I173" s="130"/>
      <c r="J173" s="131">
        <f>$J$120*H173</f>
        <v>26</v>
      </c>
      <c r="N173" s="101" t="s">
        <v>226</v>
      </c>
      <c r="O173" s="280" t="s">
        <v>252</v>
      </c>
      <c r="P173" s="290" t="s">
        <v>248</v>
      </c>
      <c r="Q173" s="280" t="s">
        <v>69</v>
      </c>
      <c r="R173" s="213"/>
      <c r="S173" s="213" t="s">
        <v>69</v>
      </c>
      <c r="T173" s="213" t="s">
        <v>198</v>
      </c>
      <c r="U173" s="291">
        <f>((($I$141*$G$141)+($I$142*$G$142)+($I$143*$G$143)+($I$144*$G$144)+($I$145*$G$145)+($I$146*$G$146))/1000)*$J$120</f>
        <v>68.109499999999997</v>
      </c>
      <c r="V173" s="291">
        <v>100</v>
      </c>
      <c r="W173" s="292">
        <f>ROUNDUP((U173)/100,0)</f>
        <v>1</v>
      </c>
    </row>
    <row r="174" spans="1:36" s="1" customFormat="1" ht="18" customHeight="1">
      <c r="A174" s="201">
        <f>IF(B174="","",+A173+1)</f>
        <v>2</v>
      </c>
      <c r="B174" s="140" t="s">
        <v>106</v>
      </c>
      <c r="C174" s="140" t="s">
        <v>503</v>
      </c>
      <c r="D174" s="139" t="s">
        <v>75</v>
      </c>
      <c r="E174" s="143"/>
      <c r="F174" s="143" t="s">
        <v>75</v>
      </c>
      <c r="G174" s="143" t="s">
        <v>202</v>
      </c>
      <c r="H174" s="143">
        <v>2</v>
      </c>
      <c r="I174" s="130"/>
      <c r="J174" s="131">
        <f t="shared" ref="J174:J182" si="32">$J$120*H174</f>
        <v>2</v>
      </c>
      <c r="N174" s="101" t="s">
        <v>230</v>
      </c>
      <c r="O174" s="280" t="s">
        <v>253</v>
      </c>
      <c r="P174" s="290" t="s">
        <v>249</v>
      </c>
      <c r="Q174" s="280" t="s">
        <v>188</v>
      </c>
      <c r="R174" s="213"/>
      <c r="S174" s="213" t="s">
        <v>188</v>
      </c>
      <c r="T174" s="213" t="s">
        <v>198</v>
      </c>
      <c r="U174" s="291">
        <f>((($I$141*$G$141)+($I$142*$G$142)+($I$143*$G$143)+($I$144*$G$144)+($I$145*$G$145)+($I$146*$G$146))/1000)*$J$120</f>
        <v>68.109499999999997</v>
      </c>
      <c r="V174" s="291">
        <v>100</v>
      </c>
      <c r="W174" s="292">
        <f t="shared" ref="W174:W177" si="33">ROUNDUP((U174)/100,0)</f>
        <v>1</v>
      </c>
    </row>
    <row r="175" spans="1:36" s="1" customFormat="1" ht="18" customHeight="1">
      <c r="A175" s="201">
        <f t="shared" ref="A175:A204" si="34">IF(B175="","",+A174+1)</f>
        <v>3</v>
      </c>
      <c r="B175" s="140" t="s">
        <v>107</v>
      </c>
      <c r="C175" s="140" t="s">
        <v>504</v>
      </c>
      <c r="D175" s="139" t="s">
        <v>76</v>
      </c>
      <c r="E175" s="143"/>
      <c r="F175" s="143" t="s">
        <v>76</v>
      </c>
      <c r="G175" s="143" t="s">
        <v>202</v>
      </c>
      <c r="H175" s="143">
        <v>2</v>
      </c>
      <c r="I175" s="130"/>
      <c r="J175" s="131">
        <f t="shared" si="32"/>
        <v>2</v>
      </c>
      <c r="N175" s="101" t="s">
        <v>229</v>
      </c>
      <c r="O175" s="290" t="s">
        <v>254</v>
      </c>
      <c r="P175" s="290" t="s">
        <v>250</v>
      </c>
      <c r="Q175" s="280" t="s">
        <v>70</v>
      </c>
      <c r="R175" s="213"/>
      <c r="S175" s="213" t="s">
        <v>70</v>
      </c>
      <c r="T175" s="213" t="s">
        <v>198</v>
      </c>
      <c r="U175" s="291">
        <f>((($I$141*$G$141)+($I$142*$G$142)+($I$143*$G$143)+($I$144*$G$144)+($I$145*$G$145)+($I$146*$G$146))/1000)*$J$120</f>
        <v>68.109499999999997</v>
      </c>
      <c r="V175" s="291">
        <v>100</v>
      </c>
      <c r="W175" s="292">
        <f t="shared" si="33"/>
        <v>1</v>
      </c>
    </row>
    <row r="176" spans="1:36" s="1" customFormat="1" ht="18" customHeight="1">
      <c r="A176" s="201">
        <f t="shared" si="34"/>
        <v>4</v>
      </c>
      <c r="B176" s="140" t="s">
        <v>108</v>
      </c>
      <c r="C176" s="140" t="s">
        <v>10</v>
      </c>
      <c r="D176" s="139">
        <v>9</v>
      </c>
      <c r="E176" s="143"/>
      <c r="F176" s="143">
        <v>9</v>
      </c>
      <c r="G176" s="143" t="s">
        <v>202</v>
      </c>
      <c r="H176" s="143">
        <v>8</v>
      </c>
      <c r="I176" s="130"/>
      <c r="J176" s="131">
        <f t="shared" si="32"/>
        <v>8</v>
      </c>
      <c r="N176" s="101" t="s">
        <v>231</v>
      </c>
      <c r="O176" s="290" t="s">
        <v>255</v>
      </c>
      <c r="P176" s="290" t="s">
        <v>251</v>
      </c>
      <c r="Q176" s="280" t="s">
        <v>189</v>
      </c>
      <c r="R176" s="213"/>
      <c r="S176" s="213" t="s">
        <v>189</v>
      </c>
      <c r="T176" s="213" t="s">
        <v>198</v>
      </c>
      <c r="U176" s="291">
        <f>((($I$141*$G$141)+($I$142*$G$142)+($I$143*$G$143)+($I$144*$G$144)+($I$145*$G$145)+($I$146*$G$146))/1000)*$J$120</f>
        <v>68.109499999999997</v>
      </c>
      <c r="V176" s="291">
        <v>100</v>
      </c>
      <c r="W176" s="292">
        <f t="shared" si="33"/>
        <v>1</v>
      </c>
    </row>
    <row r="177" spans="1:23" s="1" customFormat="1" ht="18" customHeight="1">
      <c r="A177" s="201">
        <f t="shared" si="34"/>
        <v>5</v>
      </c>
      <c r="B177" s="140" t="s">
        <v>109</v>
      </c>
      <c r="C177" s="140" t="s">
        <v>68</v>
      </c>
      <c r="D177" s="139">
        <v>9</v>
      </c>
      <c r="E177" s="143"/>
      <c r="F177" s="143">
        <v>9</v>
      </c>
      <c r="G177" s="143" t="s">
        <v>202</v>
      </c>
      <c r="H177" s="143">
        <v>110</v>
      </c>
      <c r="I177" s="130"/>
      <c r="J177" s="131">
        <f t="shared" si="32"/>
        <v>110</v>
      </c>
      <c r="N177" s="101" t="s">
        <v>232</v>
      </c>
      <c r="O177" s="290" t="s">
        <v>256</v>
      </c>
      <c r="P177" s="290" t="s">
        <v>247</v>
      </c>
      <c r="Q177" s="280" t="s">
        <v>233</v>
      </c>
      <c r="R177" s="213"/>
      <c r="S177" s="213" t="s">
        <v>233</v>
      </c>
      <c r="T177" s="213" t="s">
        <v>198</v>
      </c>
      <c r="U177" s="291">
        <f>((($I$141*$G$141)+($I$142*$G$142)+($I$143*$G$143)+($I$144*$G$144)+($I$145*$G$145)+($I$146*$G$146))/1000)*$J$120</f>
        <v>68.109499999999997</v>
      </c>
      <c r="V177" s="291">
        <v>100</v>
      </c>
      <c r="W177" s="292">
        <f t="shared" si="33"/>
        <v>1</v>
      </c>
    </row>
    <row r="178" spans="1:23" s="1" customFormat="1" ht="18" customHeight="1">
      <c r="A178" s="201">
        <f t="shared" si="34"/>
        <v>6</v>
      </c>
      <c r="B178" s="140" t="s">
        <v>132</v>
      </c>
      <c r="C178" s="140" t="s">
        <v>79</v>
      </c>
      <c r="D178" s="139" t="s">
        <v>82</v>
      </c>
      <c r="E178" s="143"/>
      <c r="F178" s="143" t="s">
        <v>82</v>
      </c>
      <c r="G178" s="143" t="s">
        <v>185</v>
      </c>
      <c r="H178" s="143">
        <v>4</v>
      </c>
      <c r="I178" s="130"/>
      <c r="J178" s="131">
        <f>$J$120*H178</f>
        <v>4</v>
      </c>
    </row>
    <row r="179" spans="1:23" s="1" customFormat="1" ht="18" customHeight="1">
      <c r="A179" s="201">
        <f t="shared" si="34"/>
        <v>7</v>
      </c>
      <c r="B179" s="140" t="s">
        <v>143</v>
      </c>
      <c r="C179" s="140" t="s">
        <v>121</v>
      </c>
      <c r="D179" s="139" t="s">
        <v>103</v>
      </c>
      <c r="E179" s="143"/>
      <c r="F179" s="143" t="s">
        <v>103</v>
      </c>
      <c r="G179" s="143" t="s">
        <v>185</v>
      </c>
      <c r="H179" s="143">
        <v>2</v>
      </c>
      <c r="I179" s="130"/>
      <c r="J179" s="131">
        <f>$J$120*H179</f>
        <v>2</v>
      </c>
    </row>
    <row r="180" spans="1:23" s="1" customFormat="1" ht="18" customHeight="1">
      <c r="A180" s="201">
        <f t="shared" si="34"/>
        <v>8</v>
      </c>
      <c r="B180" s="140" t="s">
        <v>118</v>
      </c>
      <c r="C180" s="140" t="s">
        <v>77</v>
      </c>
      <c r="D180" s="139" t="s">
        <v>80</v>
      </c>
      <c r="E180" s="143"/>
      <c r="F180" s="143" t="s">
        <v>80</v>
      </c>
      <c r="G180" s="143" t="s">
        <v>185</v>
      </c>
      <c r="H180" s="143">
        <v>1</v>
      </c>
      <c r="I180" s="130"/>
      <c r="J180" s="131">
        <f t="shared" si="32"/>
        <v>1</v>
      </c>
    </row>
    <row r="181" spans="1:23" s="1" customFormat="1" ht="18" customHeight="1">
      <c r="A181" s="201">
        <f t="shared" si="34"/>
        <v>9</v>
      </c>
      <c r="B181" s="140" t="s">
        <v>120</v>
      </c>
      <c r="C181" s="140" t="s">
        <v>94</v>
      </c>
      <c r="D181" s="139" t="s">
        <v>96</v>
      </c>
      <c r="E181" s="143"/>
      <c r="F181" s="143" t="s">
        <v>96</v>
      </c>
      <c r="G181" s="143" t="s">
        <v>185</v>
      </c>
      <c r="H181" s="143">
        <v>1</v>
      </c>
      <c r="I181" s="130"/>
      <c r="J181" s="131">
        <f t="shared" si="32"/>
        <v>1</v>
      </c>
    </row>
    <row r="182" spans="1:23" s="1" customFormat="1" ht="18" customHeight="1">
      <c r="A182" s="201">
        <f t="shared" si="34"/>
        <v>10</v>
      </c>
      <c r="B182" s="140" t="s">
        <v>131</v>
      </c>
      <c r="C182" s="140" t="s">
        <v>100</v>
      </c>
      <c r="D182" s="139" t="s">
        <v>102</v>
      </c>
      <c r="E182" s="143"/>
      <c r="F182" s="143" t="s">
        <v>102</v>
      </c>
      <c r="G182" s="143" t="s">
        <v>185</v>
      </c>
      <c r="H182" s="143">
        <v>6</v>
      </c>
      <c r="I182" s="130"/>
      <c r="J182" s="131">
        <f t="shared" si="32"/>
        <v>6</v>
      </c>
      <c r="N182" s="56"/>
      <c r="O182" s="56"/>
      <c r="P182" s="56"/>
      <c r="Q182" s="289"/>
      <c r="R182" s="289"/>
      <c r="S182" s="289"/>
      <c r="T182" s="17"/>
      <c r="U182" s="17"/>
      <c r="V182" s="17"/>
      <c r="W182" s="56"/>
    </row>
    <row r="183" spans="1:23" s="1" customFormat="1" ht="18" customHeight="1">
      <c r="A183" s="201">
        <f t="shared" si="34"/>
        <v>11</v>
      </c>
      <c r="B183" s="140" t="s">
        <v>113</v>
      </c>
      <c r="C183" s="140" t="s">
        <v>502</v>
      </c>
      <c r="D183" s="139" t="s">
        <v>83</v>
      </c>
      <c r="E183" s="143"/>
      <c r="F183" s="143" t="s">
        <v>83</v>
      </c>
      <c r="G183" s="143" t="s">
        <v>185</v>
      </c>
      <c r="H183" s="143">
        <v>6</v>
      </c>
      <c r="I183" s="144"/>
      <c r="J183" s="131">
        <f t="shared" ref="J183:J189" si="35">$J$120*H183</f>
        <v>6</v>
      </c>
      <c r="N183" s="101" t="s">
        <v>227</v>
      </c>
      <c r="O183" s="246" t="s">
        <v>29</v>
      </c>
      <c r="P183" s="246" t="s">
        <v>3</v>
      </c>
      <c r="Q183" s="246" t="s">
        <v>199</v>
      </c>
      <c r="R183" s="246" t="s">
        <v>5</v>
      </c>
      <c r="S183" s="246" t="s">
        <v>28</v>
      </c>
      <c r="T183" s="246" t="s">
        <v>19</v>
      </c>
      <c r="U183" s="246" t="s">
        <v>200</v>
      </c>
      <c r="V183" s="246" t="s">
        <v>20</v>
      </c>
      <c r="W183" s="246" t="s">
        <v>201</v>
      </c>
    </row>
    <row r="184" spans="1:23" s="1" customFormat="1" ht="18" customHeight="1">
      <c r="A184" s="201">
        <f t="shared" si="34"/>
        <v>12</v>
      </c>
      <c r="B184" s="140" t="s">
        <v>122</v>
      </c>
      <c r="C184" s="140" t="s">
        <v>101</v>
      </c>
      <c r="D184" s="139" t="s">
        <v>104</v>
      </c>
      <c r="E184" s="143"/>
      <c r="F184" s="143" t="s">
        <v>104</v>
      </c>
      <c r="G184" s="143" t="s">
        <v>185</v>
      </c>
      <c r="H184" s="143">
        <v>1</v>
      </c>
      <c r="I184" s="144"/>
      <c r="J184" s="131">
        <f t="shared" si="35"/>
        <v>1</v>
      </c>
      <c r="N184" s="101" t="s">
        <v>240</v>
      </c>
      <c r="O184" s="290" t="s">
        <v>234</v>
      </c>
      <c r="P184" s="290" t="s">
        <v>236</v>
      </c>
      <c r="Q184" s="280" t="s">
        <v>190</v>
      </c>
      <c r="R184" s="213"/>
      <c r="S184" s="213" t="s">
        <v>190</v>
      </c>
      <c r="T184" s="213" t="s">
        <v>198</v>
      </c>
      <c r="U184" s="291">
        <f>((($I$134*$G$134)+($I$136*$G$136)+($I$139*$G$139))/1000)*$J$120</f>
        <v>6.258</v>
      </c>
      <c r="V184" s="291">
        <v>300</v>
      </c>
      <c r="W184" s="292">
        <f>ROUNDUP((U184)/V184,0)</f>
        <v>1</v>
      </c>
    </row>
    <row r="185" spans="1:23" s="1" customFormat="1" ht="18" customHeight="1">
      <c r="A185" s="201">
        <f t="shared" si="34"/>
        <v>13</v>
      </c>
      <c r="B185" s="140" t="s">
        <v>112</v>
      </c>
      <c r="C185" s="140" t="s">
        <v>114</v>
      </c>
      <c r="D185" s="128" t="s">
        <v>520</v>
      </c>
      <c r="E185" s="129"/>
      <c r="F185" s="129" t="s">
        <v>520</v>
      </c>
      <c r="G185" s="143" t="s">
        <v>202</v>
      </c>
      <c r="H185" s="143">
        <v>12</v>
      </c>
      <c r="I185" s="130"/>
      <c r="J185" s="131">
        <f t="shared" si="35"/>
        <v>12</v>
      </c>
      <c r="N185" s="101" t="s">
        <v>241</v>
      </c>
      <c r="O185" s="290" t="s">
        <v>235</v>
      </c>
      <c r="P185" s="290" t="s">
        <v>238</v>
      </c>
      <c r="Q185" s="280" t="s">
        <v>71</v>
      </c>
      <c r="R185" s="213"/>
      <c r="S185" s="213" t="s">
        <v>71</v>
      </c>
      <c r="T185" s="213" t="s">
        <v>198</v>
      </c>
      <c r="U185" s="291">
        <f>((($I$134*$G$134)+($I$136*$G$136)+($I$139*$G$139))/1000)*$J$120</f>
        <v>6.258</v>
      </c>
      <c r="V185" s="291">
        <v>100</v>
      </c>
      <c r="W185" s="292">
        <f t="shared" ref="W185:W187" si="36">ROUNDUP((U185)/V185,0)</f>
        <v>1</v>
      </c>
    </row>
    <row r="186" spans="1:23" s="1" customFormat="1" ht="18" customHeight="1">
      <c r="A186" s="201">
        <f t="shared" si="34"/>
        <v>14</v>
      </c>
      <c r="B186" s="140" t="s">
        <v>115</v>
      </c>
      <c r="C186" s="140" t="s">
        <v>45</v>
      </c>
      <c r="D186" s="139" t="s">
        <v>84</v>
      </c>
      <c r="E186" s="143"/>
      <c r="F186" s="143" t="s">
        <v>84</v>
      </c>
      <c r="G186" s="143" t="s">
        <v>202</v>
      </c>
      <c r="H186" s="143">
        <v>1</v>
      </c>
      <c r="I186" s="130"/>
      <c r="J186" s="131">
        <f t="shared" si="35"/>
        <v>1</v>
      </c>
      <c r="N186" s="101" t="s">
        <v>240</v>
      </c>
      <c r="O186" s="290" t="s">
        <v>245</v>
      </c>
      <c r="P186" s="290" t="s">
        <v>237</v>
      </c>
      <c r="Q186" s="280" t="s">
        <v>72</v>
      </c>
      <c r="R186" s="213"/>
      <c r="S186" s="213" t="s">
        <v>72</v>
      </c>
      <c r="T186" s="213" t="s">
        <v>198</v>
      </c>
      <c r="U186" s="291">
        <f>((($I$141*$G$141*2)+($I$143*$G$143*2)+($I$144*$G$144*2)+($I$145*($G$145-1)*2))/1000)*$J$120</f>
        <v>125.9015</v>
      </c>
      <c r="V186" s="291">
        <v>350</v>
      </c>
      <c r="W186" s="292">
        <f t="shared" si="36"/>
        <v>1</v>
      </c>
    </row>
    <row r="187" spans="1:23" s="1" customFormat="1" ht="18" customHeight="1">
      <c r="A187" s="201">
        <f t="shared" si="34"/>
        <v>15</v>
      </c>
      <c r="B187" s="140" t="s">
        <v>110</v>
      </c>
      <c r="C187" s="140" t="s">
        <v>66</v>
      </c>
      <c r="D187" s="139" t="s">
        <v>73</v>
      </c>
      <c r="E187" s="143"/>
      <c r="F187" s="143" t="s">
        <v>73</v>
      </c>
      <c r="G187" s="143" t="s">
        <v>202</v>
      </c>
      <c r="H187" s="143">
        <v>6</v>
      </c>
      <c r="I187" s="130"/>
      <c r="J187" s="131">
        <f t="shared" si="35"/>
        <v>6</v>
      </c>
      <c r="N187" s="101" t="s">
        <v>241</v>
      </c>
      <c r="O187" s="290" t="s">
        <v>246</v>
      </c>
      <c r="P187" s="290" t="s">
        <v>239</v>
      </c>
      <c r="Q187" s="280" t="s">
        <v>193</v>
      </c>
      <c r="R187" s="213"/>
      <c r="S187" s="213" t="s">
        <v>193</v>
      </c>
      <c r="T187" s="213" t="s">
        <v>198</v>
      </c>
      <c r="U187" s="291">
        <f>((($I$141*$G$141*2)+($I$143*$G$143*2)+($I$144*$G$144*2)+($I$145*($G$145-1)*2))/1000)*$J$120</f>
        <v>125.9015</v>
      </c>
      <c r="V187" s="291">
        <v>100</v>
      </c>
      <c r="W187" s="292">
        <f t="shared" si="36"/>
        <v>2</v>
      </c>
    </row>
    <row r="188" spans="1:23" s="1" customFormat="1" ht="18" customHeight="1">
      <c r="A188" s="201">
        <f t="shared" si="34"/>
        <v>16</v>
      </c>
      <c r="B188" s="140" t="s">
        <v>647</v>
      </c>
      <c r="C188" s="140" t="s">
        <v>127</v>
      </c>
      <c r="D188" s="139" t="s">
        <v>126</v>
      </c>
      <c r="E188" s="143"/>
      <c r="F188" s="143" t="s">
        <v>126</v>
      </c>
      <c r="G188" s="143" t="s">
        <v>185</v>
      </c>
      <c r="H188" s="143">
        <v>1</v>
      </c>
      <c r="I188" s="130"/>
      <c r="J188" s="131">
        <f t="shared" si="35"/>
        <v>1</v>
      </c>
    </row>
    <row r="189" spans="1:23" s="1" customFormat="1" ht="18" customHeight="1">
      <c r="A189" s="201">
        <f t="shared" si="34"/>
        <v>17</v>
      </c>
      <c r="B189" s="140" t="s">
        <v>648</v>
      </c>
      <c r="C189" s="140" t="s">
        <v>127</v>
      </c>
      <c r="D189" s="139" t="s">
        <v>521</v>
      </c>
      <c r="E189" s="143"/>
      <c r="F189" s="143" t="s">
        <v>521</v>
      </c>
      <c r="G189" s="143" t="s">
        <v>185</v>
      </c>
      <c r="H189" s="143">
        <v>1</v>
      </c>
      <c r="I189" s="130"/>
      <c r="J189" s="131">
        <f t="shared" si="35"/>
        <v>1</v>
      </c>
    </row>
    <row r="190" spans="1:23" s="1" customFormat="1" ht="18" customHeight="1">
      <c r="A190" s="201">
        <f t="shared" si="34"/>
        <v>18</v>
      </c>
      <c r="B190" s="140" t="s">
        <v>512</v>
      </c>
      <c r="C190" s="140" t="s">
        <v>135</v>
      </c>
      <c r="D190" s="139" t="s">
        <v>137</v>
      </c>
      <c r="E190" s="143"/>
      <c r="F190" s="143" t="s">
        <v>137</v>
      </c>
      <c r="G190" s="143" t="s">
        <v>198</v>
      </c>
      <c r="H190" s="274">
        <f>((($I$149*$G$149)+($I$150*$G$150))/1000)*$J$120</f>
        <v>4.8159999999999998</v>
      </c>
      <c r="I190" s="259">
        <v>100</v>
      </c>
      <c r="J190" s="260">
        <f>ROUNDUP((H190)/100,0)</f>
        <v>1</v>
      </c>
    </row>
    <row r="191" spans="1:23" s="1" customFormat="1" ht="18" customHeight="1">
      <c r="A191" s="201">
        <f t="shared" si="34"/>
        <v>19</v>
      </c>
      <c r="B191" s="140" t="s">
        <v>513</v>
      </c>
      <c r="C191" s="140" t="s">
        <v>136</v>
      </c>
      <c r="D191" s="139" t="s">
        <v>138</v>
      </c>
      <c r="E191" s="143"/>
      <c r="F191" s="143" t="s">
        <v>138</v>
      </c>
      <c r="G191" s="143" t="s">
        <v>198</v>
      </c>
      <c r="H191" s="274">
        <f>((($I$146*$G$146*2))/1000)*$J$120</f>
        <v>4.8159999999999998</v>
      </c>
      <c r="I191" s="259">
        <v>100</v>
      </c>
      <c r="J191" s="260">
        <f t="shared" ref="J191:J195" si="37">ROUNDUP((H191)/100,0)</f>
        <v>1</v>
      </c>
    </row>
    <row r="192" spans="1:23" s="1" customFormat="1" ht="18" customHeight="1">
      <c r="A192" s="201">
        <f t="shared" si="34"/>
        <v>20</v>
      </c>
      <c r="B192" s="139" t="str">
        <f>IF($D$129="Standard",$O$184,IF($D$129="Soumdproof",$O$185,))</f>
        <v>ยางเฟรมกันน้ำ (ธรรมดา)</v>
      </c>
      <c r="C192" s="139" t="str">
        <f>IF($D$129="Standard",$P$184,IF($D$129="Soumdproof",$P$185,))</f>
        <v>FRAME SEAL (Standard)</v>
      </c>
      <c r="D192" s="139" t="str">
        <f>IF($D$129="Standard",$Q$184,IF($D$129="Soumdproof",$Q$185,))</f>
        <v>02-026</v>
      </c>
      <c r="E192" s="143">
        <f>IF($D$129="Standard",R189,IF($D$129="Soumdproof",R190,))</f>
        <v>0</v>
      </c>
      <c r="F192" s="143" t="str">
        <f>IF($D$129="Standard",$S$184,IF($D$129="Soumdproof",$S$185,))</f>
        <v>02-026</v>
      </c>
      <c r="G192" s="143" t="str">
        <f>IF($D$129="Standard",$T$184,IF($D$129="Soumdproof",$T$185,))</f>
        <v>M</v>
      </c>
      <c r="H192" s="261">
        <f>IF($D$129="Standard",$U$184,IF($D$129="Soumdproof",$U$185,))</f>
        <v>6.258</v>
      </c>
      <c r="I192" s="258">
        <f>IF($D$129="Standard",$V$184,IF($D$129="Soumdproof",$V$185,))</f>
        <v>300</v>
      </c>
      <c r="J192" s="260">
        <f t="shared" si="37"/>
        <v>1</v>
      </c>
    </row>
    <row r="193" spans="1:25" ht="18" customHeight="1">
      <c r="A193" s="201">
        <f t="shared" si="34"/>
        <v>21</v>
      </c>
      <c r="B193" s="139" t="str">
        <f>IF($D$129="Standard",$O$186,IF($D$129="Soumdproof",$O$187,))</f>
        <v>ยางแซชกันน้ำ (ธรรมดา)</v>
      </c>
      <c r="C193" s="139" t="str">
        <f>IF($D$129="Standard",$P$186,IF($D$129="Soumdproof",$P$187,))</f>
        <v>SASH SEAL FOAM (Standard)</v>
      </c>
      <c r="D193" s="139" t="str">
        <f>IF($D$129="Standard",$Q$186,IF($D$129="Soumdproof",$Q$187,))</f>
        <v>02-031</v>
      </c>
      <c r="E193" s="143">
        <f>IF($D$129="Standard",R191,IF($D$129="Soumdproof",R192,))</f>
        <v>0</v>
      </c>
      <c r="F193" s="143" t="str">
        <f>IF($D$129="Standard",$S$186,IF($D$129="Soumdproof",$S$187,))</f>
        <v>02-031</v>
      </c>
      <c r="G193" s="143" t="str">
        <f>IF($D$129="Standard",$T$186,IF($D$129="Soumdproof",$T$187,))</f>
        <v>M</v>
      </c>
      <c r="H193" s="261">
        <f>IF($D$129="Standard",$U$186,IF($D$129="Soumdproof",$U$187,))</f>
        <v>125.9015</v>
      </c>
      <c r="I193" s="258">
        <f>IF($D$129="Standard",$V$186,IF($D$129="Soumdproof",$V$187,))</f>
        <v>350</v>
      </c>
      <c r="J193" s="260">
        <f t="shared" si="37"/>
        <v>2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s="1" customFormat="1" ht="18" customHeight="1">
      <c r="A194" s="201">
        <f t="shared" si="34"/>
        <v>22</v>
      </c>
      <c r="B194" s="241" t="str">
        <f>IF($D$127=5,$O$175,IF($D$127=6,$O$176,IF($D$127=8,$O$177,IF($D$127=10,$O$175,IF($D$127=12,$O$175,IF($D$127=14,$O$177,IF($D$127=18,$O$175,IF($D$127=20,$O$176,IF($D$127=22,"")))))))))</f>
        <v>5,8,10,12,18 mmยางอัดกระจก</v>
      </c>
      <c r="C194" s="241" t="str">
        <f>IF($D$127=5,$P$175,IF($D$127=6,$P$176,IF($D$127=8,$P$177,IF($D$127=10,$P$175,IF($D$127=12,$P$175,IF($D$127=14,$P$177,IF($D$127=18,$P$175,IF($D$127=20,$P$176,IF($D$127=22,"")))))))))</f>
        <v>5,8,10,12,18 mm ROLL IN WEDGE</v>
      </c>
      <c r="D194" s="241" t="str">
        <f>IF($D$127=5,$Q$175,IF($D$127=6,$Q$176,IF($D$127=8,$Q$177,IF($D$127=10,$Q$175,IF($D$127=12,$Q$175,IF($D$127=14,$Q$177,IF($D$127=18,$Q$175,IF($D$127=20,$Q$176,IF($D$127=22,"")))))))))</f>
        <v>02-033</v>
      </c>
      <c r="E194" s="241">
        <f>IF($D$127=5,R180,IF($D$127=6,R181,IF($D$127=8,R182,IF($D$127=10,R180,IF($D$127=12,R180,IF($D$127=14,R182,IF($D$127=18,R180,IF($D$127=20,R181,IF($D$127=22,"",)))))))))</f>
        <v>0</v>
      </c>
      <c r="F194" s="242" t="str">
        <f>IF($D$127=5,$S$175,IF($D$127=6,$S$176,IF($D$127=8,$S$177,IF($D$127=10,$S$175,IF($D$127=12,$S$175,IF($D$127=14,$S$177,IF($D$127=18,$S$175,IF($D$127=20,$S$176,IF($D$127=22,"")))))))))</f>
        <v>02-033</v>
      </c>
      <c r="G194" s="242" t="str">
        <f>IF($D$127=5,$T$175,IF($D$127=6,$T$176,IF($D$127=8,$T$177,IF($D$127=10,$T$175,IF($D$127=12,$T$175,IF($D$127=14,$T$177,IF($D$127=18,$T$175,IF($D$127=20,$T$176,IF($D$127=22,"")))))))))</f>
        <v>M</v>
      </c>
      <c r="H194" s="261">
        <f>IF($D$127=5,$U$175,IF($D$127=6,$U$176,IF($D$127=8,$U$177,IF($D$127=10,$U$175*2,IF($D$127=12,$U$175,IF($D$127=14,$U$177*2,IF($D$127=18,$U$175,IF($D$127=20,$U$176,IF($D$127=22,"")))))))))</f>
        <v>68.109499999999997</v>
      </c>
      <c r="I194" s="258">
        <f>IF($D$127=5,$V$175,IF($D$127=6,$V$176,IF($D$127=8,$V$177,IF($D$127=10,$V$175,IF($D$127=12,$V$175,IF($D$127=14,$V$177,IF($D$127=18,$V$175,IF($D$127=20,$V$176,IF($D$127=22,"")))))))))</f>
        <v>100</v>
      </c>
      <c r="J194" s="260">
        <f t="shared" si="37"/>
        <v>1</v>
      </c>
    </row>
    <row r="195" spans="1:25" s="1" customFormat="1" ht="18" customHeight="1">
      <c r="A195" s="201">
        <f t="shared" si="34"/>
        <v>23</v>
      </c>
      <c r="B195" s="241" t="str">
        <f>IF($D$127=5,$O$173,IF($D$127=6,$O$173,IF($D$127=8,$O$175,IF($D$127=10,"",IF($D$127=12,$O$174,IF($D$127=14,"",IF($D$127=18,$O$173,IF($D$127=20,$O$174,IF($D$127=22,"",)))))))))</f>
        <v>5,6,18 mm ยางรองกระจก</v>
      </c>
      <c r="C195" s="241" t="str">
        <f>IF($D$127=5,$P$173,IF($D$127=6,$P$173,IF($D$127=8,$P$175,IF($D$127=10,"",IF($D$127=12,$P$174,IF($D$127=14,"",IF($D$127=18,$P$173,IF($D$127=20,$P$174,IF($D$127=22,"",)))))))))</f>
        <v>5,6,18 mm CAPTIVE WEDGE</v>
      </c>
      <c r="D195" s="241" t="str">
        <f>IF($D$127=5,$Q$173,IF($D$127=6,$Q$173,IF($D$127=8,$Q$175,IF($D$127=10,"",IF($D$127=12,$Q$174,IF($D$127=14,"",IF($D$127=18,$Q$173,IF($D$127=20,$Q$174,IF($D$127=22,"",)))))))))</f>
        <v>02-022</v>
      </c>
      <c r="E195" s="241">
        <f>IF($D$127=5,R178,IF($D$127=6,R178,IF($D$127=8,R180,IF($D$127=10,"",IF($D$127=12,R179,IF($D$127=14,"",IF($D$127=18,R178,IF($D$127=20,R179,IF($D$127=22,"",)))))))))</f>
        <v>0</v>
      </c>
      <c r="F195" s="242" t="str">
        <f>IF($D$127=5,$S$173,IF($D$127=6,$S$173,IF($D$127=8,$S$175,IF($D$127=10,"",IF($D$127=12,$S$174,IF($D$127=14,"",IF($D$127=18,$S$173,IF($D$127=20,$S$174,IF($D$127=22,"",)))))))))</f>
        <v>02-022</v>
      </c>
      <c r="G195" s="242" t="str">
        <f>IF($D$127=5,$T$173,IF($D$127=6,$T$173,IF($D$127=8,$T$175,IF($D$127=10,"",IF($D$127=12,$T$174,IF($D$127=14,"",IF($D$127=18,$T$173,IF($D$127=20,$T$174,IF($D$127=22,"",)))))))))</f>
        <v>M</v>
      </c>
      <c r="H195" s="261">
        <f>IF($D$127=5,$U$173,IF($D$127=6,$U$173,IF($D$127=8,$U$175,IF($D$127=10,"",IF($D$127=12,$U$174,IF($D$127=14,"",IF($D$127=18,$U$173,IF($D$127=20,$U$174,IF($D$127=22,"")))))))))</f>
        <v>68.109499999999997</v>
      </c>
      <c r="I195" s="258">
        <f>IF($D$127=5,$V$173,IF($D$127=6,$V$173,IF($D$127=8,$V$175,IF($D$127=10,"",IF($D$127=12,$V$174,IF($D$127=14,"",IF($D$127=18,$V$173,IF($D$127=20,$V$174,IF($D$127=22,"",)))))))))</f>
        <v>100</v>
      </c>
      <c r="J195" s="260">
        <f t="shared" si="37"/>
        <v>1</v>
      </c>
    </row>
    <row r="196" spans="1:25" s="1" customFormat="1" ht="18" customHeight="1">
      <c r="A196" s="201" t="str">
        <f t="shared" si="34"/>
        <v/>
      </c>
      <c r="B196" s="140"/>
      <c r="C196" s="140"/>
      <c r="D196" s="139"/>
      <c r="E196" s="143"/>
      <c r="F196" s="143"/>
      <c r="G196" s="143"/>
      <c r="H196" s="143"/>
      <c r="I196" s="130"/>
      <c r="J196" s="131">
        <f>$J$120*H196</f>
        <v>0</v>
      </c>
    </row>
    <row r="197" spans="1:25" s="1" customFormat="1" ht="18" customHeight="1">
      <c r="A197" s="201" t="str">
        <f t="shared" si="34"/>
        <v/>
      </c>
      <c r="B197" s="140"/>
      <c r="C197" s="140"/>
      <c r="D197" s="139"/>
      <c r="E197" s="143"/>
      <c r="F197" s="143"/>
      <c r="G197" s="143"/>
      <c r="H197" s="143"/>
      <c r="I197" s="130"/>
      <c r="J197" s="131">
        <f t="shared" ref="J197:J204" si="38">$J$120*H197</f>
        <v>0</v>
      </c>
    </row>
    <row r="198" spans="1:25" s="1" customFormat="1" ht="18" customHeight="1">
      <c r="A198" s="201" t="str">
        <f t="shared" si="34"/>
        <v/>
      </c>
      <c r="B198" s="140"/>
      <c r="C198" s="140"/>
      <c r="D198" s="139"/>
      <c r="E198" s="143"/>
      <c r="F198" s="143"/>
      <c r="G198" s="143"/>
      <c r="H198" s="143"/>
      <c r="I198" s="144"/>
      <c r="J198" s="131">
        <f t="shared" si="38"/>
        <v>0</v>
      </c>
    </row>
    <row r="199" spans="1:25" s="1" customFormat="1" ht="18" customHeight="1">
      <c r="A199" s="201" t="str">
        <f t="shared" si="34"/>
        <v/>
      </c>
      <c r="B199" s="140"/>
      <c r="C199" s="140"/>
      <c r="D199" s="139"/>
      <c r="E199" s="143"/>
      <c r="F199" s="143"/>
      <c r="G199" s="143"/>
      <c r="H199" s="143"/>
      <c r="I199" s="144"/>
      <c r="J199" s="131">
        <f t="shared" si="38"/>
        <v>0</v>
      </c>
    </row>
    <row r="200" spans="1:25" s="1" customFormat="1" ht="18" customHeight="1">
      <c r="A200" s="201" t="str">
        <f t="shared" si="34"/>
        <v/>
      </c>
      <c r="B200" s="140"/>
      <c r="C200" s="140"/>
      <c r="D200" s="139"/>
      <c r="E200" s="143"/>
      <c r="F200" s="143"/>
      <c r="G200" s="143"/>
      <c r="H200" s="143"/>
      <c r="I200" s="130"/>
      <c r="J200" s="131">
        <f t="shared" si="38"/>
        <v>0</v>
      </c>
    </row>
    <row r="201" spans="1:25" s="1" customFormat="1" ht="18" customHeight="1">
      <c r="A201" s="201" t="str">
        <f t="shared" si="34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si="38"/>
        <v>0</v>
      </c>
    </row>
    <row r="202" spans="1:25" s="1" customFormat="1" ht="18" customHeight="1">
      <c r="A202" s="201" t="str">
        <f t="shared" si="34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si="38"/>
        <v>0</v>
      </c>
    </row>
    <row r="203" spans="1:25" s="1" customFormat="1" ht="18" customHeight="1">
      <c r="A203" s="201" t="str">
        <f t="shared" si="34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si="38"/>
        <v>0</v>
      </c>
    </row>
    <row r="204" spans="1:25" s="1" customFormat="1" ht="18" customHeight="1">
      <c r="A204" s="201" t="str">
        <f t="shared" si="34"/>
        <v/>
      </c>
      <c r="B204" s="140"/>
      <c r="C204" s="140"/>
      <c r="D204" s="139"/>
      <c r="E204" s="143"/>
      <c r="F204" s="143"/>
      <c r="G204" s="143"/>
      <c r="H204" s="143"/>
      <c r="I204" s="130"/>
      <c r="J204" s="131">
        <f t="shared" si="38"/>
        <v>0</v>
      </c>
    </row>
    <row r="205" spans="1:25" s="1" customFormat="1" ht="18" customHeight="1">
      <c r="A205" s="317" t="str">
        <f t="shared" ref="A205" si="39">IF(B205="","",+A204+1)</f>
        <v/>
      </c>
      <c r="B205" s="142"/>
      <c r="C205" s="142"/>
      <c r="D205" s="141"/>
      <c r="E205" s="240"/>
      <c r="F205" s="240"/>
      <c r="G205" s="240"/>
      <c r="H205" s="240"/>
      <c r="I205" s="136"/>
      <c r="J205" s="293">
        <f t="shared" ref="J205" si="40">$J$120*H205</f>
        <v>0</v>
      </c>
    </row>
    <row r="206" spans="1:25" s="193" customFormat="1" ht="18" customHeight="1">
      <c r="A206" s="27"/>
      <c r="B206" s="161"/>
      <c r="C206" s="33"/>
      <c r="D206" s="161"/>
      <c r="E206" s="109"/>
      <c r="F206" s="161"/>
      <c r="G206" s="161"/>
      <c r="H206" s="161"/>
      <c r="I206" s="24"/>
      <c r="J206" s="24"/>
    </row>
    <row r="207" spans="1:25" ht="18" customHeight="1">
      <c r="A207" s="17"/>
      <c r="J207" s="99" t="str">
        <f>LEFT($J$111,14)&amp;"-02"</f>
        <v>FG-240-14P7L7R-02</v>
      </c>
    </row>
    <row r="208" spans="1:25" ht="12.75" customHeight="1">
      <c r="B208" s="56"/>
      <c r="C208" s="56"/>
      <c r="D208" s="30"/>
      <c r="E208" s="17"/>
      <c r="F208" s="17"/>
      <c r="G208" s="17"/>
      <c r="H208" s="17"/>
      <c r="K208" s="7"/>
      <c r="L208" s="7"/>
      <c r="M208" s="2"/>
      <c r="N208" s="2"/>
    </row>
    <row r="209" spans="1:14" ht="30" customHeight="1">
      <c r="I209" s="95"/>
      <c r="J209" s="90" t="str">
        <f>$J$2</f>
        <v>HOMELIFE</v>
      </c>
      <c r="K209" s="11"/>
      <c r="L209" s="11"/>
      <c r="M209" s="2"/>
      <c r="N209" s="2"/>
    </row>
    <row r="210" spans="1:14" ht="24.9" customHeight="1">
      <c r="B210" s="271"/>
      <c r="C210" s="5"/>
      <c r="D210" s="95"/>
      <c r="E210" s="95"/>
      <c r="F210" s="95"/>
      <c r="G210" s="95"/>
      <c r="H210" s="95"/>
      <c r="I210" s="28"/>
      <c r="J210" s="91" t="str">
        <f>$J$3</f>
        <v>Fabricators Guide</v>
      </c>
      <c r="K210" s="11"/>
      <c r="L210" s="11"/>
      <c r="M210" s="2"/>
      <c r="N210" s="2"/>
    </row>
    <row r="211" spans="1:14" ht="24.9" customHeight="1">
      <c r="B211" s="271"/>
      <c r="C211" s="28"/>
      <c r="D211" s="28"/>
      <c r="E211" s="28"/>
      <c r="F211" s="28"/>
      <c r="G211" s="28"/>
      <c r="H211" s="28"/>
      <c r="I211" s="28"/>
      <c r="J211" s="91" t="str">
        <f>$J$4</f>
        <v xml:space="preserve">240 Series Bi Fold Door </v>
      </c>
      <c r="K211" s="48"/>
      <c r="L211" s="48"/>
      <c r="M211" s="4"/>
      <c r="N211" s="4"/>
    </row>
    <row r="212" spans="1:14" s="1" customFormat="1" ht="15" customHeight="1" thickBot="1">
      <c r="A212" s="78"/>
      <c r="B212" s="8"/>
      <c r="C212" s="28"/>
      <c r="D212" s="28"/>
      <c r="E212" s="28"/>
      <c r="F212" s="28"/>
      <c r="G212" s="28"/>
      <c r="H212" s="28"/>
      <c r="I212" s="78"/>
      <c r="J212" s="113"/>
      <c r="K212" s="4"/>
      <c r="L212" s="4"/>
      <c r="M212" s="4"/>
      <c r="N212" s="4"/>
    </row>
    <row r="213" spans="1:14" s="1" customFormat="1" ht="24.9" customHeight="1" thickBot="1">
      <c r="A213" s="502" t="s">
        <v>30</v>
      </c>
      <c r="B213" s="503"/>
      <c r="C213" s="503"/>
      <c r="D213" s="503"/>
      <c r="E213" s="503"/>
      <c r="F213" s="503"/>
      <c r="G213" s="503"/>
      <c r="H213" s="503"/>
      <c r="I213" s="503"/>
      <c r="J213" s="504"/>
      <c r="K213" s="56"/>
      <c r="L213" s="56"/>
      <c r="M213" s="56"/>
      <c r="N213" s="56"/>
    </row>
    <row r="215" spans="1:14" s="1" customFormat="1" ht="15" customHeight="1">
      <c r="A215" s="93"/>
      <c r="B215"/>
      <c r="C215"/>
      <c r="D215" s="81"/>
      <c r="E215"/>
      <c r="F215"/>
      <c r="G215"/>
      <c r="H215"/>
      <c r="I215" s="160"/>
      <c r="J215" s="116"/>
    </row>
    <row r="216" spans="1:14" s="1" customFormat="1" ht="15" customHeight="1">
      <c r="A216" s="17"/>
      <c r="B216" s="93"/>
      <c r="C216" s="56"/>
      <c r="D216" s="30"/>
      <c r="E216" s="29"/>
      <c r="F216" s="160"/>
      <c r="G216" s="160"/>
      <c r="H216" s="160"/>
      <c r="J216" s="17"/>
    </row>
    <row r="217" spans="1:14" s="1" customFormat="1" ht="15" customHeight="1">
      <c r="A217" s="17"/>
      <c r="B217" s="56"/>
      <c r="C217" s="328"/>
      <c r="D217" s="30"/>
      <c r="E217" s="29"/>
      <c r="F217" s="30"/>
      <c r="J217" s="17"/>
    </row>
    <row r="218" spans="1:14" s="1" customFormat="1" ht="15.6">
      <c r="A218" s="109"/>
      <c r="B218" s="33"/>
      <c r="C218" s="327"/>
      <c r="D218" s="161"/>
      <c r="E218" s="109"/>
      <c r="F218" s="161"/>
      <c r="H218" s="328"/>
      <c r="J218" s="109"/>
    </row>
    <row r="219" spans="1:14" s="1" customFormat="1" ht="15" customHeight="1">
      <c r="A219" s="93"/>
      <c r="B219" s="93"/>
      <c r="C219" s="56"/>
      <c r="D219" s="30"/>
      <c r="E219" s="29"/>
      <c r="F219" s="160"/>
      <c r="H219" s="328"/>
      <c r="I219" s="109"/>
      <c r="J219" s="109"/>
    </row>
    <row r="220" spans="1:14" s="1" customFormat="1" ht="15" customHeight="1">
      <c r="A220" s="17"/>
      <c r="B220" s="56"/>
      <c r="C220" s="89" t="s">
        <v>272</v>
      </c>
      <c r="D220" s="30"/>
      <c r="E220" s="29"/>
      <c r="F220" s="30"/>
      <c r="I220" s="109"/>
      <c r="J220" s="109"/>
    </row>
    <row r="221" spans="1:14" s="1" customFormat="1" ht="15" customHeight="1">
      <c r="A221" s="17"/>
      <c r="B221" s="56"/>
      <c r="C221" s="328" t="s">
        <v>275</v>
      </c>
      <c r="D221" s="30"/>
      <c r="E221" s="29"/>
      <c r="F221" s="30"/>
      <c r="H221" s="89"/>
      <c r="J221" s="12"/>
    </row>
    <row r="222" spans="1:14" s="1" customFormat="1" ht="15" customHeight="1">
      <c r="A222" s="109"/>
      <c r="B222" s="33"/>
      <c r="C222" s="327" t="s">
        <v>273</v>
      </c>
      <c r="D222" s="161"/>
      <c r="E222" s="109"/>
      <c r="F222" s="161"/>
      <c r="J222" s="12"/>
    </row>
    <row r="223" spans="1:14" s="1" customFormat="1" ht="15" customHeight="1">
      <c r="A223" s="109"/>
      <c r="B223" s="33"/>
      <c r="C223" s="374">
        <f>$I$133</f>
        <v>1940</v>
      </c>
      <c r="D223" s="161"/>
      <c r="E223" s="35"/>
      <c r="F223" s="161"/>
      <c r="G223" s="68"/>
      <c r="J223" s="12"/>
    </row>
    <row r="224" spans="1:14" s="1" customFormat="1" ht="15" customHeight="1">
      <c r="A224" s="109"/>
      <c r="B224" s="33"/>
      <c r="C224" s="363">
        <f>$J$133</f>
        <v>1</v>
      </c>
      <c r="D224" s="161"/>
      <c r="E224" s="35"/>
      <c r="F224" s="161"/>
      <c r="G224" s="326"/>
      <c r="I224" s="109"/>
      <c r="J224" s="109"/>
    </row>
    <row r="225" spans="1:10" s="1" customFormat="1" ht="15" customHeight="1">
      <c r="A225" s="109"/>
      <c r="B225" s="33"/>
      <c r="D225" s="161"/>
      <c r="E225" s="109"/>
      <c r="F225" s="161"/>
      <c r="G225" s="326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G226" s="68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109"/>
      <c r="J227" s="109"/>
    </row>
    <row r="228" spans="1:10" s="1" customFormat="1" ht="15.9" customHeight="1">
      <c r="A228" s="92"/>
      <c r="B228" s="92"/>
      <c r="C228" s="13"/>
      <c r="D228" s="161"/>
      <c r="E228" s="109"/>
      <c r="F228" s="161"/>
      <c r="H228" s="109"/>
      <c r="I228" s="32"/>
      <c r="J228" s="40"/>
    </row>
    <row r="229" spans="1:10" s="1" customFormat="1" ht="15.9" customHeight="1">
      <c r="A229" s="92"/>
      <c r="B229" s="92"/>
      <c r="C229" s="327"/>
      <c r="D229" s="161"/>
      <c r="E229" s="109"/>
      <c r="F229" s="161"/>
      <c r="H229" s="109"/>
      <c r="I229" s="270"/>
      <c r="J229" s="117"/>
    </row>
    <row r="230" spans="1:10" s="1" customFormat="1" ht="15.9" customHeight="1">
      <c r="A230" s="45"/>
      <c r="B230" s="45"/>
      <c r="D230" s="161"/>
      <c r="E230" s="109"/>
      <c r="F230" s="161"/>
      <c r="I230" s="270"/>
      <c r="J230" s="117"/>
    </row>
    <row r="231" spans="1:10" s="1" customFormat="1" ht="15.9" customHeight="1">
      <c r="A231" s="109"/>
      <c r="B231" s="109"/>
      <c r="D231" s="161"/>
      <c r="E231" s="109"/>
      <c r="F231" s="161"/>
      <c r="I231" s="270"/>
      <c r="J231" s="117"/>
    </row>
    <row r="232" spans="1:10" s="1" customFormat="1" ht="15.9" customHeight="1">
      <c r="A232" s="39"/>
      <c r="B232" s="38"/>
      <c r="D232" s="161"/>
      <c r="E232" s="109"/>
      <c r="F232" s="109"/>
      <c r="I232" s="270"/>
      <c r="J232" s="117"/>
    </row>
    <row r="233" spans="1:10" s="1" customFormat="1" ht="15.9" customHeight="1">
      <c r="A233" s="44"/>
      <c r="B233" s="44"/>
      <c r="C233" s="89" t="s">
        <v>274</v>
      </c>
      <c r="D233" s="84"/>
      <c r="E233" s="44"/>
      <c r="F233" s="44"/>
      <c r="G233" s="109"/>
      <c r="H233" s="109"/>
      <c r="I233" s="270"/>
      <c r="J233" s="117"/>
    </row>
    <row r="234" spans="1:10" s="1" customFormat="1" ht="15.9" customHeight="1">
      <c r="A234" s="40"/>
      <c r="B234" s="40"/>
      <c r="C234" s="328" t="s">
        <v>652</v>
      </c>
      <c r="D234" s="85"/>
      <c r="E234" s="40"/>
      <c r="F234" s="32"/>
      <c r="G234" s="109"/>
      <c r="H234" s="109"/>
      <c r="J234" s="12"/>
    </row>
    <row r="235" spans="1:10" s="1" customFormat="1" ht="15.9" customHeight="1">
      <c r="A235" s="109"/>
      <c r="B235" s="33"/>
      <c r="C235" s="433" t="s">
        <v>654</v>
      </c>
      <c r="D235" s="161"/>
      <c r="E235" s="109"/>
      <c r="F235" s="161"/>
      <c r="G235" s="109"/>
      <c r="H235" s="109"/>
      <c r="I235" s="109"/>
      <c r="J235" s="24"/>
    </row>
    <row r="236" spans="1:10" s="1" customFormat="1" ht="15.9" customHeight="1">
      <c r="A236" s="109"/>
      <c r="B236" s="33"/>
      <c r="C236" s="374">
        <f>$I$134</f>
        <v>1914</v>
      </c>
      <c r="D236" s="161"/>
      <c r="E236" s="109"/>
      <c r="F236" s="161"/>
      <c r="G236" s="109"/>
      <c r="H236" s="109"/>
      <c r="I236" s="24"/>
      <c r="J236" s="24"/>
    </row>
    <row r="237" spans="1:10" s="1" customFormat="1" ht="15.9" customHeight="1">
      <c r="A237" s="109"/>
      <c r="B237" s="33"/>
      <c r="C237" s="363">
        <f>$J$134</f>
        <v>1</v>
      </c>
      <c r="D237" s="161"/>
      <c r="E237" s="109"/>
      <c r="F237" s="161"/>
      <c r="G237" s="109"/>
      <c r="H237" s="107"/>
      <c r="I237" s="89"/>
      <c r="J237" s="118"/>
    </row>
    <row r="238" spans="1:10" s="1" customFormat="1" ht="15.9" customHeight="1">
      <c r="A238" s="109"/>
      <c r="B238" s="33"/>
      <c r="C238" s="44"/>
      <c r="D238" s="161"/>
      <c r="E238" s="109"/>
      <c r="F238" s="161"/>
      <c r="G238" s="109"/>
      <c r="H238" s="107"/>
      <c r="I238" s="270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70"/>
      <c r="J239" s="117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109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36"/>
      <c r="I241" s="24"/>
      <c r="J241" s="24"/>
    </row>
    <row r="242" spans="1:10" s="1" customFormat="1" ht="15.9" customHeight="1">
      <c r="A242" s="109"/>
      <c r="B242" s="33"/>
      <c r="D242" s="161"/>
      <c r="E242" s="109"/>
      <c r="F242" s="161"/>
      <c r="G242" s="109"/>
      <c r="H242" s="109"/>
      <c r="I242" s="109"/>
      <c r="J242" s="24"/>
    </row>
    <row r="243" spans="1:10" s="1" customFormat="1" ht="15.9" customHeight="1">
      <c r="A243" s="109"/>
      <c r="B243" s="33"/>
      <c r="C243" s="89" t="s">
        <v>276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.9" customHeight="1">
      <c r="A244" s="109"/>
      <c r="B244" s="33"/>
      <c r="C244" s="328" t="s">
        <v>275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" customHeight="1">
      <c r="A245" s="109"/>
      <c r="B245" s="33"/>
      <c r="C245" s="327" t="s">
        <v>273</v>
      </c>
      <c r="D245" s="161"/>
      <c r="E245" s="109"/>
      <c r="F245" s="161"/>
      <c r="G245" s="109"/>
      <c r="H245" s="109"/>
      <c r="I245" s="24"/>
      <c r="J245" s="24"/>
    </row>
    <row r="246" spans="1:10" s="1" customFormat="1" ht="15.9" customHeight="1">
      <c r="A246" s="109"/>
      <c r="B246" s="33"/>
      <c r="C246" s="374">
        <f>$I$135</f>
        <v>1940</v>
      </c>
      <c r="D246" s="161"/>
      <c r="E246" s="109"/>
      <c r="F246" s="161"/>
      <c r="G246" s="109"/>
      <c r="H246" s="109"/>
      <c r="I246" s="44"/>
      <c r="J246" s="119"/>
    </row>
    <row r="247" spans="1:10" s="1" customFormat="1" ht="15.9" customHeight="1">
      <c r="A247" s="109"/>
      <c r="B247" s="33"/>
      <c r="C247" s="363">
        <f>$J$135</f>
        <v>1</v>
      </c>
      <c r="D247" s="161"/>
      <c r="E247" s="109"/>
      <c r="F247" s="161"/>
      <c r="G247" s="109"/>
      <c r="H247" s="109"/>
      <c r="I247" s="32"/>
      <c r="J247" s="40"/>
    </row>
    <row r="248" spans="1:10" s="1" customFormat="1" ht="15.9" customHeight="1">
      <c r="A248" s="109"/>
      <c r="B248" s="33"/>
      <c r="C248" s="161"/>
      <c r="D248" s="161"/>
      <c r="E248" s="109"/>
      <c r="F248" s="161"/>
      <c r="G248" s="109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4"/>
      <c r="H250" s="109"/>
      <c r="J250" s="12"/>
    </row>
    <row r="251" spans="1:10" s="1" customFormat="1" ht="15.9" customHeight="1">
      <c r="A251" s="109"/>
      <c r="B251" s="33"/>
      <c r="C251" s="33"/>
      <c r="D251" s="161"/>
      <c r="E251" s="109"/>
      <c r="F251" s="109"/>
      <c r="G251" s="40"/>
      <c r="H251" s="109"/>
      <c r="I251" s="24"/>
      <c r="J251" s="24"/>
    </row>
    <row r="252" spans="1:10" s="1" customFormat="1" ht="15.9" customHeight="1">
      <c r="A252" s="109"/>
      <c r="B252" s="33"/>
      <c r="D252" s="161"/>
      <c r="E252" s="109"/>
      <c r="F252" s="109"/>
      <c r="G252" s="109"/>
      <c r="H252" s="109"/>
      <c r="I252" s="24"/>
      <c r="J252" s="24"/>
    </row>
    <row r="253" spans="1:10" s="1" customFormat="1" ht="15.9" customHeight="1">
      <c r="A253" s="44"/>
      <c r="B253" s="44"/>
      <c r="D253" s="84"/>
      <c r="E253" s="44"/>
      <c r="F253" s="44"/>
      <c r="G253" s="109"/>
      <c r="H253" s="109"/>
      <c r="I253" s="24"/>
      <c r="J253" s="24"/>
    </row>
    <row r="254" spans="1:10" s="1" customFormat="1" ht="15.9" customHeight="1">
      <c r="A254" s="40"/>
      <c r="B254" s="40"/>
      <c r="C254" s="89" t="s">
        <v>277</v>
      </c>
      <c r="D254" s="85"/>
      <c r="E254" s="40"/>
      <c r="F254" s="32"/>
      <c r="G254" s="109"/>
      <c r="I254" s="24"/>
      <c r="J254" s="24"/>
    </row>
    <row r="255" spans="1:10" s="1" customFormat="1" ht="15.9" customHeight="1">
      <c r="A255" s="27"/>
      <c r="B255" s="33"/>
      <c r="C255" s="328" t="s">
        <v>275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27" t="s">
        <v>273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74">
        <f>$I$136</f>
        <v>1940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63">
        <f>$J$136</f>
        <v>1</v>
      </c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33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46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161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33"/>
      <c r="D263" s="161"/>
      <c r="E263" s="109"/>
      <c r="F263" s="109"/>
      <c r="G263" s="109"/>
      <c r="I263" s="24"/>
      <c r="J263" s="24"/>
    </row>
    <row r="264" spans="1:10" s="1" customFormat="1" ht="15.9" customHeight="1">
      <c r="A264" s="27"/>
      <c r="B264" s="33"/>
      <c r="C264" s="89" t="s">
        <v>278</v>
      </c>
      <c r="D264" s="161"/>
      <c r="E264" s="109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8" t="s">
        <v>287</v>
      </c>
      <c r="D265" s="328"/>
      <c r="E265" s="328"/>
      <c r="F265" s="109"/>
      <c r="G265" s="109"/>
      <c r="H265" s="109"/>
      <c r="I265" s="24"/>
      <c r="J265" s="24"/>
    </row>
    <row r="266" spans="1:10" s="1" customFormat="1" ht="15.9" customHeight="1">
      <c r="A266" s="27"/>
      <c r="B266" s="33"/>
      <c r="C266" s="327" t="s">
        <v>279</v>
      </c>
      <c r="D266" s="327"/>
      <c r="E266" s="327"/>
      <c r="F266" s="109"/>
      <c r="G266" s="109"/>
      <c r="H266" s="109"/>
      <c r="J266" s="12"/>
    </row>
    <row r="267" spans="1:10" s="1" customFormat="1" ht="15.9" customHeight="1">
      <c r="A267" s="27"/>
      <c r="B267" s="33"/>
      <c r="C267" s="374">
        <f>$I$137</f>
        <v>2500</v>
      </c>
      <c r="D267" s="161"/>
      <c r="E267" s="109"/>
      <c r="F267" s="109"/>
      <c r="G267" s="33"/>
      <c r="H267" s="33"/>
      <c r="J267" s="12"/>
    </row>
    <row r="268" spans="1:10" s="1" customFormat="1" ht="15.9" customHeight="1">
      <c r="A268" s="27"/>
      <c r="B268" s="33"/>
      <c r="C268" s="363">
        <f>$J$137+$J$138</f>
        <v>2</v>
      </c>
      <c r="D268" s="161"/>
      <c r="E268" s="10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B270" s="33"/>
      <c r="D270" s="89"/>
      <c r="E270" s="89"/>
      <c r="F270" s="109"/>
      <c r="G270" s="109"/>
      <c r="H270" s="109"/>
      <c r="J270" s="12"/>
    </row>
    <row r="271" spans="1:10" s="1" customFormat="1" ht="15.9" customHeight="1">
      <c r="A271" s="27"/>
      <c r="D271" s="328"/>
      <c r="E271" s="328"/>
      <c r="F271" s="109"/>
      <c r="G271" s="109"/>
      <c r="H271" s="109"/>
      <c r="J271" s="12"/>
    </row>
    <row r="272" spans="1:10" s="1" customFormat="1" ht="15.9" customHeight="1">
      <c r="A272" s="27"/>
      <c r="B272" s="33"/>
      <c r="D272" s="328"/>
      <c r="E272" s="328"/>
      <c r="F272" s="109"/>
      <c r="G272" s="109"/>
      <c r="I272" s="24"/>
      <c r="J272" s="24"/>
    </row>
    <row r="273" spans="1:10" s="1" customFormat="1" ht="15.9" customHeight="1">
      <c r="A273" s="27"/>
      <c r="B273" s="33"/>
      <c r="C273" s="33"/>
      <c r="D273" s="161"/>
      <c r="E273" s="109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89" t="s">
        <v>280</v>
      </c>
      <c r="D274" s="162"/>
      <c r="E274" s="24"/>
      <c r="F274" s="109"/>
      <c r="G274" s="109"/>
      <c r="I274" s="24"/>
      <c r="J274" s="24"/>
    </row>
    <row r="275" spans="1:10" s="1" customFormat="1" ht="15.9" customHeight="1">
      <c r="A275" s="27"/>
      <c r="B275" s="33"/>
      <c r="C275" s="328" t="s">
        <v>649</v>
      </c>
      <c r="D275" s="328"/>
      <c r="E275" s="328"/>
      <c r="F275" s="109"/>
      <c r="G275" s="109"/>
      <c r="I275" s="109"/>
      <c r="J275" s="24"/>
    </row>
    <row r="276" spans="1:10" s="1" customFormat="1" ht="15.9" customHeight="1">
      <c r="A276" s="27"/>
      <c r="B276" s="33"/>
      <c r="C276" s="433" t="s">
        <v>650</v>
      </c>
      <c r="D276" s="327"/>
      <c r="E276" s="327"/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374">
        <f>$I$139</f>
        <v>2404</v>
      </c>
      <c r="F277" s="109"/>
      <c r="G277" s="109"/>
      <c r="I277" s="109"/>
      <c r="J277" s="24"/>
    </row>
    <row r="278" spans="1:10" s="1" customFormat="1" ht="15.9" customHeight="1">
      <c r="A278" s="27"/>
      <c r="B278" s="33"/>
      <c r="C278" s="363">
        <f>$J$139+$J$140</f>
        <v>2</v>
      </c>
      <c r="F278" s="109"/>
      <c r="G278" s="109"/>
      <c r="I278" s="109"/>
      <c r="J278" s="24"/>
    </row>
    <row r="279" spans="1:10" s="1" customFormat="1" ht="15.9" customHeight="1">
      <c r="A279" s="27"/>
      <c r="B279" s="33"/>
      <c r="F279" s="109"/>
      <c r="G279" s="109"/>
      <c r="H279" s="109"/>
      <c r="J279" s="12"/>
    </row>
    <row r="280" spans="1:10" s="1" customFormat="1" ht="15.9" customHeight="1">
      <c r="A280" s="27"/>
      <c r="B280" s="33"/>
      <c r="C280" s="33"/>
      <c r="D280" s="161"/>
      <c r="E280" s="109"/>
      <c r="F280" s="109"/>
      <c r="G280" s="109"/>
      <c r="H280" s="109"/>
      <c r="J280" s="12"/>
    </row>
    <row r="281" spans="1:10" s="1" customFormat="1" ht="15.9" customHeight="1">
      <c r="A281" s="27"/>
      <c r="B281" s="33"/>
      <c r="F281" s="109"/>
      <c r="G281" s="109"/>
      <c r="H281" s="109"/>
      <c r="J281" s="12"/>
    </row>
    <row r="282" spans="1:10" s="1" customFormat="1" ht="15.9" customHeight="1">
      <c r="A282" s="27"/>
      <c r="B282" s="33"/>
      <c r="F282" s="109"/>
      <c r="G282" s="109"/>
      <c r="H282" s="109"/>
      <c r="I282" s="162"/>
      <c r="J282" s="24"/>
    </row>
    <row r="283" spans="1:10" s="1" customFormat="1" ht="15.9" customHeight="1">
      <c r="A283" s="27"/>
      <c r="B283" s="33"/>
      <c r="C283" s="89" t="s">
        <v>283</v>
      </c>
      <c r="F283" s="109"/>
      <c r="G283" s="109"/>
      <c r="H283" s="109"/>
      <c r="I283" s="109"/>
      <c r="J283" s="24"/>
    </row>
    <row r="284" spans="1:10" s="1" customFormat="1" ht="15.9" customHeight="1">
      <c r="A284" s="27"/>
      <c r="B284" s="33"/>
      <c r="C284" s="94" t="s">
        <v>434</v>
      </c>
      <c r="D284" s="161"/>
      <c r="E284" s="109"/>
      <c r="F284" s="109"/>
      <c r="G284" s="109"/>
      <c r="H284" s="109"/>
      <c r="I284" s="24"/>
      <c r="J284" s="24"/>
    </row>
    <row r="285" spans="1:10" s="1" customFormat="1" ht="15.9" customHeight="1">
      <c r="A285" s="27"/>
      <c r="B285" s="33"/>
      <c r="C285" s="327" t="s">
        <v>435</v>
      </c>
      <c r="D285" s="161"/>
      <c r="E285" s="109"/>
      <c r="F285" s="109"/>
      <c r="G285" s="109"/>
      <c r="H285" s="109"/>
      <c r="I285" s="24"/>
      <c r="J285" s="24"/>
    </row>
    <row r="286" spans="1:10" s="1" customFormat="1" ht="15.9" customHeight="1">
      <c r="A286" s="27"/>
      <c r="B286" s="33"/>
      <c r="C286" s="328" t="s">
        <v>281</v>
      </c>
      <c r="D286" s="328"/>
      <c r="E286" s="328"/>
      <c r="F286" s="109"/>
      <c r="G286" s="109"/>
      <c r="I286" s="24"/>
      <c r="J286" s="24"/>
    </row>
    <row r="287" spans="1:10" s="23" customFormat="1" ht="15.9" customHeight="1">
      <c r="A287" s="27"/>
      <c r="B287" s="33"/>
      <c r="C287" s="327" t="s">
        <v>282</v>
      </c>
      <c r="D287" s="327"/>
      <c r="E287" s="327"/>
      <c r="F287" s="109"/>
      <c r="G287" s="109"/>
      <c r="H287" s="1"/>
      <c r="I287" s="109"/>
      <c r="J287" s="109"/>
    </row>
    <row r="288" spans="1:10" s="1" customFormat="1" ht="15.9" customHeight="1">
      <c r="A288" s="27"/>
      <c r="B288" s="33"/>
      <c r="C288" s="374">
        <f>$I$141</f>
        <v>24.482142857142858</v>
      </c>
      <c r="F288" s="109"/>
      <c r="G288" s="109"/>
      <c r="I288" s="44"/>
      <c r="J288" s="119"/>
    </row>
    <row r="289" spans="1:10" s="1" customFormat="1" ht="15.9" customHeight="1">
      <c r="A289" s="27"/>
      <c r="B289" s="33"/>
      <c r="C289" s="363">
        <f>$J$141+$J$142</f>
        <v>28</v>
      </c>
      <c r="D289" s="161"/>
      <c r="E289" s="109"/>
      <c r="F289" s="109"/>
      <c r="G289" s="109"/>
      <c r="H289" s="161"/>
      <c r="I289" s="32"/>
      <c r="J289" s="40"/>
    </row>
    <row r="290" spans="1:10" s="1" customFormat="1" ht="15.9" customHeight="1">
      <c r="A290" s="27"/>
      <c r="B290" s="33"/>
      <c r="C290" s="374">
        <f>$I$143</f>
        <v>2408</v>
      </c>
      <c r="D290" s="161"/>
      <c r="E290" s="109"/>
      <c r="F290" s="109"/>
      <c r="G290" s="109"/>
      <c r="H290" s="109"/>
      <c r="I290" s="24"/>
      <c r="J290" s="24"/>
    </row>
    <row r="291" spans="1:10" s="1" customFormat="1" ht="15.9" customHeight="1">
      <c r="A291" s="27"/>
      <c r="B291" s="33"/>
      <c r="C291" s="363">
        <f>$J$143+$J$144+$J$145+$J$146</f>
        <v>28</v>
      </c>
      <c r="D291" s="161"/>
      <c r="E291" s="109"/>
      <c r="F291" s="109"/>
      <c r="G291" s="109"/>
      <c r="H291" s="109"/>
      <c r="I291" s="24"/>
      <c r="J291" s="24"/>
    </row>
    <row r="292" spans="1:10" s="1" customFormat="1" ht="15.9" customHeight="1">
      <c r="A292" s="27"/>
      <c r="B292" s="33"/>
      <c r="C292" s="33"/>
      <c r="D292" s="161"/>
      <c r="E292" s="109"/>
      <c r="F292" s="109"/>
      <c r="G292" s="109"/>
      <c r="H292" s="109"/>
      <c r="I292" s="109"/>
      <c r="J292" s="24"/>
    </row>
    <row r="293" spans="1:10" s="1" customFormat="1" ht="15.9" customHeight="1">
      <c r="A293" s="27"/>
      <c r="B293" s="33"/>
      <c r="C293" s="23"/>
      <c r="D293" s="161"/>
      <c r="E293" s="109"/>
      <c r="F293" s="109"/>
      <c r="G293" s="109"/>
      <c r="H293" s="109"/>
      <c r="I293" s="109"/>
      <c r="J293" s="24"/>
    </row>
    <row r="294" spans="1:10" s="1" customFormat="1" ht="15.9" customHeight="1">
      <c r="A294" s="27"/>
      <c r="B294" s="33"/>
      <c r="C294" s="89" t="s">
        <v>284</v>
      </c>
      <c r="D294" s="161"/>
      <c r="E294" s="109"/>
      <c r="F294" s="109"/>
      <c r="G294" s="109"/>
      <c r="H294" s="109"/>
      <c r="I294" s="109"/>
      <c r="J294" s="24"/>
    </row>
    <row r="295" spans="1:10" s="1" customFormat="1" ht="15.9" customHeight="1">
      <c r="A295" s="27"/>
      <c r="B295" s="33"/>
      <c r="C295" s="94" t="s">
        <v>434</v>
      </c>
      <c r="D295" s="161"/>
      <c r="E295" s="109"/>
      <c r="F295" s="109"/>
      <c r="G295" s="44"/>
      <c r="H295" s="44"/>
      <c r="I295" s="109"/>
      <c r="J295" s="24"/>
    </row>
    <row r="296" spans="1:10" s="1" customFormat="1" ht="15.9" customHeight="1">
      <c r="A296" s="27"/>
      <c r="B296" s="33"/>
      <c r="C296" s="327" t="s">
        <v>435</v>
      </c>
      <c r="D296" s="328"/>
      <c r="E296" s="328"/>
      <c r="F296" s="109"/>
      <c r="G296" s="40"/>
      <c r="H296" s="32"/>
      <c r="I296" s="109"/>
      <c r="J296" s="24"/>
    </row>
    <row r="297" spans="1:10" s="1" customFormat="1" ht="15.9" customHeight="1">
      <c r="A297" s="41"/>
      <c r="B297" s="33"/>
      <c r="C297" s="328" t="s">
        <v>286</v>
      </c>
      <c r="D297" s="327"/>
      <c r="E297" s="327"/>
      <c r="F297" s="109"/>
      <c r="G297" s="109"/>
      <c r="H297" s="109"/>
      <c r="I297" s="109"/>
      <c r="J297" s="24"/>
    </row>
    <row r="298" spans="1:10" s="1" customFormat="1" ht="15.9" customHeight="1">
      <c r="A298" s="44"/>
      <c r="B298" s="44"/>
      <c r="C298" s="327" t="s">
        <v>285</v>
      </c>
      <c r="D298" s="86"/>
      <c r="E298" s="79"/>
      <c r="F298" s="44"/>
      <c r="G298" s="109"/>
      <c r="H298" s="109"/>
      <c r="I298" s="109"/>
      <c r="J298" s="24"/>
    </row>
    <row r="299" spans="1:10" s="1" customFormat="1" ht="15.9" customHeight="1">
      <c r="A299" s="40"/>
      <c r="B299" s="40"/>
      <c r="C299" s="374">
        <f>$I$147</f>
        <v>24.482142857142858</v>
      </c>
      <c r="D299" s="87"/>
      <c r="E299" s="80"/>
      <c r="F299" s="32"/>
      <c r="G299" s="109"/>
      <c r="H299" s="109"/>
      <c r="I299" s="109"/>
      <c r="J299" s="24"/>
    </row>
    <row r="300" spans="1:10" s="1" customFormat="1" ht="15.9" customHeight="1">
      <c r="A300" s="109"/>
      <c r="B300" s="33"/>
      <c r="C300" s="363">
        <f>$J$147</f>
        <v>28</v>
      </c>
      <c r="D300" s="15"/>
      <c r="F300" s="109"/>
      <c r="G300" s="109"/>
      <c r="H300" s="109"/>
      <c r="I300" s="109"/>
      <c r="J300" s="24"/>
    </row>
    <row r="301" spans="1:10" s="1" customFormat="1" ht="15.9" customHeight="1">
      <c r="A301" s="109"/>
      <c r="B301" s="33"/>
      <c r="C301" s="374">
        <f>$I$148</f>
        <v>2258</v>
      </c>
      <c r="D301" s="15"/>
      <c r="F301" s="109"/>
      <c r="G301" s="109"/>
      <c r="H301" s="109"/>
      <c r="I301" s="109"/>
      <c r="J301" s="24"/>
    </row>
    <row r="302" spans="1:10" s="1" customFormat="1" ht="15.9" customHeight="1">
      <c r="A302" s="109"/>
      <c r="B302" s="33"/>
      <c r="C302" s="363">
        <f>$J$148</f>
        <v>28</v>
      </c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D305" s="15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C306" s="89" t="s">
        <v>288</v>
      </c>
      <c r="D306" s="161"/>
      <c r="E306" s="109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328" t="s">
        <v>281</v>
      </c>
      <c r="D307" s="328"/>
      <c r="E307" s="328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542" t="s">
        <v>282</v>
      </c>
      <c r="D308" s="542"/>
      <c r="E308" s="542"/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74">
        <f>$I$149</f>
        <v>2408</v>
      </c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63">
        <f>$J$149+$J$150</f>
        <v>2</v>
      </c>
      <c r="D310" s="328"/>
      <c r="E310" s="328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C311" s="328"/>
      <c r="D311" s="328"/>
      <c r="E311" s="328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C312" s="328"/>
      <c r="D312" s="328"/>
      <c r="E312" s="328"/>
      <c r="F312" s="109"/>
      <c r="G312" s="109"/>
      <c r="H312" s="109"/>
      <c r="I312" s="109"/>
      <c r="J312" s="24"/>
    </row>
    <row r="313" spans="1:14" s="1" customFormat="1" ht="15.9" customHeight="1">
      <c r="A313" s="109"/>
      <c r="B313" s="33"/>
      <c r="D313" s="15"/>
      <c r="F313" s="109"/>
      <c r="G313" s="109"/>
      <c r="H313" s="109"/>
      <c r="I313" s="109"/>
      <c r="J313" s="24"/>
    </row>
    <row r="314" spans="1:14" s="1" customFormat="1" ht="15.9" customHeight="1">
      <c r="A314" s="25"/>
      <c r="B314" s="33"/>
      <c r="D314" s="162"/>
      <c r="E314" s="24"/>
      <c r="F314" s="109"/>
      <c r="G314" s="109"/>
      <c r="H314" s="109"/>
      <c r="I314" s="27"/>
      <c r="J314" s="99" t="str">
        <f>LEFT($J$111,14)&amp;"-03"</f>
        <v>FG-240-14P7L7R-03</v>
      </c>
    </row>
    <row r="315" spans="1:14" ht="12.75" customHeight="1">
      <c r="A315" s="17"/>
      <c r="B315" s="26"/>
      <c r="C315" s="26"/>
      <c r="D315" s="83"/>
      <c r="E315" s="25"/>
      <c r="F315" s="25"/>
      <c r="G315" s="25"/>
      <c r="H315" s="25"/>
      <c r="I315" s="179"/>
      <c r="J315" s="179"/>
    </row>
    <row r="316" spans="1:14" ht="30" customHeight="1">
      <c r="I316" s="95"/>
      <c r="J316" s="90" t="str">
        <f>$J$2</f>
        <v>HOMELIFE</v>
      </c>
      <c r="K316" s="11"/>
      <c r="L316" s="11"/>
      <c r="M316" s="2"/>
      <c r="N316" s="2"/>
    </row>
    <row r="317" spans="1:14" ht="24.9" customHeight="1">
      <c r="B317" s="271"/>
      <c r="C317" s="5"/>
      <c r="D317" s="95"/>
      <c r="E317" s="95"/>
      <c r="F317" s="95"/>
      <c r="G317" s="95"/>
      <c r="H317" s="95"/>
      <c r="I317" s="28"/>
      <c r="J317" s="91" t="str">
        <f>$J$3</f>
        <v>Fabricators Guide</v>
      </c>
      <c r="K317" s="11"/>
      <c r="L317" s="11"/>
      <c r="M317" s="2"/>
      <c r="N317" s="2"/>
    </row>
    <row r="318" spans="1:14" ht="24.9" customHeight="1">
      <c r="B318" s="271"/>
      <c r="C318" s="28"/>
      <c r="D318" s="28"/>
      <c r="E318" s="28"/>
      <c r="F318" s="28"/>
      <c r="G318" s="28"/>
      <c r="H318" s="28"/>
      <c r="I318" s="28"/>
      <c r="J318" s="91" t="str">
        <f>$J$4</f>
        <v xml:space="preserve">240 Series Bi Fold Door </v>
      </c>
      <c r="K318" s="48"/>
      <c r="L318" s="48"/>
      <c r="M318" s="4"/>
      <c r="N318" s="4"/>
    </row>
    <row r="319" spans="1:14" s="1" customFormat="1" ht="15" customHeight="1" thickBot="1">
      <c r="A319" s="78"/>
      <c r="B319" s="8"/>
      <c r="C319" s="28"/>
      <c r="D319" s="28"/>
      <c r="E319" s="28"/>
      <c r="F319" s="28"/>
      <c r="G319" s="28"/>
      <c r="H319" s="28"/>
      <c r="I319" s="78"/>
      <c r="J319" s="113"/>
      <c r="K319" s="4"/>
      <c r="L319" s="4"/>
      <c r="M319" s="4"/>
      <c r="N319" s="4"/>
    </row>
    <row r="320" spans="1:14" ht="24.9" customHeight="1" thickBot="1">
      <c r="A320" s="502" t="s">
        <v>33</v>
      </c>
      <c r="B320" s="503"/>
      <c r="C320" s="503"/>
      <c r="D320" s="503"/>
      <c r="E320" s="503"/>
      <c r="F320" s="503"/>
      <c r="G320" s="503"/>
      <c r="H320" s="503"/>
      <c r="I320" s="503"/>
      <c r="J320" s="504"/>
      <c r="K320" s="4"/>
      <c r="L320" s="4"/>
      <c r="M320" s="4"/>
      <c r="N320" s="4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7"/>
      <c r="B325" s="56"/>
      <c r="C325" s="56"/>
      <c r="D325" s="30"/>
      <c r="E325" s="29"/>
      <c r="F325" s="30"/>
      <c r="G325" s="31"/>
      <c r="H325" s="31"/>
      <c r="I325" s="17"/>
      <c r="J325" s="17"/>
    </row>
    <row r="326" spans="1:10" s="1" customFormat="1" ht="15" customHeight="1">
      <c r="A326" s="109"/>
      <c r="B326" s="56"/>
      <c r="C326" s="30"/>
      <c r="D326" s="30"/>
      <c r="E326" s="29"/>
      <c r="F326" s="30"/>
      <c r="G326" s="17"/>
      <c r="H326" s="31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109"/>
      <c r="F327" s="161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3"/>
      <c r="G328" s="109"/>
      <c r="H328" s="34"/>
      <c r="I328" s="109"/>
      <c r="J328" s="109"/>
    </row>
    <row r="329" spans="1:10" s="1" customFormat="1" ht="15" customHeight="1">
      <c r="A329" s="109"/>
      <c r="B329" s="33"/>
      <c r="C329" s="161"/>
      <c r="D329" s="161"/>
      <c r="E329" s="35"/>
      <c r="F329" s="161"/>
      <c r="G329" s="109"/>
      <c r="H329" s="34"/>
      <c r="I329" s="42"/>
      <c r="J329" s="109"/>
    </row>
    <row r="330" spans="1:10" s="1" customFormat="1" ht="15" customHeight="1">
      <c r="A330" s="39"/>
      <c r="B330" s="33"/>
      <c r="C330" s="42"/>
      <c r="D330" s="161"/>
      <c r="E330" s="109"/>
      <c r="F330" s="505"/>
      <c r="G330" s="505"/>
      <c r="H330" s="272"/>
      <c r="I330" s="163"/>
      <c r="J330" s="109"/>
    </row>
    <row r="331" spans="1:10" s="1" customFormat="1" ht="15" customHeight="1">
      <c r="A331" s="92"/>
      <c r="B331" s="39"/>
      <c r="C331" s="163"/>
      <c r="D331" s="161"/>
      <c r="E331" s="109"/>
      <c r="F331" s="507"/>
      <c r="G331" s="507"/>
      <c r="H331" s="272"/>
      <c r="I331" s="161"/>
      <c r="J331" s="109"/>
    </row>
    <row r="332" spans="1:10" s="1" customFormat="1" ht="15" customHeight="1">
      <c r="A332" s="64" t="str">
        <f>A18</f>
        <v>240-14 Panel (7L7R)</v>
      </c>
      <c r="B332" s="92"/>
      <c r="C332" s="161"/>
      <c r="D332" s="161"/>
      <c r="E332" s="109"/>
      <c r="F332" s="272"/>
      <c r="G332" s="272"/>
      <c r="H332" s="272"/>
      <c r="I332" s="109"/>
      <c r="J332" s="109"/>
    </row>
    <row r="333" spans="1:10" s="1" customFormat="1" ht="15" customHeight="1">
      <c r="A333" s="76" t="str">
        <f>A19</f>
        <v xml:space="preserve">Outside Bi Fold Door </v>
      </c>
      <c r="B333" s="92"/>
      <c r="C333" s="161"/>
      <c r="D333" s="161"/>
      <c r="E333" s="109"/>
      <c r="F333" s="272"/>
      <c r="G333" s="272"/>
      <c r="H333" s="272"/>
      <c r="I333" s="109"/>
      <c r="J333" s="109"/>
    </row>
    <row r="334" spans="1:10" s="1" customFormat="1" ht="15.9" customHeight="1">
      <c r="A334" s="109"/>
      <c r="B334" s="45"/>
      <c r="C334" s="42"/>
      <c r="D334" s="161"/>
      <c r="E334" s="109"/>
      <c r="F334" s="507"/>
      <c r="G334" s="507"/>
      <c r="H334" s="272"/>
      <c r="I334" s="109"/>
      <c r="J334" s="109"/>
    </row>
    <row r="335" spans="1:10" s="1" customFormat="1" ht="15.9" customHeight="1">
      <c r="A335" s="39"/>
      <c r="B335" s="109"/>
      <c r="C335" s="161"/>
      <c r="D335" s="161"/>
      <c r="E335" s="109"/>
      <c r="F335" s="37"/>
      <c r="G335" s="38"/>
      <c r="H335" s="109"/>
      <c r="I335" s="109"/>
      <c r="J335" s="109"/>
    </row>
    <row r="336" spans="1:10" s="1" customFormat="1" ht="15.9" customHeight="1">
      <c r="A336" s="44"/>
      <c r="C336" s="43"/>
      <c r="D336" s="161"/>
      <c r="E336" s="109"/>
      <c r="F336" s="109"/>
      <c r="G336" s="109"/>
      <c r="H336" s="109"/>
      <c r="I336" s="44"/>
      <c r="J336" s="119"/>
    </row>
    <row r="337" spans="1:10" s="1" customFormat="1" ht="15.9" customHeight="1">
      <c r="A337" s="40"/>
      <c r="C337" s="44"/>
      <c r="D337" s="84"/>
      <c r="E337" s="44"/>
      <c r="F337" s="44"/>
      <c r="G337" s="44"/>
      <c r="H337" s="44"/>
      <c r="I337" s="32"/>
      <c r="J337" s="40"/>
    </row>
    <row r="338" spans="1:10" s="1" customFormat="1" ht="15.9" customHeight="1">
      <c r="A338" s="109"/>
      <c r="C338" s="161"/>
      <c r="D338" s="85"/>
      <c r="E338" s="40"/>
      <c r="F338" s="32"/>
      <c r="G338" s="40"/>
      <c r="H338" s="32"/>
      <c r="I338" s="24"/>
      <c r="J338" s="24"/>
    </row>
    <row r="339" spans="1:10" s="1" customFormat="1" ht="15.9" customHeight="1">
      <c r="A339" s="109"/>
      <c r="C339" s="163"/>
      <c r="D339" s="161"/>
      <c r="E339" s="109"/>
      <c r="F339" s="161"/>
      <c r="G339" s="109"/>
      <c r="H339" s="109"/>
      <c r="I339" s="24"/>
      <c r="J339" s="24"/>
    </row>
    <row r="340" spans="1:10" s="1" customFormat="1" ht="15.9" customHeight="1">
      <c r="A340" s="109"/>
      <c r="B340" s="33"/>
      <c r="C340" s="161"/>
      <c r="D340" s="161"/>
      <c r="E340" s="109"/>
      <c r="F340" s="161"/>
      <c r="G340" s="109"/>
      <c r="H340" s="109"/>
      <c r="I340" s="162"/>
      <c r="J340" s="162"/>
    </row>
    <row r="341" spans="1:10" s="1" customFormat="1" ht="15.9" customHeight="1">
      <c r="A341" s="109"/>
      <c r="B341" s="33"/>
      <c r="C341" s="44"/>
      <c r="D341" s="161"/>
      <c r="E341" s="109"/>
      <c r="F341" s="161"/>
      <c r="G341" s="109"/>
      <c r="H341" s="162"/>
      <c r="I341" s="161"/>
      <c r="J341" s="161"/>
    </row>
    <row r="342" spans="1:10" s="1" customFormat="1" ht="15.9" customHeight="1">
      <c r="A342" s="109"/>
      <c r="B342" s="33"/>
      <c r="C342" s="42"/>
      <c r="D342" s="161"/>
      <c r="E342" s="109"/>
      <c r="F342" s="161"/>
      <c r="G342" s="109"/>
      <c r="H342" s="161"/>
      <c r="I342" s="161"/>
      <c r="J342" s="161"/>
    </row>
    <row r="343" spans="1:10" s="1" customFormat="1" ht="15.9" customHeight="1">
      <c r="A343" s="109"/>
      <c r="B343" s="33"/>
      <c r="C343" s="163"/>
      <c r="D343" s="161"/>
      <c r="E343" s="109"/>
      <c r="F343" s="161"/>
      <c r="G343" s="109"/>
      <c r="H343" s="161"/>
      <c r="I343" s="109"/>
      <c r="J343" s="24"/>
    </row>
    <row r="344" spans="1:10" s="1" customFormat="1" ht="15.9" customHeight="1">
      <c r="A344" s="109"/>
      <c r="B344" s="33"/>
      <c r="C344" s="161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33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44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1"/>
      <c r="D349" s="161"/>
      <c r="E349" s="109"/>
      <c r="F349" s="161"/>
      <c r="G349" s="109"/>
      <c r="H349" s="109"/>
      <c r="I349" s="24"/>
      <c r="J349" s="24"/>
    </row>
    <row r="350" spans="1:10" s="1" customFormat="1" ht="15.9" customHeight="1">
      <c r="A350" s="109"/>
      <c r="B350" s="33"/>
      <c r="C350" s="163"/>
      <c r="D350" s="161"/>
      <c r="E350" s="109"/>
      <c r="F350" s="161"/>
      <c r="G350" s="109"/>
      <c r="H350" s="109"/>
      <c r="I350" s="109"/>
      <c r="J350" s="24"/>
    </row>
    <row r="351" spans="1:10" s="1" customFormat="1" ht="15.9" customHeight="1">
      <c r="A351" s="109"/>
      <c r="B351" s="33"/>
      <c r="C351" s="161"/>
      <c r="D351" s="161"/>
      <c r="E351" s="109"/>
      <c r="F351" s="161"/>
      <c r="G351" s="109"/>
      <c r="H351" s="109"/>
      <c r="I351" s="24"/>
      <c r="J351" s="24"/>
    </row>
    <row r="352" spans="1:10" s="1" customFormat="1" ht="15.9" customHeight="1">
      <c r="A352" s="109"/>
      <c r="B352" s="33"/>
      <c r="C352" s="33"/>
      <c r="D352" s="161"/>
      <c r="E352" s="109"/>
      <c r="F352" s="109"/>
      <c r="G352" s="109"/>
      <c r="H352" s="109"/>
      <c r="I352" s="24"/>
      <c r="J352" s="24"/>
    </row>
    <row r="353" spans="1:10" s="1" customFormat="1" ht="15" customHeight="1">
      <c r="A353" s="109"/>
      <c r="B353" s="33"/>
      <c r="C353" s="33"/>
      <c r="D353" s="161"/>
      <c r="E353" s="109"/>
      <c r="F353" s="109"/>
      <c r="G353" s="109"/>
      <c r="H353" s="107"/>
      <c r="I353" s="24"/>
      <c r="J353" s="24"/>
    </row>
    <row r="354" spans="1:10" s="23" customFormat="1" ht="15.9" customHeight="1">
      <c r="A354" s="109"/>
      <c r="B354" s="33"/>
      <c r="C354" s="33"/>
      <c r="D354" s="161"/>
      <c r="E354" s="109"/>
      <c r="F354" s="109"/>
      <c r="G354" s="109"/>
      <c r="H354" s="109"/>
      <c r="I354" s="109"/>
      <c r="J354" s="109"/>
    </row>
    <row r="355" spans="1:10" s="1" customFormat="1" ht="15.9" customHeight="1">
      <c r="A355" s="44"/>
      <c r="B355" s="33"/>
      <c r="C355" s="33"/>
      <c r="D355" s="161"/>
      <c r="E355" s="109"/>
      <c r="F355" s="109"/>
      <c r="G355" s="109"/>
      <c r="H355" s="109"/>
      <c r="I355" s="44"/>
      <c r="J355" s="119"/>
    </row>
    <row r="356" spans="1:10" s="1" customFormat="1" ht="15.9" customHeight="1">
      <c r="A356" s="40"/>
      <c r="B356" s="44"/>
      <c r="C356" s="44"/>
      <c r="D356" s="84"/>
      <c r="E356" s="44"/>
      <c r="F356" s="44"/>
      <c r="G356" s="44"/>
      <c r="H356" s="44"/>
      <c r="I356" s="32"/>
      <c r="J356" s="40"/>
    </row>
    <row r="357" spans="1:10" s="1" customFormat="1" ht="15.9" customHeight="1">
      <c r="A357" s="27"/>
      <c r="B357" s="40"/>
      <c r="C357" s="44"/>
      <c r="D357" s="85"/>
      <c r="E357" s="40"/>
      <c r="F357" s="32"/>
      <c r="G357" s="40"/>
      <c r="H357" s="32"/>
      <c r="I357" s="24"/>
      <c r="J357" s="24"/>
    </row>
    <row r="358" spans="1:10" s="1" customFormat="1" ht="15.9" customHeight="1">
      <c r="A358" s="27"/>
      <c r="B358" s="33"/>
      <c r="C358" s="42"/>
      <c r="D358" s="161"/>
      <c r="E358" s="109"/>
      <c r="F358" s="109"/>
      <c r="G358" s="109"/>
      <c r="H358" s="42"/>
      <c r="I358" s="163"/>
      <c r="J358" s="163"/>
    </row>
    <row r="359" spans="1:10" s="1" customFormat="1" ht="15.9" customHeight="1">
      <c r="A359" s="27"/>
      <c r="B359" s="33"/>
      <c r="C359" s="163"/>
      <c r="D359" s="161"/>
      <c r="E359" s="109"/>
      <c r="F359" s="109"/>
      <c r="G359" s="109"/>
      <c r="H359" s="163"/>
      <c r="I359" s="161"/>
      <c r="J359" s="161"/>
    </row>
    <row r="360" spans="1:10" s="1" customFormat="1" ht="15.9" customHeight="1">
      <c r="A360" s="27"/>
      <c r="B360" s="33"/>
      <c r="C360" s="161"/>
      <c r="D360" s="161"/>
      <c r="E360" s="109"/>
      <c r="F360" s="109"/>
      <c r="G360" s="109"/>
      <c r="H360" s="161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33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46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161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B368" s="33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B371" s="33"/>
      <c r="C371" s="33"/>
      <c r="D371" s="161"/>
      <c r="E371" s="109"/>
      <c r="F371" s="109"/>
      <c r="G371" s="109"/>
      <c r="H371" s="109"/>
      <c r="I371" s="24"/>
      <c r="J371" s="24"/>
    </row>
    <row r="372" spans="1:10" s="1" customFormat="1" ht="15.9" customHeight="1">
      <c r="A372" s="27"/>
      <c r="D372" s="161"/>
      <c r="E372" s="109"/>
      <c r="F372" s="109"/>
      <c r="G372" s="33"/>
      <c r="H372" s="33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109"/>
      <c r="I375" s="24"/>
      <c r="J375" s="24"/>
    </row>
    <row r="376" spans="1:10" s="1" customFormat="1" ht="15.9" customHeight="1">
      <c r="A376" s="27"/>
      <c r="B376" s="33"/>
      <c r="C376" s="33"/>
      <c r="D376" s="161"/>
      <c r="E376" s="109"/>
      <c r="F376" s="109"/>
      <c r="G376" s="109"/>
      <c r="H376" s="42"/>
      <c r="I376" s="163"/>
      <c r="J376" s="163"/>
    </row>
    <row r="377" spans="1:10" s="1" customFormat="1" ht="15.9" customHeight="1">
      <c r="A377" s="27"/>
      <c r="B377" s="33"/>
      <c r="C377" s="47"/>
      <c r="D377" s="161"/>
      <c r="E377" s="109"/>
      <c r="F377" s="109"/>
      <c r="G377" s="109"/>
      <c r="H377" s="163"/>
      <c r="I377" s="161"/>
      <c r="J377" s="161"/>
    </row>
    <row r="378" spans="1:10" s="1" customFormat="1" ht="15.9" customHeight="1">
      <c r="A378" s="27"/>
      <c r="B378" s="33"/>
      <c r="C378" s="46"/>
      <c r="D378" s="161"/>
      <c r="E378" s="109"/>
      <c r="F378" s="109"/>
      <c r="G378" s="109"/>
      <c r="H378" s="161"/>
      <c r="I378" s="24"/>
      <c r="J378" s="24"/>
    </row>
    <row r="379" spans="1:10" s="1" customFormat="1" ht="15.9" customHeight="1">
      <c r="A379" s="27"/>
      <c r="B379" s="33"/>
      <c r="C379" s="161"/>
      <c r="D379" s="161"/>
      <c r="E379" s="109"/>
      <c r="F379" s="109"/>
      <c r="G379" s="109"/>
      <c r="H379" s="42"/>
      <c r="I379" s="163"/>
      <c r="J379" s="163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3"/>
      <c r="I380" s="161"/>
      <c r="J380" s="161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61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24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09"/>
      <c r="J387" s="2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09"/>
      <c r="I388" s="164"/>
      <c r="J388" s="164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4"/>
      <c r="I389" s="165"/>
      <c r="J389" s="165"/>
    </row>
    <row r="390" spans="1:10" s="1" customFormat="1" ht="15.9" customHeight="1">
      <c r="A390" s="27"/>
      <c r="B390" s="33"/>
      <c r="C390" s="33"/>
      <c r="D390" s="161"/>
      <c r="E390" s="109"/>
      <c r="F390" s="109"/>
      <c r="G390" s="109"/>
      <c r="H390" s="165"/>
      <c r="I390" s="161"/>
      <c r="J390" s="161"/>
    </row>
    <row r="391" spans="1:10" s="1" customFormat="1" ht="15.9" customHeight="1">
      <c r="A391" s="27"/>
      <c r="B391" s="33"/>
      <c r="C391" s="47"/>
      <c r="D391" s="161"/>
      <c r="E391" s="109"/>
      <c r="F391" s="109"/>
      <c r="G391" s="109"/>
      <c r="H391" s="161"/>
      <c r="I391" s="24"/>
      <c r="J391" s="24"/>
    </row>
    <row r="392" spans="1:10" s="1" customFormat="1" ht="15.9" customHeight="1">
      <c r="A392" s="27"/>
      <c r="B392" s="33"/>
      <c r="C392" s="46"/>
      <c r="D392" s="161"/>
      <c r="E392" s="109"/>
      <c r="F392" s="109"/>
      <c r="G392" s="109"/>
      <c r="H392" s="109"/>
      <c r="I392" s="109"/>
      <c r="J392" s="24"/>
    </row>
    <row r="393" spans="1:10" s="1" customFormat="1" ht="15.9" customHeight="1">
      <c r="A393" s="27"/>
      <c r="B393" s="33"/>
      <c r="C393" s="161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27"/>
      <c r="B395" s="33"/>
      <c r="C395" s="33"/>
      <c r="D395" s="161"/>
      <c r="E395" s="109"/>
      <c r="F395" s="109"/>
      <c r="G395" s="109"/>
      <c r="H395" s="109"/>
      <c r="I395" s="24"/>
      <c r="J395" s="24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1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23" customFormat="1" ht="15.9" customHeight="1">
      <c r="A404" s="41"/>
      <c r="B404" s="33"/>
      <c r="C404" s="33"/>
      <c r="D404" s="161"/>
      <c r="E404" s="109"/>
      <c r="F404" s="109"/>
      <c r="G404" s="109"/>
      <c r="H404" s="109"/>
      <c r="I404" s="109"/>
      <c r="J404" s="109"/>
    </row>
    <row r="405" spans="1:10" s="1" customFormat="1" ht="15.9" customHeight="1">
      <c r="A405" s="44"/>
      <c r="B405" s="33"/>
      <c r="C405" s="33"/>
      <c r="D405" s="161"/>
      <c r="E405" s="109"/>
      <c r="F405" s="109"/>
      <c r="G405" s="109"/>
      <c r="H405" s="109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44"/>
      <c r="B418" s="44"/>
      <c r="C418" s="44"/>
      <c r="D418" s="84"/>
      <c r="E418" s="44"/>
      <c r="F418" s="44"/>
      <c r="G418" s="44"/>
      <c r="H418" s="44"/>
      <c r="I418" s="44"/>
      <c r="J418" s="119"/>
    </row>
    <row r="419" spans="1:14" s="1" customFormat="1" ht="15.9" customHeight="1">
      <c r="A419" s="109"/>
      <c r="B419" s="44"/>
      <c r="C419" s="44"/>
      <c r="D419" s="84"/>
      <c r="E419" s="44"/>
      <c r="F419" s="44"/>
      <c r="G419" s="44"/>
      <c r="H419" s="44"/>
      <c r="I419" s="24"/>
      <c r="J419" s="24"/>
      <c r="K419" s="71"/>
    </row>
    <row r="420" spans="1:14" s="1" customFormat="1" ht="15.9" customHeight="1">
      <c r="A420" s="109"/>
      <c r="B420" s="33"/>
      <c r="C420" s="33"/>
      <c r="D420" s="161"/>
      <c r="E420" s="109"/>
      <c r="F420" s="109"/>
      <c r="G420" s="109"/>
      <c r="H420" s="109"/>
      <c r="I420" s="24"/>
    </row>
    <row r="421" spans="1:14" ht="18">
      <c r="A421" s="109"/>
      <c r="B421" s="33"/>
      <c r="C421" s="33"/>
      <c r="D421" s="161"/>
      <c r="E421" s="109"/>
      <c r="F421" s="109"/>
      <c r="G421" s="109"/>
      <c r="H421" s="109"/>
      <c r="I421" s="109"/>
      <c r="J421" s="99" t="str">
        <f>LEFT($J$111,14)&amp;"-04"</f>
        <v>FG-240-14P7L7R-04</v>
      </c>
      <c r="K421" s="7"/>
      <c r="L421" s="7"/>
      <c r="M421" s="2"/>
      <c r="N421" s="2"/>
    </row>
    <row r="422" spans="1:14" ht="12.75" customHeight="1">
      <c r="A422" s="109"/>
      <c r="B422" s="33"/>
      <c r="C422" s="33"/>
      <c r="D422" s="161"/>
      <c r="E422" s="109"/>
      <c r="F422" s="109"/>
      <c r="G422" s="109"/>
      <c r="H422" s="109"/>
      <c r="I422" s="109"/>
      <c r="J422" s="114"/>
      <c r="K422" s="7"/>
      <c r="L422" s="7"/>
      <c r="M422" s="2"/>
      <c r="N422" s="2"/>
    </row>
    <row r="423" spans="1:14" ht="30" customHeight="1">
      <c r="B423" s="33"/>
      <c r="C423" s="33"/>
      <c r="D423" s="161"/>
      <c r="E423" s="109"/>
      <c r="F423" s="109"/>
      <c r="G423" s="109"/>
      <c r="H423" s="109"/>
      <c r="I423" s="95"/>
      <c r="J423" s="90" t="str">
        <f>J2</f>
        <v>HOMELIFE</v>
      </c>
      <c r="K423" s="11"/>
      <c r="L423" s="11"/>
      <c r="M423" s="2"/>
      <c r="N423" s="2"/>
    </row>
    <row r="424" spans="1:14" ht="24.9" customHeight="1">
      <c r="B424" s="271"/>
      <c r="C424" s="5"/>
      <c r="D424" s="95"/>
      <c r="E424" s="95"/>
      <c r="F424" s="95"/>
      <c r="G424" s="95"/>
      <c r="H424" s="95"/>
      <c r="I424" s="28"/>
      <c r="J424" s="91" t="str">
        <f>J3</f>
        <v>Fabricators Guide</v>
      </c>
      <c r="K424" s="11"/>
      <c r="L424" s="11"/>
      <c r="M424" s="2"/>
      <c r="N424" s="2"/>
    </row>
    <row r="425" spans="1:14" ht="24.9" customHeight="1">
      <c r="B425" s="271"/>
      <c r="C425" s="28"/>
      <c r="D425" s="28"/>
      <c r="E425" s="28"/>
      <c r="F425" s="28"/>
      <c r="G425" s="28"/>
      <c r="H425" s="28"/>
      <c r="I425" s="28"/>
      <c r="J425" s="91" t="str">
        <f>J4</f>
        <v xml:space="preserve">240 Series Bi Fold Door </v>
      </c>
      <c r="K425" s="48"/>
      <c r="L425" s="48"/>
      <c r="M425" s="4"/>
      <c r="N425" s="4"/>
    </row>
    <row r="426" spans="1:14" s="1" customFormat="1" ht="15" customHeight="1" thickBot="1">
      <c r="A426" s="78"/>
      <c r="B426" s="8"/>
      <c r="C426" s="28"/>
      <c r="D426" s="28"/>
      <c r="E426" s="28"/>
      <c r="F426" s="28"/>
      <c r="G426" s="28"/>
      <c r="H426" s="28"/>
      <c r="I426" s="78"/>
      <c r="J426" s="100"/>
      <c r="K426" s="4"/>
      <c r="L426" s="4"/>
      <c r="M426" s="4"/>
      <c r="N426" s="4"/>
    </row>
    <row r="427" spans="1:14" s="1" customFormat="1" ht="24.9" customHeight="1" thickBot="1">
      <c r="A427" s="502" t="s">
        <v>34</v>
      </c>
      <c r="B427" s="503"/>
      <c r="C427" s="503"/>
      <c r="D427" s="503"/>
      <c r="E427" s="503"/>
      <c r="F427" s="503"/>
      <c r="G427" s="503"/>
      <c r="H427" s="503"/>
      <c r="I427" s="503"/>
      <c r="J427" s="504"/>
      <c r="K427" s="4"/>
      <c r="L427" s="4"/>
      <c r="M427" s="4"/>
      <c r="N427" s="4"/>
    </row>
    <row r="428" spans="1:14" s="1" customFormat="1" ht="15" customHeight="1">
      <c r="A428" s="193"/>
      <c r="B428" s="194"/>
      <c r="C428" s="194"/>
      <c r="D428" s="194"/>
      <c r="E428" s="194"/>
      <c r="F428" s="194"/>
      <c r="G428" s="194"/>
      <c r="H428" s="194"/>
      <c r="I428" s="193"/>
      <c r="K428" s="56"/>
      <c r="L428" s="56"/>
      <c r="M428" s="56"/>
      <c r="N428" s="56"/>
    </row>
    <row r="429" spans="1:14" s="1" customFormat="1" ht="15" customHeight="1">
      <c r="A429" s="45"/>
      <c r="B429" s="193"/>
      <c r="C429" s="193"/>
      <c r="D429" s="193"/>
      <c r="E429" s="193"/>
      <c r="F429" s="193"/>
      <c r="G429" s="193"/>
      <c r="H429" s="193"/>
      <c r="I429" s="44"/>
      <c r="J429" s="119"/>
    </row>
    <row r="430" spans="1:14" s="1" customFormat="1" ht="15" customHeight="1">
      <c r="A430" s="109"/>
      <c r="B430" s="39"/>
      <c r="C430" s="33"/>
      <c r="D430" s="161"/>
      <c r="E430" s="35"/>
      <c r="F430" s="39"/>
      <c r="G430" s="193"/>
      <c r="H430" s="44"/>
      <c r="I430" s="44"/>
      <c r="J430" s="119"/>
    </row>
    <row r="431" spans="1:14" s="1" customFormat="1" ht="15" customHeight="1">
      <c r="A431" s="109"/>
      <c r="B431" s="33"/>
      <c r="C431" s="33"/>
      <c r="D431" s="161"/>
      <c r="E431" s="35"/>
      <c r="F431" s="161"/>
      <c r="G431" s="193"/>
      <c r="H431" s="44"/>
      <c r="I431" s="44"/>
      <c r="J431" s="119"/>
    </row>
    <row r="432" spans="1:14" s="1" customFormat="1" ht="15" customHeight="1">
      <c r="A432" s="109"/>
      <c r="B432" s="56"/>
      <c r="C432" s="56"/>
      <c r="D432" s="30"/>
      <c r="E432" s="29"/>
      <c r="F432" s="30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109"/>
      <c r="F433" s="161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3"/>
      <c r="H434" s="44"/>
      <c r="I434" s="44"/>
      <c r="J434" s="119"/>
    </row>
    <row r="435" spans="1:10" s="1" customFormat="1" ht="15" customHeight="1">
      <c r="A435" s="109"/>
      <c r="B435" s="33"/>
      <c r="C435" s="161"/>
      <c r="D435" s="161"/>
      <c r="E435" s="35"/>
      <c r="F435" s="161"/>
      <c r="H435" s="44"/>
      <c r="I435" s="44"/>
      <c r="J435" s="119"/>
    </row>
    <row r="436" spans="1:10" s="1" customFormat="1" ht="15" customHeight="1">
      <c r="A436" s="39"/>
      <c r="B436" s="33"/>
      <c r="C436" s="42"/>
      <c r="D436" s="161"/>
      <c r="E436" s="109"/>
      <c r="F436" s="69"/>
      <c r="H436" s="44"/>
      <c r="I436" s="44"/>
      <c r="J436" s="119"/>
    </row>
    <row r="437" spans="1:10" s="1" customFormat="1" ht="15" customHeight="1">
      <c r="A437" s="92"/>
      <c r="B437" s="39"/>
      <c r="C437" s="163"/>
      <c r="D437" s="161"/>
      <c r="E437" s="109"/>
      <c r="F437" s="68"/>
      <c r="H437" s="44"/>
      <c r="I437" s="44"/>
      <c r="J437" s="119"/>
    </row>
    <row r="438" spans="1:10" s="1" customFormat="1" ht="15" customHeight="1">
      <c r="B438" s="92"/>
      <c r="C438" s="161"/>
      <c r="D438" s="161"/>
      <c r="E438" s="109"/>
      <c r="F438" s="272"/>
      <c r="H438" s="44"/>
      <c r="I438" s="44"/>
      <c r="J438" s="119"/>
    </row>
    <row r="439" spans="1:10" s="1" customFormat="1" ht="15" customHeight="1">
      <c r="A439" s="64" t="str">
        <f>A18</f>
        <v>240-14 Panel (7L7R)</v>
      </c>
      <c r="B439" s="92"/>
      <c r="C439" s="161"/>
      <c r="D439" s="161"/>
      <c r="E439" s="109"/>
      <c r="F439" s="272"/>
      <c r="H439" s="44"/>
      <c r="I439" s="44"/>
      <c r="J439" s="119"/>
    </row>
    <row r="440" spans="1:10" s="1" customFormat="1" ht="15.9" customHeight="1">
      <c r="A440" s="76" t="str">
        <f>A19</f>
        <v xml:space="preserve">Outside Bi Fold Door </v>
      </c>
      <c r="C440" s="42"/>
      <c r="D440" s="161"/>
      <c r="E440" s="109"/>
      <c r="F440" s="68"/>
      <c r="H440" s="44"/>
      <c r="I440" s="44"/>
      <c r="J440" s="119"/>
    </row>
    <row r="441" spans="1:10" s="1" customFormat="1" ht="15.9" customHeight="1">
      <c r="A441" s="39"/>
      <c r="C441" s="161"/>
      <c r="D441" s="161"/>
      <c r="E441" s="109"/>
      <c r="F441" s="37"/>
      <c r="H441" s="44"/>
      <c r="I441" s="44"/>
      <c r="J441" s="119"/>
    </row>
    <row r="442" spans="1:10" s="1" customFormat="1" ht="15.9" customHeight="1">
      <c r="A442" s="44"/>
      <c r="B442" s="38"/>
      <c r="C442" s="43"/>
      <c r="D442" s="161"/>
      <c r="E442" s="109"/>
      <c r="F442" s="109"/>
      <c r="H442" s="44"/>
      <c r="I442" s="44"/>
      <c r="J442" s="119"/>
    </row>
    <row r="443" spans="1:10" s="1" customFormat="1" ht="15.9" customHeight="1">
      <c r="A443" s="40"/>
      <c r="C443" s="44"/>
      <c r="D443" s="84"/>
      <c r="E443" s="44"/>
      <c r="F443" s="44"/>
      <c r="H443" s="44"/>
      <c r="I443" s="44"/>
      <c r="J443" s="119"/>
    </row>
    <row r="444" spans="1:10" s="1" customFormat="1" ht="35.1" customHeight="1">
      <c r="A444" s="109"/>
      <c r="C444" s="161"/>
      <c r="D444" s="85"/>
      <c r="E444" s="40"/>
      <c r="F444" s="32"/>
      <c r="H444" s="44"/>
      <c r="I444" s="24"/>
      <c r="J444" s="24"/>
    </row>
    <row r="445" spans="1:10" ht="15.6">
      <c r="B445" s="64"/>
      <c r="C445" s="163"/>
      <c r="D445" s="161"/>
      <c r="E445" s="109"/>
      <c r="F445" s="161"/>
      <c r="G445" s="109"/>
      <c r="H445" s="109"/>
    </row>
    <row r="450" spans="1:10" s="1" customFormat="1" ht="15.9" customHeight="1">
      <c r="A450" s="109"/>
      <c r="B450"/>
      <c r="C450"/>
      <c r="D450" s="81"/>
      <c r="E450"/>
      <c r="F450"/>
      <c r="G450"/>
      <c r="H450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33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44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1"/>
      <c r="D455" s="161"/>
      <c r="E455" s="109"/>
      <c r="F455" s="161"/>
      <c r="G455" s="109"/>
      <c r="H455" s="109"/>
      <c r="I455" s="24"/>
      <c r="J455" s="24"/>
    </row>
    <row r="456" spans="1:10" s="1" customFormat="1" ht="15.9" customHeight="1">
      <c r="A456" s="109"/>
      <c r="B456" s="33"/>
      <c r="C456" s="163"/>
      <c r="D456" s="161"/>
      <c r="E456" s="109"/>
      <c r="F456" s="161"/>
      <c r="G456" s="109"/>
      <c r="H456" s="109"/>
      <c r="I456" s="109"/>
      <c r="J456" s="24"/>
    </row>
    <row r="457" spans="1:10" s="1" customFormat="1" ht="15.9" customHeight="1">
      <c r="A457" s="109"/>
      <c r="B457" s="33"/>
      <c r="C457" s="161"/>
      <c r="D457" s="161"/>
      <c r="E457" s="109"/>
      <c r="F457" s="161"/>
      <c r="G457" s="109"/>
      <c r="H457" s="109"/>
      <c r="I457" s="24"/>
      <c r="J457" s="24"/>
    </row>
    <row r="458" spans="1:10" s="1" customFormat="1" ht="15.9" customHeight="1">
      <c r="A458" s="109"/>
      <c r="B458" s="33"/>
      <c r="C458" s="33"/>
      <c r="D458" s="161"/>
      <c r="E458" s="109"/>
      <c r="F458" s="109"/>
      <c r="G458" s="109"/>
      <c r="H458" s="109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7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1" customFormat="1" ht="15" customHeight="1">
      <c r="A476" s="109"/>
      <c r="B476" s="33"/>
      <c r="C476" s="33"/>
      <c r="D476" s="161"/>
      <c r="E476" s="109"/>
      <c r="F476" s="109"/>
      <c r="G476" s="109"/>
      <c r="H476" s="109"/>
      <c r="I476" s="24"/>
      <c r="J476" s="24"/>
    </row>
    <row r="477" spans="1:10" s="23" customFormat="1" ht="15.9" customHeight="1">
      <c r="A477" s="109"/>
      <c r="B477" s="33"/>
      <c r="C477" s="33"/>
      <c r="D477" s="161"/>
      <c r="E477" s="109"/>
      <c r="F477" s="109"/>
      <c r="G477" s="109"/>
      <c r="H477" s="109"/>
      <c r="I477" s="109"/>
      <c r="J477" s="109"/>
    </row>
    <row r="478" spans="1:10" s="1" customFormat="1" ht="15.9" customHeight="1">
      <c r="A478" s="44"/>
      <c r="B478" s="33"/>
      <c r="C478" s="33"/>
      <c r="D478" s="161"/>
      <c r="E478" s="109"/>
      <c r="F478" s="109"/>
      <c r="G478" s="109"/>
      <c r="H478" s="109"/>
      <c r="I478" s="44"/>
      <c r="J478" s="119"/>
    </row>
    <row r="479" spans="1:10" s="1" customFormat="1" ht="15.9" customHeight="1">
      <c r="A479" s="40"/>
      <c r="B479" s="44"/>
      <c r="C479" s="44"/>
      <c r="D479" s="84"/>
      <c r="E479" s="44"/>
      <c r="F479" s="44"/>
      <c r="G479" s="44"/>
      <c r="H479" s="44"/>
      <c r="I479" s="32"/>
      <c r="J479" s="40"/>
    </row>
    <row r="480" spans="1:10" s="1" customFormat="1" ht="15.9" customHeight="1">
      <c r="A480" s="27"/>
      <c r="B480" s="40"/>
      <c r="C480" s="44"/>
      <c r="D480" s="85"/>
      <c r="E480" s="40"/>
      <c r="F480" s="32"/>
      <c r="G480" s="40"/>
      <c r="H480" s="32"/>
      <c r="I480" s="24"/>
      <c r="J480" s="24"/>
    </row>
    <row r="481" spans="1:10" s="1" customFormat="1" ht="15.9" customHeight="1">
      <c r="A481" s="27"/>
      <c r="B481" s="33"/>
      <c r="C481" s="42"/>
      <c r="D481" s="161"/>
      <c r="E481" s="109"/>
      <c r="F481" s="109"/>
      <c r="G481" s="109"/>
      <c r="H481" s="42"/>
      <c r="I481" s="67"/>
      <c r="J481" s="165"/>
    </row>
    <row r="482" spans="1:10" s="1" customFormat="1" ht="15.9" customHeight="1">
      <c r="A482" s="27"/>
      <c r="B482" s="33"/>
      <c r="C482" s="163"/>
      <c r="D482" s="161"/>
      <c r="E482" s="109"/>
      <c r="F482" s="109"/>
      <c r="G482" s="109"/>
      <c r="H482" s="67"/>
      <c r="I482" s="38"/>
      <c r="J482" s="109"/>
    </row>
    <row r="483" spans="1:10" s="1" customFormat="1" ht="15.9" customHeight="1">
      <c r="A483" s="27"/>
      <c r="B483" s="33"/>
      <c r="C483" s="161"/>
      <c r="D483" s="161"/>
      <c r="E483" s="109"/>
      <c r="F483" s="109"/>
      <c r="G483" s="109"/>
      <c r="H483" s="38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33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46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161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B491" s="33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B494" s="33"/>
      <c r="C494" s="33"/>
      <c r="D494" s="161"/>
      <c r="E494" s="109"/>
      <c r="F494" s="109"/>
      <c r="G494" s="109"/>
      <c r="H494" s="109"/>
      <c r="I494" s="24"/>
      <c r="J494" s="24"/>
    </row>
    <row r="495" spans="1:10" s="1" customFormat="1" ht="15.9" customHeight="1">
      <c r="A495" s="27"/>
      <c r="D495" s="161"/>
      <c r="E495" s="109"/>
      <c r="F495" s="109"/>
      <c r="G495" s="33"/>
      <c r="H495" s="33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109"/>
      <c r="I498" s="24"/>
      <c r="J498" s="24"/>
    </row>
    <row r="499" spans="1:10" s="1" customFormat="1" ht="15.9" customHeight="1">
      <c r="A499" s="27"/>
      <c r="B499" s="33"/>
      <c r="C499" s="33"/>
      <c r="D499" s="161"/>
      <c r="E499" s="109"/>
      <c r="F499" s="109"/>
      <c r="G499" s="109"/>
      <c r="H499" s="42"/>
      <c r="I499" s="67"/>
      <c r="J499" s="165"/>
    </row>
    <row r="500" spans="1:10" s="1" customFormat="1" ht="15.9" customHeight="1">
      <c r="A500" s="27"/>
      <c r="B500" s="33"/>
      <c r="C500" s="47"/>
      <c r="D500" s="161"/>
      <c r="E500" s="109"/>
      <c r="F500" s="109"/>
      <c r="G500" s="109"/>
      <c r="H500" s="67"/>
      <c r="I500" s="38"/>
      <c r="J500" s="109"/>
    </row>
    <row r="501" spans="1:10" s="1" customFormat="1" ht="15.9" customHeight="1">
      <c r="A501" s="27"/>
      <c r="B501" s="33"/>
      <c r="C501" s="46"/>
      <c r="D501" s="161"/>
      <c r="E501" s="109"/>
      <c r="F501" s="109"/>
      <c r="G501" s="109"/>
      <c r="H501" s="38"/>
      <c r="I501" s="24"/>
      <c r="J501" s="24"/>
    </row>
    <row r="502" spans="1:10" s="1" customFormat="1" ht="15.9" customHeight="1">
      <c r="A502" s="27"/>
      <c r="B502" s="33"/>
      <c r="C502" s="161"/>
      <c r="D502" s="161"/>
      <c r="E502" s="109"/>
      <c r="F502" s="109"/>
      <c r="G502" s="109"/>
      <c r="H502" s="42"/>
      <c r="I502" s="67"/>
      <c r="J502" s="165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67"/>
      <c r="I503" s="38"/>
      <c r="J503" s="109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38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24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27"/>
      <c r="B512" s="33"/>
      <c r="C512" s="33"/>
      <c r="D512" s="161"/>
      <c r="E512" s="109"/>
      <c r="F512" s="109"/>
      <c r="G512" s="109"/>
      <c r="H512" s="109"/>
      <c r="I512" s="109"/>
      <c r="J512" s="24"/>
    </row>
    <row r="513" spans="1:22" s="1" customFormat="1" ht="15.9" customHeight="1">
      <c r="A513" s="44"/>
      <c r="B513" s="33"/>
      <c r="C513" s="33"/>
      <c r="D513" s="161"/>
      <c r="E513" s="109"/>
      <c r="F513" s="109"/>
      <c r="G513" s="109"/>
      <c r="H513" s="67"/>
      <c r="I513" s="44"/>
      <c r="J513" s="119"/>
    </row>
    <row r="514" spans="1:22" s="1" customFormat="1" ht="15.9" customHeight="1">
      <c r="A514" s="44"/>
      <c r="B514" s="44"/>
      <c r="C514" s="44"/>
      <c r="D514" s="84"/>
      <c r="E514" s="44"/>
      <c r="F514" s="44"/>
      <c r="G514" s="44"/>
      <c r="H514" s="44"/>
      <c r="I514" s="44"/>
      <c r="J514" s="119"/>
    </row>
    <row r="515" spans="1:22" s="1" customFormat="1" ht="15.9" customHeight="1">
      <c r="A515" s="44"/>
      <c r="B515" s="44"/>
      <c r="C515" s="44"/>
      <c r="D515" s="84"/>
      <c r="E515" s="44"/>
      <c r="F515" s="44"/>
      <c r="G515" s="44"/>
      <c r="H515" s="44"/>
      <c r="I515" s="44"/>
      <c r="J515" s="119"/>
    </row>
    <row r="516" spans="1:22" s="1" customFormat="1" ht="15.9" customHeight="1">
      <c r="B516" s="44"/>
      <c r="C516" s="44"/>
      <c r="D516" s="84"/>
      <c r="E516" s="44"/>
      <c r="F516" s="44"/>
      <c r="G516" s="44"/>
      <c r="H516" s="44"/>
    </row>
    <row r="517" spans="1:22" s="1" customFormat="1" ht="15.9" customHeight="1" thickBot="1"/>
    <row r="518" spans="1:22" s="1" customFormat="1" ht="24.9" customHeight="1" thickBot="1">
      <c r="A518" s="502" t="s">
        <v>401</v>
      </c>
      <c r="B518" s="503"/>
      <c r="C518" s="503"/>
      <c r="D518" s="503"/>
      <c r="E518" s="503"/>
      <c r="F518" s="503"/>
      <c r="G518" s="503"/>
      <c r="H518" s="503"/>
      <c r="I518" s="503"/>
      <c r="J518" s="504"/>
    </row>
    <row r="519" spans="1:22" s="1" customFormat="1" ht="35.1" customHeight="1" thickBot="1">
      <c r="A519" s="146" t="s">
        <v>2</v>
      </c>
      <c r="B519" s="147" t="s">
        <v>3</v>
      </c>
      <c r="C519" s="103" t="s">
        <v>3</v>
      </c>
      <c r="D519" s="104" t="s">
        <v>35</v>
      </c>
      <c r="E519" s="103" t="s">
        <v>5</v>
      </c>
      <c r="F519" s="252" t="s">
        <v>27</v>
      </c>
      <c r="G519" s="305"/>
      <c r="H519" s="104" t="s">
        <v>27</v>
      </c>
      <c r="I519" s="104" t="s">
        <v>26</v>
      </c>
      <c r="J519" s="115" t="s">
        <v>6</v>
      </c>
      <c r="N519" s="249" t="s">
        <v>3</v>
      </c>
      <c r="O519" s="249" t="s">
        <v>3</v>
      </c>
    </row>
    <row r="520" spans="1:22" s="1" customFormat="1" ht="15.9" customHeight="1">
      <c r="A520" s="150">
        <f>IF(C520="","",1)</f>
        <v>1</v>
      </c>
      <c r="B520" s="121" t="str">
        <f>IF($D$127=5,N520,IF($D$127=6,N521,IF($D$127=8,N522,IF($D$127=10,N523,IF($D$127=12,N524,IF($D$127=14,N525,IF($D$127=18,N526,IF($D$127=20,N527,IF($D$127=22,N528,)))))))))</f>
        <v>กระจก 5 mm (สูง) (กว้าง)</v>
      </c>
      <c r="C520" s="121" t="str">
        <f>IF($D$127=5,O520,IF($D$127=6,O521,IF($D$127=8,O522,IF($D$127=10,O523,IF($D$127=12,O524,IF($D$127=14,O525,IF($D$127=18,O526,IF($D$127=20,O527,IF($D$127=22,O528,)))))))))</f>
        <v>GLASS thk.5 mm (H) (W)</v>
      </c>
      <c r="D520" s="124">
        <f>$J$123-215</f>
        <v>2285</v>
      </c>
      <c r="E520" s="123" t="s">
        <v>11</v>
      </c>
      <c r="F520" s="527" t="s">
        <v>271</v>
      </c>
      <c r="G520" s="528"/>
      <c r="H520" s="123" t="s">
        <v>311</v>
      </c>
      <c r="I520" s="124">
        <f>(($J$126-185-(113.25*13))/14)-13</f>
        <v>11.482142857142858</v>
      </c>
      <c r="J520" s="151">
        <f>$J$120*14</f>
        <v>14</v>
      </c>
      <c r="N520" s="19" t="s">
        <v>194</v>
      </c>
      <c r="O520" s="19" t="s">
        <v>195</v>
      </c>
    </row>
    <row r="521" spans="1:22" s="1" customFormat="1" ht="15.9" customHeight="1">
      <c r="A521" s="152"/>
      <c r="B521" s="127"/>
      <c r="C521" s="127"/>
      <c r="D521" s="128" t="s">
        <v>0</v>
      </c>
      <c r="E521" s="129"/>
      <c r="F521" s="155"/>
      <c r="G521" s="156"/>
      <c r="H521" s="127"/>
      <c r="I521" s="130"/>
      <c r="J521" s="153"/>
      <c r="N521" s="19" t="s">
        <v>53</v>
      </c>
      <c r="O521" s="19" t="s">
        <v>54</v>
      </c>
    </row>
    <row r="522" spans="1:22" s="1" customFormat="1" ht="15.9" customHeight="1">
      <c r="A522" s="152"/>
      <c r="B522" s="127"/>
      <c r="C522" s="127"/>
      <c r="D522" s="128"/>
      <c r="E522" s="129"/>
      <c r="F522" s="155"/>
      <c r="G522" s="156"/>
      <c r="H522" s="129"/>
      <c r="I522" s="130"/>
      <c r="J522" s="153"/>
      <c r="N522" s="19" t="s">
        <v>257</v>
      </c>
      <c r="O522" s="19" t="s">
        <v>258</v>
      </c>
    </row>
    <row r="523" spans="1:22" s="1" customFormat="1" ht="15.9" customHeight="1">
      <c r="A523" s="129" t="str">
        <f>IF(B523="","",+A521+1)</f>
        <v/>
      </c>
      <c r="B523" s="127"/>
      <c r="C523" s="127"/>
      <c r="D523" s="128"/>
      <c r="E523" s="129"/>
      <c r="F523" s="155"/>
      <c r="G523" s="157"/>
      <c r="H523" s="129"/>
      <c r="I523" s="144"/>
      <c r="J523" s="130"/>
      <c r="N523" s="19" t="s">
        <v>259</v>
      </c>
      <c r="O523" s="19" t="s">
        <v>265</v>
      </c>
    </row>
    <row r="524" spans="1:22" s="1" customFormat="1" ht="15.9" customHeight="1">
      <c r="A524" s="135" t="str">
        <f>IF(B524="","",+A523+1)</f>
        <v/>
      </c>
      <c r="B524" s="133"/>
      <c r="C524" s="133"/>
      <c r="D524" s="134"/>
      <c r="E524" s="135"/>
      <c r="F524" s="158"/>
      <c r="G524" s="159"/>
      <c r="H524" s="135"/>
      <c r="I524" s="145"/>
      <c r="J524" s="136"/>
      <c r="N524" s="19" t="s">
        <v>260</v>
      </c>
      <c r="O524" s="19" t="s">
        <v>266</v>
      </c>
    </row>
    <row r="525" spans="1:22" s="1" customFormat="1" ht="15.9" customHeight="1">
      <c r="A525" s="17"/>
      <c r="B525" s="56"/>
      <c r="C525" s="56"/>
      <c r="D525" s="30"/>
      <c r="E525" s="17"/>
      <c r="F525" s="17"/>
      <c r="G525" s="17"/>
      <c r="H525" s="109"/>
      <c r="I525" s="109"/>
      <c r="J525" s="24"/>
      <c r="N525" s="19" t="s">
        <v>261</v>
      </c>
      <c r="O525" s="19" t="s">
        <v>267</v>
      </c>
    </row>
    <row r="526" spans="1:22">
      <c r="H526" s="294"/>
      <c r="I526" s="294"/>
      <c r="J526" s="99" t="str">
        <f>LEFT($J$111,14)&amp;"-05"</f>
        <v>FG-240-14P7L7R-05</v>
      </c>
      <c r="M526" s="1"/>
      <c r="N526" s="19" t="s">
        <v>262</v>
      </c>
      <c r="O526" s="19" t="s">
        <v>268</v>
      </c>
      <c r="P526" s="1"/>
      <c r="Q526" s="1"/>
      <c r="R526" s="1"/>
      <c r="S526" s="1"/>
      <c r="T526" s="1"/>
      <c r="U526" s="1"/>
      <c r="V526" s="1"/>
    </row>
    <row r="527" spans="1:22">
      <c r="M527" s="1"/>
      <c r="N527" s="19" t="s">
        <v>263</v>
      </c>
      <c r="O527" s="19" t="s">
        <v>269</v>
      </c>
      <c r="P527" s="1"/>
      <c r="Q527" s="1"/>
      <c r="R527" s="1"/>
      <c r="S527" s="1"/>
      <c r="T527" s="1"/>
      <c r="U527" s="1"/>
      <c r="V527" s="1"/>
    </row>
    <row r="528" spans="1:22">
      <c r="M528" s="1"/>
      <c r="N528" s="19" t="s">
        <v>264</v>
      </c>
      <c r="O528" s="19" t="s">
        <v>270</v>
      </c>
      <c r="P528" s="1"/>
      <c r="Q528" s="1"/>
      <c r="R528" s="1"/>
      <c r="S528" s="1"/>
      <c r="T528" s="1"/>
      <c r="U528" s="1"/>
      <c r="V528" s="1"/>
    </row>
  </sheetData>
  <sheetProtection selectLockedCells="1" selectUnlockedCells="1"/>
  <dataConsolidate function="product">
    <dataRefs count="1">
      <dataRef ref="N129:N131" sheet="240_7Panel(6L1R)" r:id="rId1"/>
    </dataRefs>
  </dataConsolidate>
  <mergeCells count="47">
    <mergeCell ref="H169:H170"/>
    <mergeCell ref="I152:J152"/>
    <mergeCell ref="I153:J153"/>
    <mergeCell ref="I154:J154"/>
    <mergeCell ref="I170:J170"/>
    <mergeCell ref="D123:G123"/>
    <mergeCell ref="D125:G125"/>
    <mergeCell ref="D129:G129"/>
    <mergeCell ref="D127:G127"/>
    <mergeCell ref="A131:J131"/>
    <mergeCell ref="A171:J171"/>
    <mergeCell ref="I156:J156"/>
    <mergeCell ref="D157:D158"/>
    <mergeCell ref="H157:H158"/>
    <mergeCell ref="I157:J158"/>
    <mergeCell ref="I159:J159"/>
    <mergeCell ref="I160:J163"/>
    <mergeCell ref="I164:J165"/>
    <mergeCell ref="I166:J166"/>
    <mergeCell ref="D159:D160"/>
    <mergeCell ref="D161:D166"/>
    <mergeCell ref="D167:D168"/>
    <mergeCell ref="D169:D170"/>
    <mergeCell ref="H161:H166"/>
    <mergeCell ref="H159:H160"/>
    <mergeCell ref="H167:H168"/>
    <mergeCell ref="A213:J213"/>
    <mergeCell ref="F334:G334"/>
    <mergeCell ref="F330:G330"/>
    <mergeCell ref="F331:G331"/>
    <mergeCell ref="A6:J6"/>
    <mergeCell ref="H120:I121"/>
    <mergeCell ref="J120:J121"/>
    <mergeCell ref="A117:J117"/>
    <mergeCell ref="D119:G119"/>
    <mergeCell ref="D121:G121"/>
    <mergeCell ref="I155:J155"/>
    <mergeCell ref="H123:I124"/>
    <mergeCell ref="J123:J124"/>
    <mergeCell ref="A125:B125"/>
    <mergeCell ref="H126:I127"/>
    <mergeCell ref="J126:J127"/>
    <mergeCell ref="C308:E308"/>
    <mergeCell ref="F520:G520"/>
    <mergeCell ref="A518:J518"/>
    <mergeCell ref="A427:J427"/>
    <mergeCell ref="A320:J320"/>
  </mergeCells>
  <dataValidations count="4">
    <dataValidation type="list" allowBlank="1" showInputMessage="1" showErrorMessage="1" sqref="C206">
      <formula1>$O$173:$O$191</formula1>
    </dataValidation>
    <dataValidation type="list" allowBlank="1" showInputMessage="1" showErrorMessage="1" sqref="D123:G123">
      <formula1>$P$118:$P$127</formula1>
    </dataValidation>
    <dataValidation type="list" allowBlank="1" showInputMessage="1" showErrorMessage="1" sqref="D127:G127">
      <formula1>$N$119:$N$127</formula1>
    </dataValidation>
    <dataValidation type="list" allowBlank="1" showInputMessage="1" showErrorMessage="1" sqref="D129:G129">
      <formula1>$O$119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7" max="9" man="1"/>
    <brk id="314" max="16383" man="1"/>
    <brk id="421" max="9" man="1"/>
  </rowBreaks>
  <drawing r:id="rId3"/>
  <legacyDrawing r:id="rId4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9">
    <tabColor theme="5" tint="-0.249977111117893"/>
  </sheetPr>
  <dimension ref="A1:AJ529"/>
  <sheetViews>
    <sheetView showGridLines="0" view="pageBreakPreview" topLeftCell="A151" zoomScale="75" zoomScaleNormal="75" zoomScaleSheetLayoutView="75" workbookViewId="0">
      <selection activeCell="AB156" sqref="AB156"/>
    </sheetView>
  </sheetViews>
  <sheetFormatPr defaultRowHeight="14.4" outlineLevelRow="1" outlineLevelCol="1"/>
  <cols>
    <col min="1" max="1" width="7" customWidth="1"/>
    <col min="2" max="2" width="40.6640625" customWidth="1"/>
    <col min="3" max="3" width="54.6640625" customWidth="1"/>
    <col min="4" max="4" width="13.44140625" style="81" customWidth="1"/>
    <col min="5" max="5" width="7.44140625" hidden="1" customWidth="1" outlineLevel="1"/>
    <col min="6" max="6" width="19.6640625" customWidth="1" collapsed="1"/>
    <col min="7" max="7" width="7.5546875" customWidth="1"/>
    <col min="8" max="8" width="31.5546875" bestFit="1" customWidth="1"/>
    <col min="9" max="9" width="15.109375" customWidth="1"/>
    <col min="10" max="10" width="11.6640625" style="112" customWidth="1"/>
    <col min="14" max="14" width="22.5546875" hidden="1" customWidth="1" outlineLevel="1"/>
    <col min="15" max="15" width="25.6640625" hidden="1" customWidth="1" outlineLevel="1"/>
    <col min="16" max="16" width="34.6640625" hidden="1" customWidth="1" outlineLevel="1"/>
    <col min="17" max="17" width="9.33203125" hidden="1" customWidth="1" outlineLevel="1"/>
    <col min="18" max="18" width="13.88671875" hidden="1" customWidth="1" outlineLevel="1"/>
    <col min="19" max="19" width="17.6640625" hidden="1" customWidth="1" outlineLevel="1"/>
    <col min="20" max="20" width="15" hidden="1" customWidth="1" outlineLevel="1"/>
    <col min="21" max="21" width="26.44140625" hidden="1" customWidth="1" outlineLevel="1"/>
    <col min="22" max="22" width="10.6640625" hidden="1" customWidth="1" outlineLevel="1"/>
    <col min="23" max="23" width="10.5546875" hidden="1" customWidth="1" outlineLevel="1"/>
    <col min="24" max="24" width="9.109375" collapsed="1"/>
  </cols>
  <sheetData>
    <row r="1" spans="1:14" ht="12.75" customHeight="1"/>
    <row r="2" spans="1:14" ht="30" customHeight="1">
      <c r="B2" s="271"/>
      <c r="C2" s="5"/>
      <c r="D2" s="95"/>
      <c r="E2" s="95"/>
      <c r="F2" s="95"/>
      <c r="G2" s="95"/>
      <c r="H2" s="95"/>
      <c r="I2" s="95"/>
      <c r="J2" s="90" t="s">
        <v>21</v>
      </c>
      <c r="K2" s="7"/>
      <c r="L2" s="7"/>
      <c r="M2" s="2"/>
      <c r="N2" s="2"/>
    </row>
    <row r="3" spans="1:14" ht="24.9" customHeight="1">
      <c r="B3" s="271"/>
      <c r="E3" s="271"/>
      <c r="F3" s="91"/>
      <c r="G3" s="91"/>
      <c r="I3" s="91"/>
      <c r="J3" s="91" t="s">
        <v>14</v>
      </c>
      <c r="K3" s="91"/>
      <c r="L3" s="91"/>
      <c r="M3" s="2"/>
      <c r="N3" s="2"/>
    </row>
    <row r="4" spans="1:14" ht="24.9" customHeight="1">
      <c r="B4" s="8"/>
      <c r="C4" s="28"/>
      <c r="D4" s="28"/>
      <c r="E4" s="28"/>
      <c r="F4" s="28"/>
      <c r="G4" s="28"/>
      <c r="H4" s="28"/>
      <c r="I4" s="28"/>
      <c r="J4" s="91" t="s">
        <v>36</v>
      </c>
      <c r="K4" s="11"/>
    </row>
    <row r="5" spans="1:14" ht="12.75" customHeight="1" thickBot="1">
      <c r="A5" s="78"/>
      <c r="B5" s="78"/>
      <c r="C5" s="78"/>
      <c r="D5" s="82"/>
      <c r="E5" s="78"/>
      <c r="F5" s="78"/>
      <c r="G5" s="78"/>
      <c r="H5" s="78"/>
      <c r="I5" s="78"/>
      <c r="J5" s="100"/>
      <c r="K5" s="48"/>
      <c r="L5" s="48"/>
      <c r="M5" s="4"/>
      <c r="N5" s="4"/>
    </row>
    <row r="6" spans="1:14" ht="24.9" customHeight="1" thickBot="1">
      <c r="A6" s="502" t="s">
        <v>32</v>
      </c>
      <c r="B6" s="503"/>
      <c r="C6" s="503"/>
      <c r="D6" s="503"/>
      <c r="E6" s="503"/>
      <c r="F6" s="503"/>
      <c r="G6" s="503"/>
      <c r="H6" s="503"/>
      <c r="I6" s="503"/>
      <c r="J6" s="504"/>
      <c r="K6" s="4"/>
      <c r="L6" s="4"/>
      <c r="M6" s="4"/>
      <c r="N6" s="4"/>
    </row>
    <row r="7" spans="1:14" ht="15" customHeight="1">
      <c r="K7" s="3"/>
      <c r="L7" s="3"/>
      <c r="M7" s="3"/>
      <c r="N7" s="3"/>
    </row>
    <row r="8" spans="1:14" ht="15" customHeight="1"/>
    <row r="9" spans="1:14" ht="15" customHeight="1"/>
    <row r="10" spans="1:14" ht="15" customHeight="1"/>
    <row r="11" spans="1:14" ht="15" customHeight="1"/>
    <row r="12" spans="1:14" ht="15" customHeight="1"/>
    <row r="13" spans="1:14" ht="15" customHeight="1"/>
    <row r="14" spans="1:14" ht="15" customHeight="1"/>
    <row r="15" spans="1:14" ht="15" customHeight="1"/>
    <row r="16" spans="1:14" ht="15" customHeight="1"/>
    <row r="17" spans="1:1" ht="15" customHeight="1"/>
    <row r="18" spans="1:1" ht="18.75" customHeight="1">
      <c r="A18" s="88" t="s">
        <v>211</v>
      </c>
    </row>
    <row r="19" spans="1:1" ht="15" customHeight="1">
      <c r="A19" s="76" t="s">
        <v>38</v>
      </c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spans="7:7" ht="15" customHeight="1"/>
    <row r="34" spans="7:7" ht="15" customHeight="1"/>
    <row r="35" spans="7:7" ht="15" customHeight="1"/>
    <row r="36" spans="7:7" ht="15" customHeight="1"/>
    <row r="37" spans="7:7" ht="15" customHeight="1"/>
    <row r="38" spans="7:7" ht="15" customHeight="1"/>
    <row r="39" spans="7:7" ht="15" customHeight="1"/>
    <row r="40" spans="7:7" ht="15" customHeight="1"/>
    <row r="41" spans="7:7" ht="15" customHeight="1"/>
    <row r="42" spans="7:7" ht="15" customHeight="1"/>
    <row r="43" spans="7:7" ht="15" customHeight="1"/>
    <row r="44" spans="7:7" ht="15" customHeight="1"/>
    <row r="45" spans="7:7" ht="15" customHeight="1"/>
    <row r="46" spans="7:7" ht="15" customHeight="1">
      <c r="G46" s="10"/>
    </row>
    <row r="47" spans="7:7" ht="15" customHeight="1">
      <c r="G47" s="10"/>
    </row>
    <row r="48" spans="7:7" ht="15" customHeight="1">
      <c r="G48" s="10"/>
    </row>
    <row r="49" spans="7:7" ht="15" customHeight="1">
      <c r="G49" s="10"/>
    </row>
    <row r="50" spans="7:7" ht="15" customHeight="1">
      <c r="G50" s="10"/>
    </row>
    <row r="51" spans="7:7" ht="15" customHeight="1">
      <c r="G51" s="10"/>
    </row>
    <row r="52" spans="7:7" ht="15" customHeight="1">
      <c r="G52" s="10"/>
    </row>
    <row r="53" spans="7:7" ht="15" customHeight="1">
      <c r="G53" s="10"/>
    </row>
    <row r="54" spans="7:7" ht="15" customHeight="1">
      <c r="G54" s="10"/>
    </row>
    <row r="55" spans="7:7" ht="15" customHeight="1">
      <c r="G55" s="10"/>
    </row>
    <row r="56" spans="7:7" ht="15" customHeight="1"/>
    <row r="57" spans="7:7" ht="15" customHeight="1"/>
    <row r="58" spans="7:7" ht="15" customHeight="1"/>
    <row r="59" spans="7:7" ht="15" customHeight="1"/>
    <row r="60" spans="7:7" ht="15" customHeight="1"/>
    <row r="61" spans="7:7" ht="15" customHeight="1"/>
    <row r="62" spans="7:7" ht="15" customHeight="1"/>
    <row r="63" spans="7:7" ht="15" customHeight="1"/>
    <row r="64" spans="7: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7:12" ht="15" customHeight="1"/>
    <row r="98" spans="7:12" ht="15" customHeight="1"/>
    <row r="99" spans="7:12" ht="15" customHeight="1"/>
    <row r="100" spans="7:12" ht="15" customHeight="1"/>
    <row r="101" spans="7:12" ht="15" customHeight="1"/>
    <row r="102" spans="7:12" ht="15" customHeight="1"/>
    <row r="103" spans="7:12" ht="15" customHeight="1"/>
    <row r="104" spans="7:12" ht="15" customHeight="1"/>
    <row r="105" spans="7:12" ht="15" customHeight="1"/>
    <row r="106" spans="7:12" ht="15" customHeight="1"/>
    <row r="107" spans="7:12" ht="15" customHeight="1"/>
    <row r="108" spans="7:12" ht="15" customHeight="1"/>
    <row r="109" spans="7:12" ht="15" customHeight="1"/>
    <row r="110" spans="7:12" ht="15" customHeight="1"/>
    <row r="111" spans="7:12" ht="15" customHeight="1">
      <c r="J111" s="99" t="s">
        <v>361</v>
      </c>
      <c r="K111" s="70"/>
    </row>
    <row r="112" spans="7:12" ht="15" customHeight="1">
      <c r="G112" s="10"/>
      <c r="H112" s="10"/>
      <c r="I112" s="70"/>
      <c r="L112" s="10"/>
    </row>
    <row r="113" spans="1:16" ht="30" customHeight="1">
      <c r="B113" s="271"/>
      <c r="C113" s="5"/>
      <c r="D113" s="95"/>
      <c r="E113" s="95"/>
      <c r="F113" s="95"/>
      <c r="G113" s="95"/>
      <c r="H113" s="95"/>
      <c r="I113" s="95"/>
      <c r="J113" s="90" t="str">
        <f>$J$2</f>
        <v>HOMELIFE</v>
      </c>
      <c r="K113" s="7"/>
      <c r="L113" s="7"/>
      <c r="M113" s="2"/>
    </row>
    <row r="114" spans="1:16" ht="24.9" customHeight="1">
      <c r="B114" s="271"/>
      <c r="C114" s="28"/>
      <c r="D114" s="28"/>
      <c r="E114" s="28"/>
      <c r="F114" s="28"/>
      <c r="G114" s="28"/>
      <c r="H114" s="28"/>
      <c r="I114" s="28"/>
      <c r="J114" s="91" t="str">
        <f>$J$3</f>
        <v>Fabricators Guide</v>
      </c>
      <c r="K114" s="11"/>
      <c r="L114" s="11"/>
      <c r="M114" s="2"/>
    </row>
    <row r="115" spans="1:16" ht="24.9" customHeight="1">
      <c r="B115" s="8"/>
      <c r="C115" s="28"/>
      <c r="D115" s="28"/>
      <c r="E115" s="28"/>
      <c r="F115" s="28"/>
      <c r="G115" s="28"/>
      <c r="H115" s="28"/>
      <c r="I115" s="28"/>
      <c r="J115" s="91" t="str">
        <f>$J$4</f>
        <v xml:space="preserve">240 Series Bi Fold Door </v>
      </c>
      <c r="L115" s="11"/>
      <c r="M115" s="2"/>
    </row>
    <row r="116" spans="1:16" ht="12.75" customHeight="1" thickBot="1">
      <c r="A116" s="78"/>
      <c r="B116" s="78"/>
      <c r="C116" s="78"/>
      <c r="D116" s="82"/>
      <c r="E116" s="78"/>
      <c r="F116" s="78"/>
      <c r="G116" s="78"/>
      <c r="H116" s="78"/>
      <c r="I116" s="78"/>
      <c r="J116" s="113"/>
      <c r="K116" s="11"/>
      <c r="L116" s="48"/>
      <c r="M116" s="4"/>
    </row>
    <row r="117" spans="1:16" s="1" customFormat="1" ht="24.9" customHeight="1" thickBot="1">
      <c r="A117" s="502" t="s">
        <v>31</v>
      </c>
      <c r="B117" s="503"/>
      <c r="C117" s="503"/>
      <c r="D117" s="503"/>
      <c r="E117" s="503"/>
      <c r="F117" s="503"/>
      <c r="G117" s="503"/>
      <c r="H117" s="503"/>
      <c r="I117" s="503"/>
      <c r="J117" s="504"/>
      <c r="K117" s="11"/>
      <c r="L117" s="4"/>
      <c r="M117" s="4"/>
    </row>
    <row r="118" spans="1:16" s="1" customFormat="1" ht="18">
      <c r="A118" s="12"/>
      <c r="C118" s="8"/>
      <c r="D118" s="15"/>
      <c r="E118" s="13"/>
      <c r="J118" s="273"/>
      <c r="K118" s="11"/>
      <c r="L118" s="56"/>
      <c r="M118" s="56"/>
      <c r="N118" s="247" t="s">
        <v>191</v>
      </c>
      <c r="O118" s="12" t="s">
        <v>227</v>
      </c>
      <c r="P118" s="247" t="s">
        <v>16</v>
      </c>
    </row>
    <row r="119" spans="1:16" s="1" customFormat="1" ht="15" customHeight="1">
      <c r="A119" s="12"/>
      <c r="C119" s="110" t="s">
        <v>635</v>
      </c>
      <c r="D119" s="524"/>
      <c r="E119" s="525"/>
      <c r="F119" s="525"/>
      <c r="G119" s="526"/>
      <c r="I119" s="16"/>
      <c r="J119" s="12"/>
      <c r="N119" s="247">
        <v>5</v>
      </c>
      <c r="O119" s="12" t="s">
        <v>243</v>
      </c>
      <c r="P119" s="335" t="s">
        <v>389</v>
      </c>
    </row>
    <row r="120" spans="1:16" s="1" customFormat="1" ht="15" customHeight="1">
      <c r="A120" s="12"/>
      <c r="C120" s="424" t="s">
        <v>625</v>
      </c>
      <c r="D120" s="278"/>
      <c r="E120" s="279"/>
      <c r="F120" s="279"/>
      <c r="H120" s="519" t="s">
        <v>637</v>
      </c>
      <c r="I120" s="520"/>
      <c r="J120" s="517">
        <v>1</v>
      </c>
      <c r="N120" s="248">
        <v>6</v>
      </c>
      <c r="O120" s="12" t="s">
        <v>244</v>
      </c>
      <c r="P120" s="336" t="s">
        <v>390</v>
      </c>
    </row>
    <row r="121" spans="1:16" s="1" customFormat="1" ht="15" customHeight="1">
      <c r="A121" s="12"/>
      <c r="C121" s="110" t="s">
        <v>17</v>
      </c>
      <c r="D121" s="524" t="s">
        <v>627</v>
      </c>
      <c r="E121" s="525"/>
      <c r="F121" s="525"/>
      <c r="G121" s="526"/>
      <c r="H121" s="520"/>
      <c r="I121" s="520"/>
      <c r="J121" s="518"/>
      <c r="N121" s="248">
        <v>8</v>
      </c>
      <c r="P121" s="336" t="s">
        <v>391</v>
      </c>
    </row>
    <row r="122" spans="1:16" s="1" customFormat="1" ht="15" customHeight="1">
      <c r="A122" s="12"/>
      <c r="C122" s="424" t="s">
        <v>626</v>
      </c>
      <c r="D122" s="15"/>
      <c r="H122" s="41"/>
      <c r="I122" s="41"/>
      <c r="J122" s="12"/>
      <c r="N122" s="248">
        <v>10</v>
      </c>
      <c r="P122" s="336" t="s">
        <v>392</v>
      </c>
    </row>
    <row r="123" spans="1:16" s="1" customFormat="1" ht="15" customHeight="1">
      <c r="A123" s="12"/>
      <c r="C123" s="110" t="s">
        <v>629</v>
      </c>
      <c r="D123" s="524" t="s">
        <v>15</v>
      </c>
      <c r="E123" s="525"/>
      <c r="F123" s="525"/>
      <c r="G123" s="526"/>
      <c r="H123" s="519" t="s">
        <v>638</v>
      </c>
      <c r="I123" s="520"/>
      <c r="J123" s="517">
        <v>2500</v>
      </c>
      <c r="N123" s="248">
        <v>12</v>
      </c>
      <c r="P123" s="335" t="s">
        <v>393</v>
      </c>
    </row>
    <row r="124" spans="1:16" s="1" customFormat="1" ht="15" customHeight="1">
      <c r="A124" s="12"/>
      <c r="C124" s="423" t="s">
        <v>628</v>
      </c>
      <c r="D124" s="15"/>
      <c r="H124" s="520"/>
      <c r="I124" s="520"/>
      <c r="J124" s="518"/>
      <c r="N124" s="248">
        <v>14</v>
      </c>
      <c r="P124" s="335" t="s">
        <v>394</v>
      </c>
    </row>
    <row r="125" spans="1:16" s="1" customFormat="1" ht="15" customHeight="1">
      <c r="A125" s="532"/>
      <c r="B125" s="532"/>
      <c r="C125" s="111" t="s">
        <v>630</v>
      </c>
      <c r="D125" s="524" t="s">
        <v>1</v>
      </c>
      <c r="E125" s="525"/>
      <c r="F125" s="525"/>
      <c r="G125" s="526"/>
      <c r="H125" s="41"/>
      <c r="I125" s="41"/>
      <c r="J125" s="12"/>
      <c r="K125" s="272"/>
      <c r="L125" s="77"/>
      <c r="N125" s="248">
        <v>18</v>
      </c>
      <c r="P125" s="335" t="s">
        <v>395</v>
      </c>
    </row>
    <row r="126" spans="1:16" s="1" customFormat="1" ht="15" customHeight="1">
      <c r="A126" s="273"/>
      <c r="B126" s="273"/>
      <c r="C126" s="423" t="s">
        <v>631</v>
      </c>
      <c r="D126" s="15"/>
      <c r="H126" s="519" t="s">
        <v>639</v>
      </c>
      <c r="I126" s="520"/>
      <c r="J126" s="517">
        <v>2000</v>
      </c>
      <c r="K126" s="272"/>
      <c r="L126" s="77"/>
      <c r="N126" s="248">
        <v>20</v>
      </c>
      <c r="P126" s="335" t="s">
        <v>396</v>
      </c>
    </row>
    <row r="127" spans="1:16" s="1" customFormat="1" ht="15" customHeight="1">
      <c r="A127" s="273"/>
      <c r="B127" s="273"/>
      <c r="C127" s="110" t="s">
        <v>633</v>
      </c>
      <c r="D127" s="534">
        <v>5</v>
      </c>
      <c r="E127" s="535"/>
      <c r="F127" s="535"/>
      <c r="G127" s="536"/>
      <c r="H127" s="520"/>
      <c r="I127" s="520"/>
      <c r="J127" s="518"/>
      <c r="N127" s="248">
        <v>22</v>
      </c>
      <c r="P127" s="335" t="s">
        <v>397</v>
      </c>
    </row>
    <row r="128" spans="1:16" s="1" customFormat="1" ht="18.75" customHeight="1">
      <c r="C128" s="423" t="s">
        <v>632</v>
      </c>
      <c r="I128" s="12"/>
      <c r="J128" s="12"/>
    </row>
    <row r="129" spans="1:23" s="1" customFormat="1" ht="15" customHeight="1">
      <c r="A129" s="88" t="str">
        <f>A18</f>
        <v>240-15 Panel (7L8R)</v>
      </c>
      <c r="C129" s="110" t="s">
        <v>242</v>
      </c>
      <c r="D129" s="537" t="s">
        <v>243</v>
      </c>
      <c r="E129" s="538"/>
      <c r="F129" s="538"/>
      <c r="G129" s="539"/>
      <c r="H129" s="12"/>
      <c r="I129" s="12"/>
      <c r="J129" s="12"/>
    </row>
    <row r="130" spans="1:23" s="1" customFormat="1" ht="18.75" customHeight="1" thickBot="1">
      <c r="A130" s="76" t="str">
        <f>A19</f>
        <v xml:space="preserve">Outside Bi Fold Door </v>
      </c>
      <c r="B130" s="22"/>
      <c r="C130" s="423" t="s">
        <v>634</v>
      </c>
      <c r="D130" s="15"/>
      <c r="E130" s="12"/>
      <c r="F130" s="12"/>
      <c r="G130" s="12"/>
      <c r="H130" s="12"/>
      <c r="I130" s="12"/>
      <c r="J130" s="12"/>
    </row>
    <row r="131" spans="1:23" s="1" customFormat="1" ht="24.9" customHeight="1" thickBot="1">
      <c r="A131" s="529" t="s">
        <v>18</v>
      </c>
      <c r="B131" s="530"/>
      <c r="C131" s="530"/>
      <c r="D131" s="530"/>
      <c r="E131" s="530"/>
      <c r="F131" s="530"/>
      <c r="G131" s="530"/>
      <c r="H131" s="530"/>
      <c r="I131" s="530"/>
      <c r="J131" s="531"/>
    </row>
    <row r="132" spans="1:23" s="1" customFormat="1" ht="35.1" customHeight="1" thickBot="1">
      <c r="A132" s="102" t="s">
        <v>2</v>
      </c>
      <c r="B132" s="103" t="s">
        <v>29</v>
      </c>
      <c r="C132" s="103" t="s">
        <v>3</v>
      </c>
      <c r="D132" s="103" t="s">
        <v>4</v>
      </c>
      <c r="E132" s="103" t="s">
        <v>5</v>
      </c>
      <c r="F132" s="104" t="s">
        <v>25</v>
      </c>
      <c r="G132" s="103" t="s">
        <v>6</v>
      </c>
      <c r="H132" s="104" t="s">
        <v>13</v>
      </c>
      <c r="I132" s="104" t="s">
        <v>12</v>
      </c>
      <c r="J132" s="115" t="s">
        <v>24</v>
      </c>
      <c r="N132" s="101" t="s">
        <v>228</v>
      </c>
      <c r="O132" s="249" t="s">
        <v>29</v>
      </c>
      <c r="P132" s="249" t="s">
        <v>3</v>
      </c>
      <c r="Q132" s="249" t="s">
        <v>4</v>
      </c>
      <c r="R132" s="249" t="s">
        <v>5</v>
      </c>
      <c r="S132" s="250" t="s">
        <v>25</v>
      </c>
      <c r="T132" s="249" t="s">
        <v>6</v>
      </c>
      <c r="U132" s="250" t="s">
        <v>13</v>
      </c>
      <c r="V132" s="250" t="s">
        <v>12</v>
      </c>
      <c r="W132" s="249" t="s">
        <v>24</v>
      </c>
    </row>
    <row r="133" spans="1:23" s="1" customFormat="1" ht="18" customHeight="1">
      <c r="A133" s="186">
        <f>IF(B133="","",1)</f>
        <v>1</v>
      </c>
      <c r="B133" s="138" t="s">
        <v>65</v>
      </c>
      <c r="C133" s="138" t="s">
        <v>39</v>
      </c>
      <c r="D133" s="137" t="s">
        <v>46</v>
      </c>
      <c r="E133" s="186">
        <v>1.603</v>
      </c>
      <c r="F133" s="137" t="s">
        <v>324</v>
      </c>
      <c r="G133" s="186">
        <v>1</v>
      </c>
      <c r="H133" s="186" t="s">
        <v>52</v>
      </c>
      <c r="I133" s="124">
        <f>$J$126-60</f>
        <v>1940</v>
      </c>
      <c r="J133" s="125">
        <f t="shared" ref="J133:J151" si="0">$J$120*G133</f>
        <v>1</v>
      </c>
      <c r="N133" s="101" t="s">
        <v>61</v>
      </c>
      <c r="O133" s="281" t="s">
        <v>216</v>
      </c>
      <c r="P133" s="281" t="s">
        <v>212</v>
      </c>
      <c r="Q133" s="282" t="s">
        <v>51</v>
      </c>
      <c r="R133" s="283">
        <v>0.23100000000000001</v>
      </c>
      <c r="S133" s="284" t="s">
        <v>320</v>
      </c>
      <c r="T133" s="283">
        <v>30</v>
      </c>
      <c r="U133" s="283" t="s">
        <v>312</v>
      </c>
      <c r="V133" s="307">
        <f>($J$126-185-(113.25*14))/15</f>
        <v>15.3</v>
      </c>
      <c r="W133" s="286">
        <f>$J$120*T133</f>
        <v>30</v>
      </c>
    </row>
    <row r="134" spans="1:23" s="1" customFormat="1" ht="18" customHeight="1">
      <c r="A134" s="143">
        <f t="shared" ref="A134:A150" si="1">IF(B134="","",+A133+1)</f>
        <v>2</v>
      </c>
      <c r="B134" s="140" t="s">
        <v>87</v>
      </c>
      <c r="C134" s="140" t="s">
        <v>41</v>
      </c>
      <c r="D134" s="139" t="s">
        <v>48</v>
      </c>
      <c r="E134" s="143">
        <v>0.27800000000000002</v>
      </c>
      <c r="F134" s="139" t="s">
        <v>315</v>
      </c>
      <c r="G134" s="143">
        <v>1</v>
      </c>
      <c r="H134" s="143" t="s">
        <v>651</v>
      </c>
      <c r="I134" s="130">
        <f>$J$126-86</f>
        <v>1914</v>
      </c>
      <c r="J134" s="131">
        <f t="shared" ref="J134:J139" si="2">$J$120*G134</f>
        <v>1</v>
      </c>
      <c r="N134" s="101"/>
      <c r="O134" s="127" t="s">
        <v>217</v>
      </c>
      <c r="P134" s="127" t="s">
        <v>214</v>
      </c>
      <c r="Q134" s="127" t="s">
        <v>398</v>
      </c>
      <c r="R134" s="129">
        <v>0.215</v>
      </c>
      <c r="S134" s="127" t="s">
        <v>399</v>
      </c>
      <c r="T134" s="129">
        <v>30</v>
      </c>
      <c r="U134" s="129" t="s">
        <v>312</v>
      </c>
      <c r="V134" s="178">
        <f t="shared" ref="V134:V135" si="3">($J$126-185-(113.25*14))/15</f>
        <v>15.3</v>
      </c>
      <c r="W134" s="131">
        <f t="shared" ref="W134:W135" si="4">$J$120*T134</f>
        <v>30</v>
      </c>
    </row>
    <row r="135" spans="1:23" s="1" customFormat="1" ht="18" customHeight="1">
      <c r="A135" s="143">
        <f t="shared" si="1"/>
        <v>3</v>
      </c>
      <c r="B135" s="140" t="s">
        <v>7</v>
      </c>
      <c r="C135" s="140" t="s">
        <v>40</v>
      </c>
      <c r="D135" s="139" t="s">
        <v>47</v>
      </c>
      <c r="E135" s="143">
        <v>1.603</v>
      </c>
      <c r="F135" s="139" t="s">
        <v>316</v>
      </c>
      <c r="G135" s="143">
        <v>1</v>
      </c>
      <c r="H135" s="143" t="s">
        <v>52</v>
      </c>
      <c r="I135" s="130">
        <f>$J$126-60</f>
        <v>1940</v>
      </c>
      <c r="J135" s="131">
        <f t="shared" si="2"/>
        <v>1</v>
      </c>
      <c r="N135" s="101"/>
      <c r="O135" s="133" t="s">
        <v>218</v>
      </c>
      <c r="P135" s="133" t="s">
        <v>215</v>
      </c>
      <c r="Q135" s="133" t="s">
        <v>224</v>
      </c>
      <c r="R135" s="135">
        <v>0.17</v>
      </c>
      <c r="S135" s="133" t="s">
        <v>322</v>
      </c>
      <c r="T135" s="135">
        <v>30</v>
      </c>
      <c r="U135" s="135" t="s">
        <v>312</v>
      </c>
      <c r="V135" s="308">
        <f t="shared" si="3"/>
        <v>15.3</v>
      </c>
      <c r="W135" s="293">
        <f t="shared" si="4"/>
        <v>30</v>
      </c>
    </row>
    <row r="136" spans="1:23" s="1" customFormat="1" ht="18" customHeight="1">
      <c r="A136" s="143">
        <f t="shared" si="1"/>
        <v>4</v>
      </c>
      <c r="B136" s="140" t="s">
        <v>86</v>
      </c>
      <c r="C136" s="140" t="s">
        <v>42</v>
      </c>
      <c r="D136" s="139" t="s">
        <v>49</v>
      </c>
      <c r="E136" s="143">
        <v>0.51600000000000001</v>
      </c>
      <c r="F136" s="139" t="s">
        <v>317</v>
      </c>
      <c r="G136" s="143">
        <v>1</v>
      </c>
      <c r="H136" s="143" t="s">
        <v>52</v>
      </c>
      <c r="I136" s="130">
        <f>$J$126-60</f>
        <v>1940</v>
      </c>
      <c r="J136" s="131">
        <f t="shared" si="2"/>
        <v>1</v>
      </c>
      <c r="N136" s="101" t="s">
        <v>225</v>
      </c>
      <c r="O136" s="281" t="s">
        <v>219</v>
      </c>
      <c r="P136" s="281" t="s">
        <v>213</v>
      </c>
      <c r="Q136" s="282" t="s">
        <v>51</v>
      </c>
      <c r="R136" s="283">
        <v>0.23100000000000001</v>
      </c>
      <c r="S136" s="284" t="s">
        <v>321</v>
      </c>
      <c r="T136" s="283">
        <v>30</v>
      </c>
      <c r="U136" s="283" t="s">
        <v>64</v>
      </c>
      <c r="V136" s="288">
        <f>$J$123-242</f>
        <v>2258</v>
      </c>
      <c r="W136" s="286">
        <f>$J$120*T136</f>
        <v>30</v>
      </c>
    </row>
    <row r="137" spans="1:23" s="1" customFormat="1" ht="18" customHeight="1">
      <c r="A137" s="143">
        <f t="shared" si="1"/>
        <v>5</v>
      </c>
      <c r="B137" s="140" t="s">
        <v>88</v>
      </c>
      <c r="C137" s="140" t="s">
        <v>55</v>
      </c>
      <c r="D137" s="139" t="s">
        <v>59</v>
      </c>
      <c r="E137" s="143">
        <v>0.89300000000000002</v>
      </c>
      <c r="F137" s="139" t="s">
        <v>488</v>
      </c>
      <c r="G137" s="143">
        <v>1</v>
      </c>
      <c r="H137" s="143" t="s">
        <v>61</v>
      </c>
      <c r="I137" s="130">
        <f>$J$123</f>
        <v>2500</v>
      </c>
      <c r="J137" s="131">
        <f t="shared" si="2"/>
        <v>1</v>
      </c>
      <c r="N137" s="101"/>
      <c r="O137" s="127" t="s">
        <v>220</v>
      </c>
      <c r="P137" s="127" t="s">
        <v>222</v>
      </c>
      <c r="Q137" s="127" t="s">
        <v>398</v>
      </c>
      <c r="R137" s="129">
        <v>0.215</v>
      </c>
      <c r="S137" s="127" t="s">
        <v>400</v>
      </c>
      <c r="T137" s="129">
        <v>30</v>
      </c>
      <c r="U137" s="129" t="s">
        <v>64</v>
      </c>
      <c r="V137" s="130">
        <f>$J$123-242</f>
        <v>2258</v>
      </c>
      <c r="W137" s="131">
        <f t="shared" ref="W137:W138" si="5">$J$120*T137</f>
        <v>30</v>
      </c>
    </row>
    <row r="138" spans="1:23" s="1" customFormat="1" ht="18" customHeight="1">
      <c r="A138" s="143">
        <f t="shared" si="1"/>
        <v>6</v>
      </c>
      <c r="B138" s="140" t="s">
        <v>89</v>
      </c>
      <c r="C138" s="140" t="s">
        <v>56</v>
      </c>
      <c r="D138" s="139" t="s">
        <v>59</v>
      </c>
      <c r="E138" s="143">
        <v>0.89300000000000002</v>
      </c>
      <c r="F138" s="139" t="s">
        <v>489</v>
      </c>
      <c r="G138" s="143">
        <v>1</v>
      </c>
      <c r="H138" s="143" t="s">
        <v>61</v>
      </c>
      <c r="I138" s="130">
        <f>$J$123</f>
        <v>2500</v>
      </c>
      <c r="J138" s="131">
        <f t="shared" si="2"/>
        <v>1</v>
      </c>
      <c r="N138" s="101"/>
      <c r="O138" s="133" t="s">
        <v>221</v>
      </c>
      <c r="P138" s="133" t="s">
        <v>223</v>
      </c>
      <c r="Q138" s="141" t="s">
        <v>224</v>
      </c>
      <c r="R138" s="135">
        <v>0.17</v>
      </c>
      <c r="S138" s="133" t="s">
        <v>323</v>
      </c>
      <c r="T138" s="135">
        <v>30</v>
      </c>
      <c r="U138" s="135" t="s">
        <v>64</v>
      </c>
      <c r="V138" s="136">
        <f>$J$123-242</f>
        <v>2258</v>
      </c>
      <c r="W138" s="293">
        <f t="shared" si="5"/>
        <v>30</v>
      </c>
    </row>
    <row r="139" spans="1:23" s="1" customFormat="1" ht="18" customHeight="1">
      <c r="A139" s="143">
        <f t="shared" si="1"/>
        <v>7</v>
      </c>
      <c r="B139" s="140" t="s">
        <v>518</v>
      </c>
      <c r="C139" s="140" t="s">
        <v>516</v>
      </c>
      <c r="D139" s="139" t="s">
        <v>60</v>
      </c>
      <c r="E139" s="143">
        <v>0.23499999999999999</v>
      </c>
      <c r="F139" s="139" t="s">
        <v>514</v>
      </c>
      <c r="G139" s="143">
        <v>1</v>
      </c>
      <c r="H139" s="143" t="s">
        <v>62</v>
      </c>
      <c r="I139" s="130">
        <f>$J$123-96</f>
        <v>2404</v>
      </c>
      <c r="J139" s="131">
        <f t="shared" si="2"/>
        <v>1</v>
      </c>
      <c r="N139" s="98"/>
    </row>
    <row r="140" spans="1:23" s="1" customFormat="1" ht="18" customHeight="1">
      <c r="A140" s="143">
        <f t="shared" si="1"/>
        <v>8</v>
      </c>
      <c r="B140" s="140" t="s">
        <v>519</v>
      </c>
      <c r="C140" s="140" t="s">
        <v>517</v>
      </c>
      <c r="D140" s="139" t="s">
        <v>60</v>
      </c>
      <c r="E140" s="143">
        <v>0.23499999999999999</v>
      </c>
      <c r="F140" s="139" t="s">
        <v>515</v>
      </c>
      <c r="G140" s="143">
        <v>1</v>
      </c>
      <c r="H140" s="143" t="s">
        <v>62</v>
      </c>
      <c r="I140" s="130">
        <f>$J$123-96</f>
        <v>2404</v>
      </c>
      <c r="J140" s="131">
        <f t="shared" ref="J140" si="6">$J$120*G140</f>
        <v>1</v>
      </c>
      <c r="N140" s="98"/>
    </row>
    <row r="141" spans="1:23" s="1" customFormat="1" ht="18" customHeight="1">
      <c r="A141" s="143">
        <f t="shared" si="1"/>
        <v>9</v>
      </c>
      <c r="B141" s="140" t="s">
        <v>90</v>
      </c>
      <c r="C141" s="140" t="s">
        <v>43</v>
      </c>
      <c r="D141" s="139" t="s">
        <v>50</v>
      </c>
      <c r="E141" s="143">
        <v>1.1060000000000001</v>
      </c>
      <c r="F141" s="139" t="s">
        <v>318</v>
      </c>
      <c r="G141" s="143">
        <v>15</v>
      </c>
      <c r="H141" s="268" t="s">
        <v>312</v>
      </c>
      <c r="I141" s="178">
        <f>($J$126-185-(113.25*14))/15</f>
        <v>15.3</v>
      </c>
      <c r="J141" s="131">
        <f t="shared" ref="J141:J150" si="7">$J$120*G141</f>
        <v>15</v>
      </c>
      <c r="N141" s="98"/>
    </row>
    <row r="142" spans="1:23" s="1" customFormat="1" ht="18" customHeight="1">
      <c r="A142" s="143">
        <f t="shared" si="1"/>
        <v>10</v>
      </c>
      <c r="B142" s="140" t="s">
        <v>91</v>
      </c>
      <c r="C142" s="140" t="s">
        <v>44</v>
      </c>
      <c r="D142" s="139" t="s">
        <v>50</v>
      </c>
      <c r="E142" s="143">
        <v>1.1060000000000001</v>
      </c>
      <c r="F142" s="139" t="s">
        <v>318</v>
      </c>
      <c r="G142" s="143">
        <v>15</v>
      </c>
      <c r="H142" s="268" t="s">
        <v>312</v>
      </c>
      <c r="I142" s="178">
        <f>($J$126-185-(113.25*14))/15</f>
        <v>15.3</v>
      </c>
      <c r="J142" s="131">
        <f t="shared" si="7"/>
        <v>15</v>
      </c>
      <c r="N142" s="98"/>
    </row>
    <row r="143" spans="1:23" s="1" customFormat="1" ht="18" customHeight="1">
      <c r="A143" s="143">
        <f t="shared" si="1"/>
        <v>11</v>
      </c>
      <c r="B143" s="140" t="s">
        <v>92</v>
      </c>
      <c r="C143" s="140" t="s">
        <v>57</v>
      </c>
      <c r="D143" s="139" t="s">
        <v>50</v>
      </c>
      <c r="E143" s="143">
        <v>1.1060000000000001</v>
      </c>
      <c r="F143" s="139" t="s">
        <v>319</v>
      </c>
      <c r="G143" s="143">
        <v>22</v>
      </c>
      <c r="H143" s="143" t="s">
        <v>63</v>
      </c>
      <c r="I143" s="130">
        <f>$J$123-92</f>
        <v>2408</v>
      </c>
      <c r="J143" s="131">
        <f t="shared" si="7"/>
        <v>22</v>
      </c>
      <c r="N143" s="98"/>
    </row>
    <row r="144" spans="1:23" s="1" customFormat="1" ht="18" customHeight="1">
      <c r="A144" s="143">
        <f t="shared" si="1"/>
        <v>12</v>
      </c>
      <c r="B144" s="140" t="s">
        <v>8</v>
      </c>
      <c r="C144" s="140" t="s">
        <v>58</v>
      </c>
      <c r="D144" s="139" t="s">
        <v>50</v>
      </c>
      <c r="E144" s="143">
        <v>1.1060000000000001</v>
      </c>
      <c r="F144" s="139" t="s">
        <v>497</v>
      </c>
      <c r="G144" s="143">
        <v>4</v>
      </c>
      <c r="H144" s="143" t="s">
        <v>63</v>
      </c>
      <c r="I144" s="130">
        <f>$J$123-92</f>
        <v>2408</v>
      </c>
      <c r="J144" s="131">
        <f t="shared" si="7"/>
        <v>4</v>
      </c>
      <c r="N144" s="98"/>
    </row>
    <row r="145" spans="1:14" s="1" customFormat="1" ht="18" customHeight="1">
      <c r="A145" s="143">
        <f t="shared" si="1"/>
        <v>13</v>
      </c>
      <c r="B145" s="140" t="s">
        <v>8</v>
      </c>
      <c r="C145" s="140" t="s">
        <v>58</v>
      </c>
      <c r="D145" s="139" t="s">
        <v>50</v>
      </c>
      <c r="E145" s="143">
        <v>1.1060000000000001</v>
      </c>
      <c r="F145" s="139" t="s">
        <v>496</v>
      </c>
      <c r="G145" s="143">
        <v>3</v>
      </c>
      <c r="H145" s="143" t="s">
        <v>63</v>
      </c>
      <c r="I145" s="130">
        <f>$J$123-92</f>
        <v>2408</v>
      </c>
      <c r="J145" s="131">
        <f t="shared" si="7"/>
        <v>3</v>
      </c>
      <c r="N145" s="98"/>
    </row>
    <row r="146" spans="1:14" s="1" customFormat="1" ht="18" customHeight="1">
      <c r="A146" s="143">
        <f t="shared" si="1"/>
        <v>14</v>
      </c>
      <c r="B146" s="140" t="s">
        <v>116</v>
      </c>
      <c r="C146" s="140" t="s">
        <v>99</v>
      </c>
      <c r="D146" s="139" t="s">
        <v>50</v>
      </c>
      <c r="E146" s="143">
        <v>1.1060000000000001</v>
      </c>
      <c r="F146" s="139" t="s">
        <v>506</v>
      </c>
      <c r="G146" s="143">
        <v>1</v>
      </c>
      <c r="H146" s="143" t="s">
        <v>63</v>
      </c>
      <c r="I146" s="130">
        <f>$J$123-92</f>
        <v>2408</v>
      </c>
      <c r="J146" s="131">
        <f t="shared" si="7"/>
        <v>1</v>
      </c>
      <c r="N146" s="98"/>
    </row>
    <row r="147" spans="1:14" s="1" customFormat="1" ht="18" customHeight="1">
      <c r="A147" s="143">
        <f t="shared" si="1"/>
        <v>15</v>
      </c>
      <c r="B147" s="140" t="str">
        <f t="shared" ref="B147:I147" si="8">IF($D$127=5,O133,IF($D$127=6,O133,IF($D$127=8,O134,IF($D$127=10,O134,IF($D$127=12,O134,IF($D$127=14,O135,IF($D$127=18,O135,IF($D$127=20,O135,IF($D$127=22,O135,)))))))))</f>
        <v>5-6mm คิ้วตบกระจกแนวนอน</v>
      </c>
      <c r="C147" s="140" t="str">
        <f t="shared" si="8"/>
        <v>5-6mm GLAZING BEAD HORIZONTAL</v>
      </c>
      <c r="D147" s="140" t="str">
        <f t="shared" si="8"/>
        <v>B24008</v>
      </c>
      <c r="E147" s="140">
        <f t="shared" si="8"/>
        <v>0.23100000000000001</v>
      </c>
      <c r="F147" s="140" t="str">
        <f t="shared" si="8"/>
        <v>B24008-001</v>
      </c>
      <c r="G147" s="143">
        <f t="shared" si="8"/>
        <v>30</v>
      </c>
      <c r="H147" s="129" t="str">
        <f t="shared" si="8"/>
        <v>(W-185-(113.25 × 14))/15</v>
      </c>
      <c r="I147" s="178">
        <f t="shared" si="8"/>
        <v>15.3</v>
      </c>
      <c r="J147" s="131">
        <f t="shared" si="7"/>
        <v>30</v>
      </c>
      <c r="N147" s="98"/>
    </row>
    <row r="148" spans="1:14" s="1" customFormat="1" ht="18" customHeight="1">
      <c r="A148" s="143">
        <f t="shared" si="1"/>
        <v>16</v>
      </c>
      <c r="B148" s="140" t="str">
        <f t="shared" ref="B148:I148" si="9">IF($D$127=5,O136,IF($D$127=6,O136,IF($D$127=8,O137,IF($D$127=10,O137,IF($D$127=12,O137,IF($D$127=14,O138,IF($D$127=18,O138,IF($D$127=20,O138,IF($D$127=22,O138,)))))))))</f>
        <v>5-6mm คิ้วตบกระจกแนวตั้ง</v>
      </c>
      <c r="C148" s="140" t="str">
        <f t="shared" si="9"/>
        <v>5-6mm GLAZING BEAD VERTICAL</v>
      </c>
      <c r="D148" s="140" t="str">
        <f t="shared" si="9"/>
        <v>B24008</v>
      </c>
      <c r="E148" s="140">
        <f t="shared" si="9"/>
        <v>0.23100000000000001</v>
      </c>
      <c r="F148" s="140" t="str">
        <f t="shared" si="9"/>
        <v>B24008-002</v>
      </c>
      <c r="G148" s="143">
        <f t="shared" si="9"/>
        <v>30</v>
      </c>
      <c r="H148" s="129" t="str">
        <f t="shared" si="9"/>
        <v>H-242</v>
      </c>
      <c r="I148" s="144">
        <f t="shared" si="9"/>
        <v>2258</v>
      </c>
      <c r="J148" s="131">
        <f t="shared" si="7"/>
        <v>30</v>
      </c>
      <c r="N148" s="98"/>
    </row>
    <row r="149" spans="1:14" s="1" customFormat="1" ht="18" customHeight="1">
      <c r="A149" s="143">
        <f t="shared" si="1"/>
        <v>17</v>
      </c>
      <c r="B149" s="140" t="s">
        <v>125</v>
      </c>
      <c r="C149" s="140" t="s">
        <v>124</v>
      </c>
      <c r="D149" s="139" t="s">
        <v>123</v>
      </c>
      <c r="E149" s="143"/>
      <c r="F149" s="139" t="s">
        <v>362</v>
      </c>
      <c r="G149" s="143">
        <v>1</v>
      </c>
      <c r="H149" s="143" t="s">
        <v>63</v>
      </c>
      <c r="I149" s="130">
        <f>$J$123-92</f>
        <v>2408</v>
      </c>
      <c r="J149" s="131">
        <f t="shared" si="7"/>
        <v>1</v>
      </c>
      <c r="N149" s="98"/>
    </row>
    <row r="150" spans="1:14" s="1" customFormat="1" ht="18" customHeight="1">
      <c r="A150" s="143">
        <f t="shared" si="1"/>
        <v>18</v>
      </c>
      <c r="B150" s="140" t="s">
        <v>125</v>
      </c>
      <c r="C150" s="140" t="s">
        <v>124</v>
      </c>
      <c r="D150" s="139" t="s">
        <v>123</v>
      </c>
      <c r="E150" s="143"/>
      <c r="F150" s="139" t="s">
        <v>363</v>
      </c>
      <c r="G150" s="143">
        <v>1</v>
      </c>
      <c r="H150" s="143" t="s">
        <v>63</v>
      </c>
      <c r="I150" s="130">
        <f>$J$123-92</f>
        <v>2408</v>
      </c>
      <c r="J150" s="131">
        <f t="shared" si="7"/>
        <v>1</v>
      </c>
      <c r="N150" s="98"/>
    </row>
    <row r="151" spans="1:14" s="1" customFormat="1" ht="18" customHeight="1" thickBot="1">
      <c r="A151" s="143" t="str">
        <f>IF(B151="","",+A140+1)</f>
        <v/>
      </c>
      <c r="B151" s="167"/>
      <c r="C151" s="167"/>
      <c r="D151" s="168"/>
      <c r="E151" s="166"/>
      <c r="F151" s="168"/>
      <c r="G151" s="166"/>
      <c r="H151" s="166"/>
      <c r="I151" s="171"/>
      <c r="J151" s="172">
        <f t="shared" si="0"/>
        <v>0</v>
      </c>
    </row>
    <row r="152" spans="1:14" s="1" customFormat="1" ht="27" outlineLevel="1" thickBot="1">
      <c r="A152" s="169" t="s">
        <v>2</v>
      </c>
      <c r="B152" s="169" t="s">
        <v>29</v>
      </c>
      <c r="C152" s="169" t="s">
        <v>3</v>
      </c>
      <c r="D152" s="169" t="s">
        <v>4</v>
      </c>
      <c r="E152" s="169" t="s">
        <v>5</v>
      </c>
      <c r="F152" s="177" t="s">
        <v>85</v>
      </c>
      <c r="G152" s="169" t="s">
        <v>22</v>
      </c>
      <c r="H152" s="170" t="s">
        <v>23</v>
      </c>
      <c r="I152" s="540"/>
      <c r="J152" s="541"/>
    </row>
    <row r="153" spans="1:14" s="1" customFormat="1" ht="15" customHeight="1" outlineLevel="1">
      <c r="A153" s="21">
        <f>IF(B153="","",1)</f>
        <v>1</v>
      </c>
      <c r="B153" s="173" t="str">
        <f t="shared" ref="B153:C159" si="10">B133</f>
        <v>เฟรมบน</v>
      </c>
      <c r="C153" s="173" t="str">
        <f t="shared" si="10"/>
        <v>HEAD</v>
      </c>
      <c r="D153" s="174" t="str">
        <f>VLOOKUP(C153,$C$133:$H$151,2,0)</f>
        <v>B24001</v>
      </c>
      <c r="E153" s="175">
        <f t="shared" ref="E153:E159" si="11">VLOOKUP(C153,$C$133:$H$151,3,0)</f>
        <v>1.603</v>
      </c>
      <c r="F153" s="353">
        <f>VLOOKUP(C153,$C$133:$J$151,7,0)</f>
        <v>1940</v>
      </c>
      <c r="G153" s="175">
        <f t="shared" ref="G153:G159" si="12">VLOOKUP(C153,$C$133:$J$151,8,0)</f>
        <v>1</v>
      </c>
      <c r="H153" s="191">
        <f>ROUNDUP((F153*G153)/6400,0)</f>
        <v>1</v>
      </c>
      <c r="I153" s="501"/>
      <c r="J153" s="501"/>
    </row>
    <row r="154" spans="1:14" s="1" customFormat="1" ht="15" customHeight="1" outlineLevel="1">
      <c r="A154" s="18">
        <f t="shared" ref="A154" si="13">IF(B154="","",+A153+1)</f>
        <v>2</v>
      </c>
      <c r="B154" s="173" t="str">
        <f t="shared" si="10"/>
        <v>บังใบบน</v>
      </c>
      <c r="C154" s="173" t="str">
        <f t="shared" si="10"/>
        <v>DOOR STOP HEAD</v>
      </c>
      <c r="D154" s="174" t="str">
        <f>VLOOKUP(C154,$C$133:$H$151,2,0)</f>
        <v>B24002</v>
      </c>
      <c r="E154" s="175">
        <f t="shared" si="11"/>
        <v>0.27800000000000002</v>
      </c>
      <c r="F154" s="353">
        <f t="shared" ref="F154:F159" si="14">VLOOKUP(C154,$C$133:$I$151,7,0)</f>
        <v>1914</v>
      </c>
      <c r="G154" s="175">
        <f t="shared" si="12"/>
        <v>1</v>
      </c>
      <c r="H154" s="192">
        <f>ROUNDUP((F154*G154)/6400,0)</f>
        <v>1</v>
      </c>
      <c r="I154" s="501"/>
      <c r="J154" s="501"/>
    </row>
    <row r="155" spans="1:14" s="1" customFormat="1" ht="15" customHeight="1" outlineLevel="1">
      <c r="A155" s="18">
        <f t="shared" ref="A155:A159" si="15">IF(B155="","",+A154+1)</f>
        <v>3</v>
      </c>
      <c r="B155" s="173" t="str">
        <f t="shared" si="10"/>
        <v xml:space="preserve">เฟรมล่าง </v>
      </c>
      <c r="C155" s="173" t="str">
        <f t="shared" si="10"/>
        <v>SILL</v>
      </c>
      <c r="D155" s="174" t="str">
        <f>VLOOKUP(C155,$C$133:$H$151,2,0)</f>
        <v>B24003</v>
      </c>
      <c r="E155" s="175">
        <f t="shared" si="11"/>
        <v>1.603</v>
      </c>
      <c r="F155" s="353">
        <f t="shared" si="14"/>
        <v>1940</v>
      </c>
      <c r="G155" s="175">
        <f t="shared" si="12"/>
        <v>1</v>
      </c>
      <c r="H155" s="192">
        <f>ROUNDUP((F155*G155)/6400,0)</f>
        <v>1</v>
      </c>
      <c r="I155" s="501"/>
      <c r="J155" s="501"/>
    </row>
    <row r="156" spans="1:14" s="1" customFormat="1" ht="15" customHeight="1" outlineLevel="1">
      <c r="A156" s="18">
        <f t="shared" si="15"/>
        <v>4</v>
      </c>
      <c r="B156" s="173" t="str">
        <f t="shared" si="10"/>
        <v>ตัวตับธรณี</v>
      </c>
      <c r="C156" s="173" t="str">
        <f t="shared" si="10"/>
        <v>DOOR STOP SILL</v>
      </c>
      <c r="D156" s="174" t="str">
        <f>VLOOKUP(C156,$C$133:$H$151,2,0)</f>
        <v>B24004</v>
      </c>
      <c r="E156" s="175">
        <f t="shared" si="11"/>
        <v>0.51600000000000001</v>
      </c>
      <c r="F156" s="353">
        <f t="shared" si="14"/>
        <v>1940</v>
      </c>
      <c r="G156" s="175">
        <f t="shared" si="12"/>
        <v>1</v>
      </c>
      <c r="H156" s="192">
        <f>ROUNDUP((F156*G156)/6400,0)</f>
        <v>1</v>
      </c>
      <c r="I156" s="501"/>
      <c r="J156" s="501"/>
    </row>
    <row r="157" spans="1:14" s="1" customFormat="1" ht="15" customHeight="1" outlineLevel="1">
      <c r="A157" s="18">
        <f t="shared" si="15"/>
        <v>5</v>
      </c>
      <c r="B157" s="173" t="str">
        <f t="shared" si="10"/>
        <v>เฟรมข้าง (ซ้าย)</v>
      </c>
      <c r="C157" s="173" t="str">
        <f t="shared" si="10"/>
        <v>JAMB (L)</v>
      </c>
      <c r="D157" s="508" t="str">
        <f>VLOOKUP(C157,$C$133:$H$151,2,0)</f>
        <v>B24005</v>
      </c>
      <c r="E157" s="175">
        <f t="shared" si="11"/>
        <v>0.89300000000000002</v>
      </c>
      <c r="F157" s="353">
        <f t="shared" si="14"/>
        <v>2500</v>
      </c>
      <c r="G157" s="175">
        <f t="shared" si="12"/>
        <v>1</v>
      </c>
      <c r="H157" s="516">
        <f>ROUNDUP(((F157*G157)+(F158*G158))/6400,0)</f>
        <v>1</v>
      </c>
      <c r="I157" s="506"/>
      <c r="J157" s="506"/>
    </row>
    <row r="158" spans="1:14" s="1" customFormat="1" ht="15" customHeight="1" outlineLevel="1">
      <c r="A158" s="18">
        <f t="shared" si="15"/>
        <v>6</v>
      </c>
      <c r="B158" s="173" t="str">
        <f t="shared" si="10"/>
        <v>เฟรมข้าง (ขวา)</v>
      </c>
      <c r="C158" s="173" t="str">
        <f t="shared" si="10"/>
        <v>JAMB (R)</v>
      </c>
      <c r="D158" s="509"/>
      <c r="E158" s="175">
        <f t="shared" si="11"/>
        <v>0.89300000000000002</v>
      </c>
      <c r="F158" s="353">
        <f t="shared" si="14"/>
        <v>2500</v>
      </c>
      <c r="G158" s="175">
        <f t="shared" si="12"/>
        <v>1</v>
      </c>
      <c r="H158" s="516"/>
      <c r="I158" s="506"/>
      <c r="J158" s="506"/>
    </row>
    <row r="159" spans="1:14" s="1" customFormat="1" ht="15" customHeight="1" outlineLevel="1">
      <c r="A159" s="18">
        <f t="shared" si="15"/>
        <v>7</v>
      </c>
      <c r="B159" s="173" t="str">
        <f t="shared" si="10"/>
        <v>บังใบข้าง (ซ้าย)</v>
      </c>
      <c r="C159" s="173" t="str">
        <f t="shared" si="10"/>
        <v>DOOR STOP JAMB (L)</v>
      </c>
      <c r="D159" s="508" t="str">
        <f>VLOOKUP(C159,$C$133:$H$151,2,0)</f>
        <v>B24006</v>
      </c>
      <c r="E159" s="175">
        <f t="shared" si="11"/>
        <v>0.23499999999999999</v>
      </c>
      <c r="F159" s="353">
        <f t="shared" si="14"/>
        <v>2404</v>
      </c>
      <c r="G159" s="175">
        <f t="shared" si="12"/>
        <v>1</v>
      </c>
      <c r="H159" s="516">
        <f>ROUNDUP(((F159*G159)+(F160*G160))/6400,0)</f>
        <v>1</v>
      </c>
      <c r="I159" s="501"/>
      <c r="J159" s="501"/>
    </row>
    <row r="160" spans="1:14" s="1" customFormat="1" ht="15" customHeight="1" outlineLevel="1">
      <c r="A160" s="18">
        <f t="shared" ref="A160:A170" si="16">IF(B160="","",+A159+1)</f>
        <v>8</v>
      </c>
      <c r="B160" s="173" t="str">
        <f t="shared" ref="B160:C160" si="17">B140</f>
        <v>บังใบข้าง (ขวา)</v>
      </c>
      <c r="C160" s="173" t="str">
        <f t="shared" si="17"/>
        <v>DOOR STOP JAMB (R)</v>
      </c>
      <c r="D160" s="509"/>
      <c r="E160" s="175">
        <f t="shared" ref="E160:E170" si="18">VLOOKUP(C160,$C$133:$H$151,3,0)</f>
        <v>0.23499999999999999</v>
      </c>
      <c r="F160" s="353">
        <f t="shared" ref="F160:F170" si="19">VLOOKUP(C160,$C$133:$I$151,7,0)</f>
        <v>2404</v>
      </c>
      <c r="G160" s="175">
        <f t="shared" ref="G160:G170" si="20">VLOOKUP(C160,$C$133:$J$151,8,0)</f>
        <v>1</v>
      </c>
      <c r="H160" s="516"/>
      <c r="I160" s="506"/>
      <c r="J160" s="506"/>
    </row>
    <row r="161" spans="1:36" s="1" customFormat="1" ht="13.8" outlineLevel="1">
      <c r="A161" s="18">
        <f t="shared" si="16"/>
        <v>9</v>
      </c>
      <c r="B161" s="173" t="str">
        <f t="shared" ref="B161:C161" si="21">B141</f>
        <v>ขวางบน</v>
      </c>
      <c r="C161" s="173" t="str">
        <f t="shared" si="21"/>
        <v>SASH (Hor) (T)</v>
      </c>
      <c r="D161" s="508" t="str">
        <f t="shared" ref="D161:D169" si="22">VLOOKUP(C161,$C$133:$H$151,2,0)</f>
        <v>B24007</v>
      </c>
      <c r="E161" s="175">
        <f t="shared" si="18"/>
        <v>1.1060000000000001</v>
      </c>
      <c r="F161" s="353">
        <f t="shared" si="19"/>
        <v>15.3</v>
      </c>
      <c r="G161" s="175">
        <f t="shared" si="20"/>
        <v>15</v>
      </c>
      <c r="H161" s="512">
        <f>ROUNDUP(((F161*G161)+(F162*G162)+(F163*G163)+(F164*G164)+(F165*G165)+(F166*G166))/6400,0)</f>
        <v>12</v>
      </c>
      <c r="I161" s="506"/>
      <c r="J161" s="506"/>
    </row>
    <row r="162" spans="1:36" s="1" customFormat="1" ht="13.8" outlineLevel="1">
      <c r="A162" s="18">
        <f t="shared" si="16"/>
        <v>10</v>
      </c>
      <c r="B162" s="173" t="str">
        <f t="shared" ref="B162:C162" si="23">B142</f>
        <v>ขวางล่าง</v>
      </c>
      <c r="C162" s="173" t="str">
        <f t="shared" si="23"/>
        <v>SASH (Hor) (B)</v>
      </c>
      <c r="D162" s="510"/>
      <c r="E162" s="175">
        <f t="shared" si="18"/>
        <v>1.1060000000000001</v>
      </c>
      <c r="F162" s="353">
        <f t="shared" si="19"/>
        <v>15.3</v>
      </c>
      <c r="G162" s="175">
        <f t="shared" si="20"/>
        <v>15</v>
      </c>
      <c r="H162" s="514"/>
      <c r="I162" s="506"/>
      <c r="J162" s="506"/>
    </row>
    <row r="163" spans="1:36" s="1" customFormat="1" ht="13.8" outlineLevel="1">
      <c r="A163" s="18">
        <f t="shared" si="16"/>
        <v>11</v>
      </c>
      <c r="B163" s="173" t="str">
        <f t="shared" ref="B163:C163" si="24">B143</f>
        <v>เสา</v>
      </c>
      <c r="C163" s="173" t="str">
        <f t="shared" si="24"/>
        <v xml:space="preserve">SASH (Ver) </v>
      </c>
      <c r="D163" s="510"/>
      <c r="E163" s="175">
        <f t="shared" si="18"/>
        <v>1.1060000000000001</v>
      </c>
      <c r="F163" s="353">
        <f t="shared" si="19"/>
        <v>2408</v>
      </c>
      <c r="G163" s="175">
        <f t="shared" si="20"/>
        <v>22</v>
      </c>
      <c r="H163" s="514"/>
      <c r="I163" s="506"/>
      <c r="J163" s="506"/>
    </row>
    <row r="164" spans="1:36" s="1" customFormat="1" ht="13.8" outlineLevel="1">
      <c r="A164" s="18">
        <f t="shared" si="16"/>
        <v>12</v>
      </c>
      <c r="B164" s="173" t="str">
        <f t="shared" ref="B164:C164" si="25">B144</f>
        <v>เสากุญแจ</v>
      </c>
      <c r="C164" s="173" t="str">
        <f t="shared" si="25"/>
        <v xml:space="preserve">SASH (Ver) LOCK </v>
      </c>
      <c r="D164" s="510"/>
      <c r="E164" s="175">
        <f t="shared" si="18"/>
        <v>1.1060000000000001</v>
      </c>
      <c r="F164" s="353">
        <f t="shared" si="19"/>
        <v>2408</v>
      </c>
      <c r="G164" s="175">
        <f t="shared" si="20"/>
        <v>4</v>
      </c>
      <c r="H164" s="514"/>
      <c r="I164" s="506"/>
      <c r="J164" s="506"/>
    </row>
    <row r="165" spans="1:36" s="1" customFormat="1" ht="13.8" outlineLevel="1">
      <c r="A165" s="18">
        <f t="shared" si="16"/>
        <v>13</v>
      </c>
      <c r="B165" s="173" t="str">
        <f t="shared" ref="B165:C165" si="26">B145</f>
        <v>เสากุญแจ</v>
      </c>
      <c r="C165" s="173" t="str">
        <f t="shared" si="26"/>
        <v xml:space="preserve">SASH (Ver) LOCK </v>
      </c>
      <c r="D165" s="510"/>
      <c r="E165" s="175">
        <f t="shared" si="18"/>
        <v>1.1060000000000001</v>
      </c>
      <c r="F165" s="353">
        <f t="shared" si="19"/>
        <v>2408</v>
      </c>
      <c r="G165" s="175">
        <f t="shared" si="20"/>
        <v>4</v>
      </c>
      <c r="H165" s="514"/>
      <c r="I165" s="506"/>
      <c r="J165" s="506"/>
    </row>
    <row r="166" spans="1:36" s="1" customFormat="1" ht="15" customHeight="1" outlineLevel="1">
      <c r="A166" s="18">
        <f t="shared" si="16"/>
        <v>14</v>
      </c>
      <c r="B166" s="173" t="str">
        <f t="shared" ref="B166:C166" si="27">B146</f>
        <v>เสากุญแจมือจับ</v>
      </c>
      <c r="C166" s="173" t="str">
        <f t="shared" si="27"/>
        <v>SASH (Ver) LOCK HANDLE</v>
      </c>
      <c r="D166" s="509"/>
      <c r="E166" s="175">
        <f t="shared" si="18"/>
        <v>1.1060000000000001</v>
      </c>
      <c r="F166" s="353">
        <f t="shared" si="19"/>
        <v>2408</v>
      </c>
      <c r="G166" s="175">
        <f t="shared" si="20"/>
        <v>1</v>
      </c>
      <c r="H166" s="515"/>
      <c r="I166" s="501"/>
      <c r="J166" s="501"/>
    </row>
    <row r="167" spans="1:36" s="1" customFormat="1" ht="15" customHeight="1" outlineLevel="1">
      <c r="A167" s="18">
        <f t="shared" si="16"/>
        <v>15</v>
      </c>
      <c r="B167" s="173" t="str">
        <f t="shared" ref="B167:C167" si="28">B147</f>
        <v>5-6mm คิ้วตบกระจกแนวนอน</v>
      </c>
      <c r="C167" s="173" t="str">
        <f t="shared" si="28"/>
        <v>5-6mm GLAZING BEAD HORIZONTAL</v>
      </c>
      <c r="D167" s="508" t="str">
        <f t="shared" si="22"/>
        <v>B24008</v>
      </c>
      <c r="E167" s="175">
        <f t="shared" si="18"/>
        <v>0.23100000000000001</v>
      </c>
      <c r="F167" s="353">
        <f t="shared" si="19"/>
        <v>15.3</v>
      </c>
      <c r="G167" s="175">
        <f t="shared" si="20"/>
        <v>30</v>
      </c>
      <c r="H167" s="516">
        <f>ROUNDUP(((F167*G167)+(F168*G168))/6400,0)</f>
        <v>11</v>
      </c>
      <c r="I167" s="269"/>
      <c r="J167" s="269"/>
    </row>
    <row r="168" spans="1:36" s="1" customFormat="1" ht="15" customHeight="1" outlineLevel="1">
      <c r="A168" s="18">
        <f t="shared" si="16"/>
        <v>16</v>
      </c>
      <c r="B168" s="173" t="str">
        <f t="shared" ref="B168:C168" si="29">B148</f>
        <v>5-6mm คิ้วตบกระจกแนวตั้ง</v>
      </c>
      <c r="C168" s="173" t="str">
        <f t="shared" si="29"/>
        <v>5-6mm GLAZING BEAD VERTICAL</v>
      </c>
      <c r="D168" s="509"/>
      <c r="E168" s="175">
        <f t="shared" si="18"/>
        <v>0.23100000000000001</v>
      </c>
      <c r="F168" s="353">
        <f t="shared" si="19"/>
        <v>2258</v>
      </c>
      <c r="G168" s="175">
        <f t="shared" si="20"/>
        <v>30</v>
      </c>
      <c r="H168" s="516"/>
      <c r="I168" s="269"/>
      <c r="J168" s="269"/>
    </row>
    <row r="169" spans="1:36" s="1" customFormat="1" ht="13.8" outlineLevel="1">
      <c r="A169" s="18">
        <f t="shared" si="16"/>
        <v>17</v>
      </c>
      <c r="B169" s="173" t="str">
        <f t="shared" ref="B169:C169" si="30">B149</f>
        <v>บังใบ</v>
      </c>
      <c r="C169" s="173" t="str">
        <f t="shared" si="30"/>
        <v>SASH STOP</v>
      </c>
      <c r="D169" s="508" t="str">
        <f t="shared" si="22"/>
        <v>B24009</v>
      </c>
      <c r="E169" s="175">
        <f t="shared" si="18"/>
        <v>0</v>
      </c>
      <c r="F169" s="353">
        <f t="shared" si="19"/>
        <v>2408</v>
      </c>
      <c r="G169" s="175">
        <f t="shared" si="20"/>
        <v>1</v>
      </c>
      <c r="H169" s="516">
        <f>ROUNDUP(((F169*G169)+(F170*G170))/6400,0)</f>
        <v>1</v>
      </c>
      <c r="I169" s="269"/>
      <c r="J169" s="269"/>
    </row>
    <row r="170" spans="1:36" s="23" customFormat="1" ht="15" customHeight="1" outlineLevel="1" thickBot="1">
      <c r="A170" s="18">
        <f t="shared" si="16"/>
        <v>18</v>
      </c>
      <c r="B170" s="173" t="str">
        <f t="shared" ref="B170:C170" si="31">B150</f>
        <v>บังใบ</v>
      </c>
      <c r="C170" s="173" t="str">
        <f t="shared" si="31"/>
        <v>SASH STOP</v>
      </c>
      <c r="D170" s="511"/>
      <c r="E170" s="175">
        <f t="shared" si="18"/>
        <v>0</v>
      </c>
      <c r="F170" s="353">
        <f t="shared" si="19"/>
        <v>2408</v>
      </c>
      <c r="G170" s="175">
        <f t="shared" si="20"/>
        <v>1</v>
      </c>
      <c r="H170" s="516"/>
      <c r="I170" s="500"/>
      <c r="J170" s="50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s="1" customFormat="1" ht="24.9" customHeight="1" thickBot="1">
      <c r="A171" s="529" t="s">
        <v>9</v>
      </c>
      <c r="B171" s="530"/>
      <c r="C171" s="530"/>
      <c r="D171" s="530"/>
      <c r="E171" s="530"/>
      <c r="F171" s="530"/>
      <c r="G171" s="530"/>
      <c r="H171" s="530"/>
      <c r="I171" s="530"/>
      <c r="J171" s="531"/>
    </row>
    <row r="172" spans="1:36" s="1" customFormat="1" ht="35.1" customHeight="1" thickBot="1">
      <c r="A172" s="102" t="s">
        <v>2</v>
      </c>
      <c r="B172" s="103" t="s">
        <v>29</v>
      </c>
      <c r="C172" s="103" t="s">
        <v>3</v>
      </c>
      <c r="D172" s="103" t="s">
        <v>199</v>
      </c>
      <c r="E172" s="103" t="s">
        <v>5</v>
      </c>
      <c r="F172" s="104" t="s">
        <v>28</v>
      </c>
      <c r="G172" s="103" t="s">
        <v>19</v>
      </c>
      <c r="H172" s="104" t="s">
        <v>200</v>
      </c>
      <c r="I172" s="104" t="s">
        <v>20</v>
      </c>
      <c r="J172" s="115" t="s">
        <v>201</v>
      </c>
      <c r="N172" s="101" t="s">
        <v>191</v>
      </c>
      <c r="O172" s="246" t="s">
        <v>29</v>
      </c>
      <c r="P172" s="246" t="s">
        <v>3</v>
      </c>
      <c r="Q172" s="246" t="s">
        <v>199</v>
      </c>
      <c r="R172" s="246" t="s">
        <v>5</v>
      </c>
      <c r="S172" s="246" t="s">
        <v>28</v>
      </c>
      <c r="T172" s="246" t="s">
        <v>19</v>
      </c>
      <c r="U172" s="246" t="s">
        <v>200</v>
      </c>
      <c r="V172" s="246" t="s">
        <v>20</v>
      </c>
      <c r="W172" s="246" t="s">
        <v>201</v>
      </c>
    </row>
    <row r="173" spans="1:36" s="1" customFormat="1" ht="18" customHeight="1">
      <c r="A173" s="200">
        <f>IF(B173="","",1)</f>
        <v>1</v>
      </c>
      <c r="B173" s="140" t="s">
        <v>111</v>
      </c>
      <c r="C173" s="140" t="s">
        <v>67</v>
      </c>
      <c r="D173" s="139" t="s">
        <v>74</v>
      </c>
      <c r="E173" s="143"/>
      <c r="F173" s="143" t="s">
        <v>74</v>
      </c>
      <c r="G173" s="143" t="s">
        <v>202</v>
      </c>
      <c r="H173" s="143">
        <v>30</v>
      </c>
      <c r="I173" s="130"/>
      <c r="J173" s="131">
        <f>$J$120*H173</f>
        <v>30</v>
      </c>
      <c r="N173" s="101" t="s">
        <v>226</v>
      </c>
      <c r="O173" s="280" t="s">
        <v>252</v>
      </c>
      <c r="P173" s="290" t="s">
        <v>248</v>
      </c>
      <c r="Q173" s="280" t="s">
        <v>69</v>
      </c>
      <c r="R173" s="213"/>
      <c r="S173" s="213" t="s">
        <v>69</v>
      </c>
      <c r="T173" s="213" t="s">
        <v>198</v>
      </c>
      <c r="U173" s="291">
        <f>((($I$141*$G$141)+($I$142*$G$142)+($I$143*$G$143)+($I$144*$G$144)+($I$145*$G$145)+($I$146*$G$146))/1000)*$J$120</f>
        <v>72.698999999999998</v>
      </c>
      <c r="V173" s="291">
        <v>100</v>
      </c>
      <c r="W173" s="292">
        <f>ROUNDUP((U173)/100,0)</f>
        <v>1</v>
      </c>
    </row>
    <row r="174" spans="1:36" s="1" customFormat="1" ht="18" customHeight="1">
      <c r="A174" s="201">
        <f>IF(B174="","",+A173+1)</f>
        <v>2</v>
      </c>
      <c r="B174" s="140" t="s">
        <v>106</v>
      </c>
      <c r="C174" s="140" t="s">
        <v>503</v>
      </c>
      <c r="D174" s="139" t="s">
        <v>75</v>
      </c>
      <c r="E174" s="143"/>
      <c r="F174" s="143" t="s">
        <v>75</v>
      </c>
      <c r="G174" s="143" t="s">
        <v>202</v>
      </c>
      <c r="H174" s="143">
        <v>2</v>
      </c>
      <c r="I174" s="130"/>
      <c r="J174" s="131">
        <f t="shared" ref="J174:J200" si="32">$J$120*H174</f>
        <v>2</v>
      </c>
      <c r="N174" s="101" t="s">
        <v>230</v>
      </c>
      <c r="O174" s="280" t="s">
        <v>253</v>
      </c>
      <c r="P174" s="290" t="s">
        <v>249</v>
      </c>
      <c r="Q174" s="280" t="s">
        <v>188</v>
      </c>
      <c r="R174" s="213"/>
      <c r="S174" s="213" t="s">
        <v>188</v>
      </c>
      <c r="T174" s="213" t="s">
        <v>198</v>
      </c>
      <c r="U174" s="291">
        <f>((($I$141*$G$141)+($I$142*$G$142)+($I$143*$G$143)+($I$144*$G$144)+($I$145*$G$145)+($I$146*$G$146))/1000)*$J$120</f>
        <v>72.698999999999998</v>
      </c>
      <c r="V174" s="291">
        <v>100</v>
      </c>
      <c r="W174" s="292">
        <f t="shared" ref="W174:W177" si="33">ROUNDUP((U174)/100,0)</f>
        <v>1</v>
      </c>
    </row>
    <row r="175" spans="1:36" s="1" customFormat="1" ht="18" customHeight="1">
      <c r="A175" s="201">
        <f t="shared" ref="A175:A203" si="34">IF(B175="","",+A174+1)</f>
        <v>3</v>
      </c>
      <c r="B175" s="140" t="s">
        <v>107</v>
      </c>
      <c r="C175" s="140" t="s">
        <v>504</v>
      </c>
      <c r="D175" s="139" t="s">
        <v>76</v>
      </c>
      <c r="E175" s="143"/>
      <c r="F175" s="143" t="s">
        <v>76</v>
      </c>
      <c r="G175" s="143" t="s">
        <v>202</v>
      </c>
      <c r="H175" s="143">
        <v>2</v>
      </c>
      <c r="I175" s="130"/>
      <c r="J175" s="131">
        <f t="shared" si="32"/>
        <v>2</v>
      </c>
      <c r="N175" s="101" t="s">
        <v>229</v>
      </c>
      <c r="O175" s="290" t="s">
        <v>254</v>
      </c>
      <c r="P175" s="290" t="s">
        <v>250</v>
      </c>
      <c r="Q175" s="280" t="s">
        <v>70</v>
      </c>
      <c r="R175" s="213"/>
      <c r="S175" s="213" t="s">
        <v>70</v>
      </c>
      <c r="T175" s="213" t="s">
        <v>198</v>
      </c>
      <c r="U175" s="291">
        <f>((($I$141*$G$141)+($I$142*$G$142)+($I$143*$G$143)+($I$144*$G$144)+($I$145*$G$145)+($I$146*$G$146))/1000)*$J$120</f>
        <v>72.698999999999998</v>
      </c>
      <c r="V175" s="291">
        <v>100</v>
      </c>
      <c r="W175" s="292">
        <f t="shared" si="33"/>
        <v>1</v>
      </c>
    </row>
    <row r="176" spans="1:36" s="1" customFormat="1" ht="18" customHeight="1">
      <c r="A176" s="201">
        <f t="shared" si="34"/>
        <v>4</v>
      </c>
      <c r="B176" s="140" t="s">
        <v>108</v>
      </c>
      <c r="C176" s="140" t="s">
        <v>10</v>
      </c>
      <c r="D176" s="139">
        <v>9</v>
      </c>
      <c r="E176" s="143"/>
      <c r="F176" s="143">
        <v>9</v>
      </c>
      <c r="G176" s="143" t="s">
        <v>202</v>
      </c>
      <c r="H176" s="143">
        <v>8</v>
      </c>
      <c r="I176" s="130"/>
      <c r="J176" s="131">
        <f t="shared" si="32"/>
        <v>8</v>
      </c>
      <c r="N176" s="101" t="s">
        <v>231</v>
      </c>
      <c r="O176" s="290" t="s">
        <v>255</v>
      </c>
      <c r="P176" s="290" t="s">
        <v>251</v>
      </c>
      <c r="Q176" s="280" t="s">
        <v>189</v>
      </c>
      <c r="R176" s="213"/>
      <c r="S176" s="213" t="s">
        <v>189</v>
      </c>
      <c r="T176" s="213" t="s">
        <v>198</v>
      </c>
      <c r="U176" s="291">
        <f>((($I$141*$G$141)+($I$142*$G$142)+($I$143*$G$143)+($I$144*$G$144)+($I$145*$G$145)+($I$146*$G$146))/1000)*$J$120</f>
        <v>72.698999999999998</v>
      </c>
      <c r="V176" s="291">
        <v>100</v>
      </c>
      <c r="W176" s="292">
        <f t="shared" si="33"/>
        <v>1</v>
      </c>
    </row>
    <row r="177" spans="1:23" s="1" customFormat="1" ht="18" customHeight="1">
      <c r="A177" s="201">
        <f t="shared" si="34"/>
        <v>5</v>
      </c>
      <c r="B177" s="140" t="s">
        <v>109</v>
      </c>
      <c r="C177" s="140" t="s">
        <v>68</v>
      </c>
      <c r="D177" s="139">
        <v>9</v>
      </c>
      <c r="E177" s="143"/>
      <c r="F177" s="143">
        <v>9</v>
      </c>
      <c r="G177" s="143" t="s">
        <v>202</v>
      </c>
      <c r="H177" s="143">
        <v>110</v>
      </c>
      <c r="I177" s="130"/>
      <c r="J177" s="131">
        <f t="shared" si="32"/>
        <v>110</v>
      </c>
      <c r="N177" s="101" t="s">
        <v>232</v>
      </c>
      <c r="O177" s="290" t="s">
        <v>256</v>
      </c>
      <c r="P177" s="290" t="s">
        <v>247</v>
      </c>
      <c r="Q177" s="280" t="s">
        <v>233</v>
      </c>
      <c r="R177" s="213"/>
      <c r="S177" s="213" t="s">
        <v>233</v>
      </c>
      <c r="T177" s="213" t="s">
        <v>198</v>
      </c>
      <c r="U177" s="291">
        <f>((($I$141*$G$141)+($I$142*$G$142)+($I$143*$G$143)+($I$144*$G$144)+($I$145*$G$145)+($I$146*$G$146))/1000)*$J$120</f>
        <v>72.698999999999998</v>
      </c>
      <c r="V177" s="291">
        <v>100</v>
      </c>
      <c r="W177" s="292">
        <f t="shared" si="33"/>
        <v>1</v>
      </c>
    </row>
    <row r="178" spans="1:23" s="1" customFormat="1" ht="18" customHeight="1">
      <c r="A178" s="201">
        <f t="shared" si="34"/>
        <v>6</v>
      </c>
      <c r="B178" s="140" t="s">
        <v>132</v>
      </c>
      <c r="C178" s="140" t="s">
        <v>79</v>
      </c>
      <c r="D178" s="139" t="s">
        <v>82</v>
      </c>
      <c r="E178" s="143"/>
      <c r="F178" s="143" t="s">
        <v>82</v>
      </c>
      <c r="G178" s="143" t="s">
        <v>185</v>
      </c>
      <c r="H178" s="143">
        <v>4</v>
      </c>
      <c r="I178" s="130"/>
      <c r="J178" s="131">
        <f>$J$120*H178</f>
        <v>4</v>
      </c>
    </row>
    <row r="179" spans="1:23" s="1" customFormat="1" ht="18" customHeight="1">
      <c r="A179" s="201">
        <f t="shared" si="34"/>
        <v>7</v>
      </c>
      <c r="B179" s="140" t="s">
        <v>143</v>
      </c>
      <c r="C179" s="140" t="s">
        <v>121</v>
      </c>
      <c r="D179" s="139" t="s">
        <v>103</v>
      </c>
      <c r="E179" s="143"/>
      <c r="F179" s="143" t="s">
        <v>103</v>
      </c>
      <c r="G179" s="143" t="s">
        <v>185</v>
      </c>
      <c r="H179" s="143">
        <v>3</v>
      </c>
      <c r="I179" s="130"/>
      <c r="J179" s="131">
        <f>$J$120*H179</f>
        <v>3</v>
      </c>
    </row>
    <row r="180" spans="1:23" s="1" customFormat="1" ht="18" customHeight="1">
      <c r="A180" s="201">
        <f t="shared" si="34"/>
        <v>8</v>
      </c>
      <c r="B180" s="140" t="s">
        <v>118</v>
      </c>
      <c r="C180" s="140" t="s">
        <v>77</v>
      </c>
      <c r="D180" s="139" t="s">
        <v>80</v>
      </c>
      <c r="E180" s="143"/>
      <c r="F180" s="143" t="s">
        <v>80</v>
      </c>
      <c r="G180" s="143" t="s">
        <v>185</v>
      </c>
      <c r="H180" s="143">
        <v>1</v>
      </c>
      <c r="I180" s="130"/>
      <c r="J180" s="131">
        <f t="shared" si="32"/>
        <v>1</v>
      </c>
    </row>
    <row r="181" spans="1:23" s="1" customFormat="1" ht="18" customHeight="1">
      <c r="A181" s="201">
        <f t="shared" si="34"/>
        <v>9</v>
      </c>
      <c r="B181" s="140" t="s">
        <v>120</v>
      </c>
      <c r="C181" s="140" t="s">
        <v>94</v>
      </c>
      <c r="D181" s="139" t="s">
        <v>96</v>
      </c>
      <c r="E181" s="143"/>
      <c r="F181" s="143" t="s">
        <v>96</v>
      </c>
      <c r="G181" s="143" t="s">
        <v>185</v>
      </c>
      <c r="H181" s="143">
        <v>1</v>
      </c>
      <c r="I181" s="130"/>
      <c r="J181" s="131">
        <f t="shared" si="32"/>
        <v>1</v>
      </c>
    </row>
    <row r="182" spans="1:23" s="1" customFormat="1" ht="18" customHeight="1">
      <c r="A182" s="201">
        <f t="shared" si="34"/>
        <v>10</v>
      </c>
      <c r="B182" s="140" t="s">
        <v>119</v>
      </c>
      <c r="C182" s="140" t="s">
        <v>78</v>
      </c>
      <c r="D182" s="139" t="s">
        <v>81</v>
      </c>
      <c r="E182" s="143"/>
      <c r="F182" s="143" t="s">
        <v>81</v>
      </c>
      <c r="G182" s="143" t="s">
        <v>185</v>
      </c>
      <c r="H182" s="143">
        <v>1</v>
      </c>
      <c r="I182" s="130"/>
      <c r="J182" s="131">
        <f t="shared" si="32"/>
        <v>1</v>
      </c>
      <c r="N182" s="56"/>
      <c r="O182" s="56"/>
      <c r="P182" s="56"/>
      <c r="Q182" s="289"/>
      <c r="R182" s="289"/>
      <c r="S182" s="289"/>
      <c r="T182" s="17"/>
      <c r="U182" s="17"/>
      <c r="V182" s="17"/>
      <c r="W182" s="56"/>
    </row>
    <row r="183" spans="1:23" s="1" customFormat="1" ht="18" customHeight="1">
      <c r="A183" s="201">
        <f t="shared" si="34"/>
        <v>11</v>
      </c>
      <c r="B183" s="140" t="s">
        <v>131</v>
      </c>
      <c r="C183" s="140" t="s">
        <v>100</v>
      </c>
      <c r="D183" s="139" t="s">
        <v>102</v>
      </c>
      <c r="E183" s="143"/>
      <c r="F183" s="143" t="s">
        <v>102</v>
      </c>
      <c r="G183" s="143" t="s">
        <v>185</v>
      </c>
      <c r="H183" s="143">
        <v>6</v>
      </c>
      <c r="I183" s="144"/>
      <c r="J183" s="131">
        <f t="shared" si="32"/>
        <v>6</v>
      </c>
      <c r="N183" s="101" t="s">
        <v>227</v>
      </c>
      <c r="O183" s="246" t="s">
        <v>29</v>
      </c>
      <c r="P183" s="246" t="s">
        <v>3</v>
      </c>
      <c r="Q183" s="246" t="s">
        <v>199</v>
      </c>
      <c r="R183" s="246" t="s">
        <v>5</v>
      </c>
      <c r="S183" s="246" t="s">
        <v>28</v>
      </c>
      <c r="T183" s="246" t="s">
        <v>19</v>
      </c>
      <c r="U183" s="246" t="s">
        <v>200</v>
      </c>
      <c r="V183" s="246" t="s">
        <v>20</v>
      </c>
      <c r="W183" s="246" t="s">
        <v>201</v>
      </c>
    </row>
    <row r="184" spans="1:23" s="1" customFormat="1" ht="18" customHeight="1">
      <c r="A184" s="201">
        <f t="shared" si="34"/>
        <v>12</v>
      </c>
      <c r="B184" s="140" t="s">
        <v>113</v>
      </c>
      <c r="C184" s="140" t="s">
        <v>502</v>
      </c>
      <c r="D184" s="139" t="s">
        <v>83</v>
      </c>
      <c r="E184" s="143"/>
      <c r="F184" s="143" t="s">
        <v>83</v>
      </c>
      <c r="G184" s="143" t="s">
        <v>185</v>
      </c>
      <c r="H184" s="143">
        <v>7</v>
      </c>
      <c r="I184" s="144"/>
      <c r="J184" s="131">
        <f>$J$120*H184</f>
        <v>7</v>
      </c>
      <c r="N184" s="101" t="s">
        <v>240</v>
      </c>
      <c r="O184" s="290" t="s">
        <v>234</v>
      </c>
      <c r="P184" s="290" t="s">
        <v>236</v>
      </c>
      <c r="Q184" s="280" t="s">
        <v>190</v>
      </c>
      <c r="R184" s="213"/>
      <c r="S184" s="213" t="s">
        <v>190</v>
      </c>
      <c r="T184" s="213" t="s">
        <v>198</v>
      </c>
      <c r="U184" s="291">
        <f>((($I$134*$G$134)+($I$136*$G$136)+($I$139*$G$139))/1000)*$J$120</f>
        <v>6.258</v>
      </c>
      <c r="V184" s="291">
        <v>300</v>
      </c>
      <c r="W184" s="292">
        <f>ROUNDUP((U184)/V184,0)</f>
        <v>1</v>
      </c>
    </row>
    <row r="185" spans="1:23" s="1" customFormat="1" ht="18" customHeight="1">
      <c r="A185" s="201">
        <f t="shared" si="34"/>
        <v>13</v>
      </c>
      <c r="B185" s="140" t="s">
        <v>122</v>
      </c>
      <c r="C185" s="140" t="s">
        <v>101</v>
      </c>
      <c r="D185" s="139" t="s">
        <v>104</v>
      </c>
      <c r="E185" s="143"/>
      <c r="F185" s="143" t="s">
        <v>104</v>
      </c>
      <c r="G185" s="143" t="s">
        <v>185</v>
      </c>
      <c r="H185" s="143">
        <v>1</v>
      </c>
      <c r="I185" s="130"/>
      <c r="J185" s="131">
        <f>$J$120*H185</f>
        <v>1</v>
      </c>
      <c r="N185" s="101" t="s">
        <v>241</v>
      </c>
      <c r="O185" s="290" t="s">
        <v>235</v>
      </c>
      <c r="P185" s="290" t="s">
        <v>238</v>
      </c>
      <c r="Q185" s="280" t="s">
        <v>71</v>
      </c>
      <c r="R185" s="213"/>
      <c r="S185" s="213" t="s">
        <v>71</v>
      </c>
      <c r="T185" s="213" t="s">
        <v>198</v>
      </c>
      <c r="U185" s="291">
        <f>((($I$134*$G$134)+($I$136*$G$136)+($I$139*$G$139))/1000)*$J$120</f>
        <v>6.258</v>
      </c>
      <c r="V185" s="291">
        <v>100</v>
      </c>
      <c r="W185" s="292">
        <f t="shared" ref="W185:W187" si="35">ROUNDUP((U185)/V185,0)</f>
        <v>1</v>
      </c>
    </row>
    <row r="186" spans="1:23" s="1" customFormat="1" ht="18" customHeight="1">
      <c r="A186" s="201">
        <f t="shared" si="34"/>
        <v>14</v>
      </c>
      <c r="B186" s="140" t="s">
        <v>112</v>
      </c>
      <c r="C186" s="140" t="s">
        <v>114</v>
      </c>
      <c r="D186" s="128" t="s">
        <v>520</v>
      </c>
      <c r="E186" s="129"/>
      <c r="F186" s="129" t="s">
        <v>520</v>
      </c>
      <c r="G186" s="143" t="s">
        <v>202</v>
      </c>
      <c r="H186" s="143">
        <v>14</v>
      </c>
      <c r="I186" s="130"/>
      <c r="J186" s="131">
        <f>$J$120*H186</f>
        <v>14</v>
      </c>
      <c r="N186" s="101" t="s">
        <v>240</v>
      </c>
      <c r="O186" s="290" t="s">
        <v>245</v>
      </c>
      <c r="P186" s="290" t="s">
        <v>237</v>
      </c>
      <c r="Q186" s="280" t="s">
        <v>72</v>
      </c>
      <c r="R186" s="213"/>
      <c r="S186" s="213" t="s">
        <v>72</v>
      </c>
      <c r="T186" s="213" t="s">
        <v>198</v>
      </c>
      <c r="U186" s="291">
        <f>((($I$141*$G$141*2)+($I$143*$G$143*2)+($I$144*$G$144*2)+($I$145*($G$145-1)*2))/1000)*$J$120</f>
        <v>135.30699999999999</v>
      </c>
      <c r="V186" s="291">
        <v>350</v>
      </c>
      <c r="W186" s="292">
        <f t="shared" si="35"/>
        <v>1</v>
      </c>
    </row>
    <row r="187" spans="1:23" s="1" customFormat="1" ht="18" customHeight="1">
      <c r="A187" s="201">
        <f t="shared" si="34"/>
        <v>15</v>
      </c>
      <c r="B187" s="140" t="s">
        <v>115</v>
      </c>
      <c r="C187" s="140" t="s">
        <v>45</v>
      </c>
      <c r="D187" s="139" t="s">
        <v>84</v>
      </c>
      <c r="E187" s="143"/>
      <c r="F187" s="143" t="s">
        <v>84</v>
      </c>
      <c r="G187" s="143" t="s">
        <v>202</v>
      </c>
      <c r="H187" s="143">
        <v>1</v>
      </c>
      <c r="I187" s="130"/>
      <c r="J187" s="131">
        <f t="shared" ref="J187:J188" si="36">$J$120*H187</f>
        <v>1</v>
      </c>
      <c r="N187" s="101" t="s">
        <v>241</v>
      </c>
      <c r="O187" s="290" t="s">
        <v>246</v>
      </c>
      <c r="P187" s="290" t="s">
        <v>239</v>
      </c>
      <c r="Q187" s="280" t="s">
        <v>193</v>
      </c>
      <c r="R187" s="213"/>
      <c r="S187" s="213" t="s">
        <v>193</v>
      </c>
      <c r="T187" s="213" t="s">
        <v>198</v>
      </c>
      <c r="U187" s="291">
        <f>((($I$141*$G$141*2)+($I$143*$G$143*2)+($I$144*$G$144*2)+($I$145*($G$145-1)*2))/1000)*$J$120</f>
        <v>135.30699999999999</v>
      </c>
      <c r="V187" s="291">
        <v>100</v>
      </c>
      <c r="W187" s="292">
        <f t="shared" si="35"/>
        <v>2</v>
      </c>
    </row>
    <row r="188" spans="1:23" s="1" customFormat="1" ht="18" customHeight="1">
      <c r="A188" s="201">
        <f t="shared" si="34"/>
        <v>16</v>
      </c>
      <c r="B188" s="140" t="s">
        <v>110</v>
      </c>
      <c r="C188" s="140" t="s">
        <v>66</v>
      </c>
      <c r="D188" s="139" t="s">
        <v>73</v>
      </c>
      <c r="E188" s="143"/>
      <c r="F188" s="143" t="s">
        <v>73</v>
      </c>
      <c r="G188" s="143" t="s">
        <v>202</v>
      </c>
      <c r="H188" s="143">
        <v>7</v>
      </c>
      <c r="I188" s="130"/>
      <c r="J188" s="131">
        <f t="shared" si="36"/>
        <v>7</v>
      </c>
    </row>
    <row r="189" spans="1:23" s="1" customFormat="1" ht="18" customHeight="1">
      <c r="A189" s="201">
        <f t="shared" si="34"/>
        <v>17</v>
      </c>
      <c r="B189" s="140" t="s">
        <v>512</v>
      </c>
      <c r="C189" s="140" t="s">
        <v>135</v>
      </c>
      <c r="D189" s="139" t="s">
        <v>137</v>
      </c>
      <c r="E189" s="143"/>
      <c r="F189" s="143" t="s">
        <v>137</v>
      </c>
      <c r="G189" s="143" t="s">
        <v>198</v>
      </c>
      <c r="H189" s="261">
        <f>((($I$149*$G$149)+($I$150*$G$150))/1000)*$J$120</f>
        <v>4.8159999999999998</v>
      </c>
      <c r="I189" s="258">
        <v>100</v>
      </c>
      <c r="J189" s="260">
        <f>ROUNDUP((H189)/100,0)</f>
        <v>1</v>
      </c>
    </row>
    <row r="190" spans="1:23" s="1" customFormat="1" ht="18" customHeight="1">
      <c r="A190" s="201">
        <f t="shared" si="34"/>
        <v>18</v>
      </c>
      <c r="B190" s="140" t="s">
        <v>513</v>
      </c>
      <c r="C190" s="140" t="s">
        <v>136</v>
      </c>
      <c r="D190" s="139" t="s">
        <v>138</v>
      </c>
      <c r="E190" s="143"/>
      <c r="F190" s="143" t="s">
        <v>138</v>
      </c>
      <c r="G190" s="143" t="s">
        <v>198</v>
      </c>
      <c r="H190" s="261">
        <f>((($I$146*$G$146*2))/1000)*$J$120</f>
        <v>4.8159999999999998</v>
      </c>
      <c r="I190" s="258">
        <v>100</v>
      </c>
      <c r="J190" s="260">
        <f t="shared" ref="J190:J194" si="37">ROUNDUP((H190)/100,0)</f>
        <v>1</v>
      </c>
    </row>
    <row r="191" spans="1:23" s="1" customFormat="1" ht="18" customHeight="1">
      <c r="A191" s="201">
        <f t="shared" si="34"/>
        <v>19</v>
      </c>
      <c r="B191" s="139" t="str">
        <f>IF($D$129="Standard",$O$184,IF($D$129="Soumdproof",$O$185,))</f>
        <v>ยางเฟรมกันน้ำ (ธรรมดา)</v>
      </c>
      <c r="C191" s="139" t="str">
        <f>IF($D$129="Standard",$P$184,IF($D$129="Soumdproof",$P$185,))</f>
        <v>FRAME SEAL (Standard)</v>
      </c>
      <c r="D191" s="139" t="str">
        <f>IF($D$129="Standard",$Q$184,IF($D$129="Soumdproof",$Q$185,))</f>
        <v>02-026</v>
      </c>
      <c r="E191" s="143">
        <f>IF($D$129="Standard",R189,IF($D$129="Soumdproof",R190,))</f>
        <v>0</v>
      </c>
      <c r="F191" s="143" t="str">
        <f>IF($D$129="Standard",$S$184,IF($D$129="Soumdproof",$S$185,))</f>
        <v>02-026</v>
      </c>
      <c r="G191" s="143" t="str">
        <f>IF($D$129="Standard",$T$184,IF($D$129="Soumdproof",$T$185,))</f>
        <v>M</v>
      </c>
      <c r="H191" s="261">
        <f>IF($D$129="Standard",$U$184,IF($D$129="Soumdproof",$U$185,))</f>
        <v>6.258</v>
      </c>
      <c r="I191" s="258">
        <f>IF($D$129="Standard",$V$184,IF($D$129="Soumdproof",$V$185,))</f>
        <v>300</v>
      </c>
      <c r="J191" s="260">
        <f t="shared" si="37"/>
        <v>1</v>
      </c>
    </row>
    <row r="192" spans="1:23" s="1" customFormat="1" ht="18" customHeight="1">
      <c r="A192" s="201">
        <f t="shared" si="34"/>
        <v>20</v>
      </c>
      <c r="B192" s="139" t="str">
        <f>IF($D$129="Standard",$O$186,IF($D$129="Soumdproof",$O$187,))</f>
        <v>ยางแซชกันน้ำ (ธรรมดา)</v>
      </c>
      <c r="C192" s="139" t="str">
        <f>IF($D$129="Standard",$P$186,IF($D$129="Soumdproof",$P$187,))</f>
        <v>SASH SEAL FOAM (Standard)</v>
      </c>
      <c r="D192" s="139" t="str">
        <f>IF($D$129="Standard",$Q$186,IF($D$129="Soumdproof",$Q$187,))</f>
        <v>02-031</v>
      </c>
      <c r="E192" s="143">
        <f>IF($D$129="Standard",R191,IF($D$129="Soumdproof",R192,))</f>
        <v>0</v>
      </c>
      <c r="F192" s="143" t="str">
        <f>IF($D$129="Standard",$S$186,IF($D$129="Soumdproof",$S$187,))</f>
        <v>02-031</v>
      </c>
      <c r="G192" s="143" t="str">
        <f>IF($D$129="Standard",$T$186,IF($D$129="Soumdproof",$T$187,))</f>
        <v>M</v>
      </c>
      <c r="H192" s="261">
        <f>IF($D$129="Standard",$U$186,IF($D$129="Soumdproof",$U$187,))</f>
        <v>135.30699999999999</v>
      </c>
      <c r="I192" s="258">
        <f>IF($D$129="Standard",$V$186,IF($D$129="Soumdproof",$V$187,))</f>
        <v>350</v>
      </c>
      <c r="J192" s="260">
        <f t="shared" si="37"/>
        <v>2</v>
      </c>
    </row>
    <row r="193" spans="1:25" ht="18" customHeight="1">
      <c r="A193" s="201">
        <f t="shared" si="34"/>
        <v>21</v>
      </c>
      <c r="B193" s="241" t="str">
        <f>IF($D$127=5,$O$175,IF($D$127=6,$O$176,IF($D$127=8,$O$177,IF($D$127=10,$O$175,IF($D$127=12,$O$175,IF($D$127=14,$O$177,IF($D$127=18,$O$175,IF($D$127=20,$O$176,IF($D$127=22,"")))))))))</f>
        <v>5,8,10,12,18 mmยางอัดกระจก</v>
      </c>
      <c r="C193" s="241" t="str">
        <f>IF($D$127=5,$P$175,IF($D$127=6,$P$176,IF($D$127=8,$P$177,IF($D$127=10,$P$175,IF($D$127=12,$P$175,IF($D$127=14,$P$177,IF($D$127=18,$P$175,IF($D$127=20,$P$176,IF($D$127=22,"")))))))))</f>
        <v>5,8,10,12,18 mm ROLL IN WEDGE</v>
      </c>
      <c r="D193" s="241" t="str">
        <f>IF($D$127=5,$Q$175,IF($D$127=6,$Q$176,IF($D$127=8,$Q$177,IF($D$127=10,$Q$175,IF($D$127=12,$Q$175,IF($D$127=14,$Q$177,IF($D$127=18,$Q$175,IF($D$127=20,$Q$176,IF($D$127=22,"")))))))))</f>
        <v>02-033</v>
      </c>
      <c r="E193" s="241">
        <f>IF($D$127=5,R180,IF($D$127=6,R181,IF($D$127=8,R182,IF($D$127=10,R180,IF($D$127=12,R180,IF($D$127=14,R182,IF($D$127=18,R180,IF($D$127=20,R181,IF($D$127=22,"",)))))))))</f>
        <v>0</v>
      </c>
      <c r="F193" s="242" t="str">
        <f>IF($D$127=5,$S$175,IF($D$127=6,$S$176,IF($D$127=8,$S$177,IF($D$127=10,$S$175,IF($D$127=12,$S$175,IF($D$127=14,$S$177,IF($D$127=18,$S$175,IF($D$127=20,$S$176,IF($D$127=22,"")))))))))</f>
        <v>02-033</v>
      </c>
      <c r="G193" s="242" t="str">
        <f>IF($D$127=5,$T$175,IF($D$127=6,$T$176,IF($D$127=8,$T$177,IF($D$127=10,$T$175,IF($D$127=12,$T$175,IF($D$127=14,$T$177,IF($D$127=18,$T$175,IF($D$127=20,$T$176,IF($D$127=22,"")))))))))</f>
        <v>M</v>
      </c>
      <c r="H193" s="261">
        <f>IF($D$127=5,$U$175,IF($D$127=6,$U$176,IF($D$127=8,$U$177,IF($D$127=10,$U$175*2,IF($D$127=12,$U$175,IF($D$127=14,$U$177*2,IF($D$127=18,$U$175,IF($D$127=20,$U$176,IF($D$127=22,"")))))))))</f>
        <v>72.698999999999998</v>
      </c>
      <c r="I193" s="258">
        <f>IF($D$127=5,$V$175,IF($D$127=6,$V$176,IF($D$127=8,$V$177,IF($D$127=10,$V$175,IF($D$127=12,$V$175,IF($D$127=14,$V$177,IF($D$127=18,$V$175,IF($D$127=20,$V$176,IF($D$127=22,"")))))))))</f>
        <v>100</v>
      </c>
      <c r="J193" s="260">
        <f t="shared" si="37"/>
        <v>1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s="1" customFormat="1" ht="18" customHeight="1">
      <c r="A194" s="201">
        <f t="shared" si="34"/>
        <v>22</v>
      </c>
      <c r="B194" s="241" t="str">
        <f>IF($D$127=5,$O$173,IF($D$127=6,$O$173,IF($D$127=8,$O$175,IF($D$127=10,"",IF($D$127=12,$O$174,IF($D$127=14,"",IF($D$127=18,$O$173,IF($D$127=20,$O$174,IF($D$127=22,"",)))))))))</f>
        <v>5,6,18 mm ยางรองกระจก</v>
      </c>
      <c r="C194" s="241" t="str">
        <f>IF($D$127=5,$P$173,IF($D$127=6,$P$173,IF($D$127=8,$P$175,IF($D$127=10,"",IF($D$127=12,$P$174,IF($D$127=14,"",IF($D$127=18,$P$173,IF($D$127=20,$P$174,IF($D$127=22,"",)))))))))</f>
        <v>5,6,18 mm CAPTIVE WEDGE</v>
      </c>
      <c r="D194" s="241" t="str">
        <f>IF($D$127=5,$Q$173,IF($D$127=6,$Q$173,IF($D$127=8,$Q$175,IF($D$127=10,"",IF($D$127=12,$Q$174,IF($D$127=14,"",IF($D$127=18,$Q$173,IF($D$127=20,$Q$174,IF($D$127=22,"",)))))))))</f>
        <v>02-022</v>
      </c>
      <c r="E194" s="241">
        <f>IF($D$127=5,R178,IF($D$127=6,R178,IF($D$127=8,R180,IF($D$127=10,"",IF($D$127=12,R179,IF($D$127=14,"",IF($D$127=18,R178,IF($D$127=20,R179,IF($D$127=22,"",)))))))))</f>
        <v>0</v>
      </c>
      <c r="F194" s="242" t="str">
        <f>IF($D$127=5,$S$173,IF($D$127=6,$S$173,IF($D$127=8,$S$175,IF($D$127=10,"",IF($D$127=12,$S$174,IF($D$127=14,"",IF($D$127=18,$S$173,IF($D$127=20,$S$174,IF($D$127=22,"",)))))))))</f>
        <v>02-022</v>
      </c>
      <c r="G194" s="242" t="str">
        <f>IF($D$127=5,$T$173,IF($D$127=6,$T$173,IF($D$127=8,$T$175,IF($D$127=10,"",IF($D$127=12,$T$174,IF($D$127=14,"",IF($D$127=18,$T$173,IF($D$127=20,$T$174,IF($D$127=22,"",)))))))))</f>
        <v>M</v>
      </c>
      <c r="H194" s="261">
        <f>IF($D$127=5,$U$173,IF($D$127=6,$U$173,IF($D$127=8,$U$175,IF($D$127=10,"",IF($D$127=12,$U$174,IF($D$127=14,"",IF($D$127=18,$U$173,IF($D$127=20,$U$174,IF($D$127=22,"")))))))))</f>
        <v>72.698999999999998</v>
      </c>
      <c r="I194" s="258">
        <f>IF($D$127=5,$V$173,IF($D$127=6,$V$173,IF($D$127=8,$V$175,IF($D$127=10,"",IF($D$127=12,$V$174,IF($D$127=14,"",IF($D$127=18,$V$173,IF($D$127=20,$V$174,IF($D$127=22,"",)))))))))</f>
        <v>100</v>
      </c>
      <c r="J194" s="260">
        <f t="shared" si="37"/>
        <v>1</v>
      </c>
    </row>
    <row r="195" spans="1:25" s="1" customFormat="1" ht="18" customHeight="1">
      <c r="A195" s="201" t="str">
        <f t="shared" si="34"/>
        <v/>
      </c>
      <c r="B195" s="140"/>
      <c r="C195" s="140"/>
      <c r="D195" s="139"/>
      <c r="E195" s="143"/>
      <c r="F195" s="143"/>
      <c r="G195" s="143"/>
      <c r="H195" s="143"/>
      <c r="I195" s="130"/>
      <c r="J195" s="131">
        <f>$J$120*H195</f>
        <v>0</v>
      </c>
    </row>
    <row r="196" spans="1:25" s="1" customFormat="1" ht="18" customHeight="1">
      <c r="A196" s="201" t="str">
        <f t="shared" si="34"/>
        <v/>
      </c>
      <c r="B196" s="140"/>
      <c r="C196" s="140"/>
      <c r="D196" s="139"/>
      <c r="E196" s="143"/>
      <c r="F196" s="143"/>
      <c r="G196" s="143"/>
      <c r="H196" s="143"/>
      <c r="I196" s="130"/>
      <c r="J196" s="131">
        <f>$J$120*H196</f>
        <v>0</v>
      </c>
    </row>
    <row r="197" spans="1:25" s="1" customFormat="1" ht="18" customHeight="1">
      <c r="A197" s="201" t="str">
        <f t="shared" si="34"/>
        <v/>
      </c>
      <c r="B197" s="140"/>
      <c r="C197" s="140"/>
      <c r="D197" s="139"/>
      <c r="E197" s="143"/>
      <c r="F197" s="143"/>
      <c r="G197" s="143"/>
      <c r="H197" s="143"/>
      <c r="I197" s="130"/>
      <c r="J197" s="131">
        <f>$J$120*H197</f>
        <v>0</v>
      </c>
    </row>
    <row r="198" spans="1:25" s="1" customFormat="1" ht="18" customHeight="1">
      <c r="A198" s="201" t="str">
        <f t="shared" si="34"/>
        <v/>
      </c>
      <c r="B198" s="140"/>
      <c r="C198" s="140"/>
      <c r="D198" s="139"/>
      <c r="E198" s="143"/>
      <c r="F198" s="143"/>
      <c r="G198" s="143"/>
      <c r="H198" s="143"/>
      <c r="I198" s="130"/>
      <c r="J198" s="131"/>
    </row>
    <row r="199" spans="1:25" s="1" customFormat="1" ht="18" customHeight="1">
      <c r="A199" s="201" t="str">
        <f t="shared" si="34"/>
        <v/>
      </c>
      <c r="B199" s="140"/>
      <c r="C199" s="140"/>
      <c r="D199" s="139"/>
      <c r="E199" s="143"/>
      <c r="F199" s="143"/>
      <c r="G199" s="143"/>
      <c r="H199" s="143"/>
      <c r="I199" s="144"/>
      <c r="J199" s="131">
        <f t="shared" si="32"/>
        <v>0</v>
      </c>
    </row>
    <row r="200" spans="1:25" s="1" customFormat="1" ht="18" customHeight="1">
      <c r="A200" s="201" t="str">
        <f t="shared" si="34"/>
        <v/>
      </c>
      <c r="B200" s="140"/>
      <c r="C200" s="140"/>
      <c r="D200" s="139"/>
      <c r="E200" s="143"/>
      <c r="F200" s="143"/>
      <c r="G200" s="143"/>
      <c r="H200" s="143"/>
      <c r="I200" s="144"/>
      <c r="J200" s="131">
        <f t="shared" si="32"/>
        <v>0</v>
      </c>
    </row>
    <row r="201" spans="1:25" s="1" customFormat="1" ht="18" customHeight="1">
      <c r="A201" s="201" t="str">
        <f t="shared" si="34"/>
        <v/>
      </c>
      <c r="B201" s="140"/>
      <c r="C201" s="140"/>
      <c r="D201" s="139"/>
      <c r="E201" s="143"/>
      <c r="F201" s="143"/>
      <c r="G201" s="143"/>
      <c r="H201" s="143"/>
      <c r="I201" s="130"/>
      <c r="J201" s="131">
        <f t="shared" ref="J201:J204" si="38">$J$120*H201</f>
        <v>0</v>
      </c>
    </row>
    <row r="202" spans="1:25" s="1" customFormat="1" ht="18" customHeight="1">
      <c r="A202" s="201" t="str">
        <f t="shared" si="34"/>
        <v/>
      </c>
      <c r="B202" s="140"/>
      <c r="C202" s="140"/>
      <c r="D202" s="139"/>
      <c r="E202" s="143"/>
      <c r="F202" s="143"/>
      <c r="G202" s="143"/>
      <c r="H202" s="143"/>
      <c r="I202" s="130"/>
      <c r="J202" s="131">
        <f t="shared" si="38"/>
        <v>0</v>
      </c>
    </row>
    <row r="203" spans="1:25" s="1" customFormat="1" ht="18" customHeight="1">
      <c r="A203" s="201" t="str">
        <f t="shared" si="34"/>
        <v/>
      </c>
      <c r="B203" s="140"/>
      <c r="C203" s="140"/>
      <c r="D203" s="139"/>
      <c r="E203" s="143"/>
      <c r="F203" s="143"/>
      <c r="G203" s="143"/>
      <c r="H203" s="143"/>
      <c r="I203" s="130"/>
      <c r="J203" s="131">
        <f t="shared" si="38"/>
        <v>0</v>
      </c>
    </row>
    <row r="204" spans="1:25" s="1" customFormat="1" ht="18" customHeight="1">
      <c r="A204" s="317" t="str">
        <f t="shared" ref="A204" si="39">IF(B204="","",+A203+1)</f>
        <v/>
      </c>
      <c r="B204" s="142"/>
      <c r="C204" s="142"/>
      <c r="D204" s="141"/>
      <c r="E204" s="240"/>
      <c r="F204" s="240"/>
      <c r="G204" s="240"/>
      <c r="H204" s="240"/>
      <c r="I204" s="136"/>
      <c r="J204" s="293">
        <f t="shared" si="38"/>
        <v>0</v>
      </c>
    </row>
    <row r="205" spans="1:25" s="193" customFormat="1" ht="18" customHeight="1">
      <c r="A205" s="27"/>
      <c r="B205" s="161"/>
      <c r="C205" s="33"/>
      <c r="D205" s="161"/>
      <c r="E205" s="109"/>
      <c r="F205" s="161"/>
      <c r="G205" s="161"/>
      <c r="H205" s="161"/>
      <c r="I205" s="24"/>
      <c r="J205" s="24"/>
    </row>
    <row r="206" spans="1:25" ht="18" customHeight="1">
      <c r="A206" s="17"/>
      <c r="J206" s="99" t="str">
        <f>LEFT($J$111,14)&amp;"-02"</f>
        <v>FG-240-15P7L8R-02</v>
      </c>
    </row>
    <row r="207" spans="1:25" ht="12.75" customHeight="1">
      <c r="B207" s="56"/>
      <c r="C207" s="56"/>
      <c r="D207" s="30"/>
      <c r="E207" s="17"/>
      <c r="F207" s="17"/>
      <c r="G207" s="17"/>
      <c r="H207" s="17"/>
      <c r="K207" s="7"/>
      <c r="L207" s="7"/>
      <c r="M207" s="2"/>
      <c r="N207" s="2"/>
    </row>
    <row r="208" spans="1:25" ht="30" customHeight="1">
      <c r="I208" s="95"/>
      <c r="J208" s="90" t="str">
        <f>$J$2</f>
        <v>HOMELIFE</v>
      </c>
      <c r="K208" s="11"/>
      <c r="L208" s="11"/>
      <c r="M208" s="2"/>
      <c r="N208" s="2"/>
    </row>
    <row r="209" spans="1:14" ht="24.9" customHeight="1">
      <c r="B209" s="271"/>
      <c r="C209" s="5"/>
      <c r="D209" s="95"/>
      <c r="E209" s="95"/>
      <c r="F209" s="95"/>
      <c r="G209" s="95"/>
      <c r="H209" s="95"/>
      <c r="I209" s="28"/>
      <c r="J209" s="91" t="str">
        <f>$J$3</f>
        <v>Fabricators Guide</v>
      </c>
      <c r="K209" s="11"/>
      <c r="L209" s="11"/>
      <c r="M209" s="2"/>
      <c r="N209" s="2"/>
    </row>
    <row r="210" spans="1:14" ht="24.9" customHeight="1">
      <c r="B210" s="271"/>
      <c r="C210" s="28"/>
      <c r="D210" s="28"/>
      <c r="E210" s="28"/>
      <c r="F210" s="28"/>
      <c r="G210" s="28"/>
      <c r="H210" s="28"/>
      <c r="I210" s="28"/>
      <c r="J210" s="91" t="str">
        <f>$J$4</f>
        <v xml:space="preserve">240 Series Bi Fold Door </v>
      </c>
      <c r="K210" s="48"/>
      <c r="L210" s="48"/>
      <c r="M210" s="4"/>
      <c r="N210" s="4"/>
    </row>
    <row r="211" spans="1:14" s="1" customFormat="1" ht="15" customHeight="1" thickBot="1">
      <c r="A211" s="78"/>
      <c r="B211" s="8"/>
      <c r="C211" s="28"/>
      <c r="D211" s="28"/>
      <c r="E211" s="28"/>
      <c r="F211" s="28"/>
      <c r="G211" s="28"/>
      <c r="H211" s="28"/>
      <c r="I211" s="78"/>
      <c r="J211" s="113"/>
      <c r="K211" s="4"/>
      <c r="L211" s="4"/>
      <c r="M211" s="4"/>
      <c r="N211" s="4"/>
    </row>
    <row r="212" spans="1:14" s="1" customFormat="1" ht="24.9" customHeight="1" thickBot="1">
      <c r="A212" s="502" t="s">
        <v>30</v>
      </c>
      <c r="B212" s="503"/>
      <c r="C212" s="503"/>
      <c r="D212" s="503"/>
      <c r="E212" s="503"/>
      <c r="F212" s="503"/>
      <c r="G212" s="503"/>
      <c r="H212" s="503"/>
      <c r="I212" s="503"/>
      <c r="J212" s="504"/>
      <c r="K212" s="56"/>
      <c r="L212" s="56"/>
      <c r="M212" s="56"/>
      <c r="N212" s="56"/>
    </row>
    <row r="214" spans="1:14" s="1" customFormat="1" ht="15" customHeight="1">
      <c r="A214" s="93"/>
      <c r="B214"/>
      <c r="C214"/>
      <c r="D214" s="81"/>
      <c r="E214"/>
      <c r="F214"/>
      <c r="G214"/>
      <c r="H214"/>
      <c r="I214" s="160"/>
      <c r="J214" s="116"/>
    </row>
    <row r="215" spans="1:14" s="1" customFormat="1" ht="15" customHeight="1">
      <c r="A215" s="17"/>
      <c r="B215" s="93"/>
      <c r="C215" s="56"/>
      <c r="D215" s="30"/>
      <c r="E215" s="29"/>
      <c r="F215" s="160"/>
      <c r="G215" s="160"/>
      <c r="H215" s="160"/>
      <c r="J215" s="17"/>
    </row>
    <row r="216" spans="1:14" s="1" customFormat="1" ht="15" customHeight="1">
      <c r="A216" s="17"/>
      <c r="B216" s="56"/>
      <c r="C216" s="328"/>
      <c r="D216" s="30"/>
      <c r="E216" s="29"/>
      <c r="F216" s="30"/>
      <c r="J216" s="17"/>
    </row>
    <row r="217" spans="1:14" s="1" customFormat="1" ht="15.6">
      <c r="A217" s="109"/>
      <c r="B217" s="33"/>
      <c r="C217" s="327"/>
      <c r="D217" s="161"/>
      <c r="E217" s="109"/>
      <c r="F217" s="161"/>
      <c r="H217" s="328"/>
      <c r="J217" s="109"/>
    </row>
    <row r="218" spans="1:14" s="1" customFormat="1" ht="15" customHeight="1">
      <c r="A218" s="93"/>
      <c r="B218" s="93"/>
      <c r="C218" s="56"/>
      <c r="D218" s="30"/>
      <c r="E218" s="29"/>
      <c r="F218" s="160"/>
      <c r="H218" s="328"/>
      <c r="I218" s="109"/>
      <c r="J218" s="109"/>
    </row>
    <row r="219" spans="1:14" s="1" customFormat="1" ht="15" customHeight="1">
      <c r="A219" s="17"/>
      <c r="B219" s="56"/>
      <c r="C219" s="89" t="s">
        <v>272</v>
      </c>
      <c r="D219" s="30"/>
      <c r="E219" s="29"/>
      <c r="F219" s="30"/>
      <c r="I219" s="109"/>
      <c r="J219" s="109"/>
    </row>
    <row r="220" spans="1:14" s="1" customFormat="1" ht="15" customHeight="1">
      <c r="A220" s="17"/>
      <c r="B220" s="56"/>
      <c r="C220" s="328" t="s">
        <v>275</v>
      </c>
      <c r="D220" s="30"/>
      <c r="E220" s="29"/>
      <c r="F220" s="30"/>
      <c r="H220" s="89"/>
      <c r="J220" s="12"/>
    </row>
    <row r="221" spans="1:14" s="1" customFormat="1" ht="15" customHeight="1">
      <c r="A221" s="109"/>
      <c r="B221" s="33"/>
      <c r="C221" s="327" t="s">
        <v>441</v>
      </c>
      <c r="D221" s="161"/>
      <c r="E221" s="109"/>
      <c r="F221" s="161"/>
      <c r="J221" s="12"/>
    </row>
    <row r="222" spans="1:14" s="1" customFormat="1" ht="15" customHeight="1">
      <c r="A222" s="109"/>
      <c r="B222" s="33"/>
      <c r="C222" s="374">
        <f>$I$133</f>
        <v>1940</v>
      </c>
      <c r="D222" s="161"/>
      <c r="E222" s="35"/>
      <c r="F222" s="161"/>
      <c r="G222" s="68"/>
      <c r="J222" s="12"/>
    </row>
    <row r="223" spans="1:14" s="1" customFormat="1" ht="15" customHeight="1">
      <c r="A223" s="109"/>
      <c r="B223" s="33"/>
      <c r="C223" s="363">
        <f>$J$133</f>
        <v>1</v>
      </c>
      <c r="D223" s="161"/>
      <c r="E223" s="35"/>
      <c r="F223" s="161"/>
      <c r="G223" s="326"/>
      <c r="I223" s="109"/>
      <c r="J223" s="109"/>
    </row>
    <row r="224" spans="1:14" s="1" customFormat="1" ht="15" customHeight="1">
      <c r="A224" s="109"/>
      <c r="B224" s="33"/>
      <c r="D224" s="161"/>
      <c r="E224" s="109"/>
      <c r="F224" s="161"/>
      <c r="G224" s="326"/>
      <c r="I224" s="109"/>
      <c r="J224" s="109"/>
    </row>
    <row r="225" spans="1:10" s="1" customFormat="1" ht="15.9" customHeight="1">
      <c r="A225" s="92"/>
      <c r="B225" s="92"/>
      <c r="C225" s="13"/>
      <c r="D225" s="161"/>
      <c r="E225" s="109"/>
      <c r="F225" s="161"/>
      <c r="G225" s="68"/>
      <c r="I225" s="109"/>
      <c r="J225" s="109"/>
    </row>
    <row r="226" spans="1:10" s="1" customFormat="1" ht="15.9" customHeight="1">
      <c r="A226" s="92"/>
      <c r="B226" s="92"/>
      <c r="C226" s="13"/>
      <c r="D226" s="161"/>
      <c r="E226" s="109"/>
      <c r="F226" s="161"/>
      <c r="H226" s="109"/>
      <c r="I226" s="109"/>
      <c r="J226" s="109"/>
    </row>
    <row r="227" spans="1:10" s="1" customFormat="1" ht="15.9" customHeight="1">
      <c r="A227" s="92"/>
      <c r="B227" s="92"/>
      <c r="C227" s="13"/>
      <c r="D227" s="161"/>
      <c r="E227" s="109"/>
      <c r="F227" s="161"/>
      <c r="H227" s="109"/>
      <c r="I227" s="32"/>
      <c r="J227" s="40"/>
    </row>
    <row r="228" spans="1:10" s="1" customFormat="1" ht="15.9" customHeight="1">
      <c r="A228" s="92"/>
      <c r="B228" s="92"/>
      <c r="C228" s="327"/>
      <c r="D228" s="161"/>
      <c r="E228" s="109"/>
      <c r="F228" s="161"/>
      <c r="H228" s="109"/>
      <c r="I228" s="270"/>
      <c r="J228" s="117"/>
    </row>
    <row r="229" spans="1:10" s="1" customFormat="1" ht="15.9" customHeight="1">
      <c r="A229" s="45"/>
      <c r="B229" s="45"/>
      <c r="D229" s="161"/>
      <c r="E229" s="109"/>
      <c r="F229" s="161"/>
      <c r="I229" s="270"/>
      <c r="J229" s="117"/>
    </row>
    <row r="230" spans="1:10" s="1" customFormat="1" ht="15.9" customHeight="1">
      <c r="A230" s="109"/>
      <c r="B230" s="109"/>
      <c r="D230" s="161"/>
      <c r="E230" s="109"/>
      <c r="F230" s="161"/>
      <c r="I230" s="270"/>
      <c r="J230" s="117"/>
    </row>
    <row r="231" spans="1:10" s="1" customFormat="1" ht="15.9" customHeight="1">
      <c r="A231" s="39"/>
      <c r="B231" s="38"/>
      <c r="D231" s="161"/>
      <c r="E231" s="109"/>
      <c r="F231" s="109"/>
      <c r="I231" s="270"/>
      <c r="J231" s="117"/>
    </row>
    <row r="232" spans="1:10" s="1" customFormat="1" ht="15.9" customHeight="1">
      <c r="A232" s="44"/>
      <c r="B232" s="44"/>
      <c r="C232" s="89" t="s">
        <v>274</v>
      </c>
      <c r="D232" s="84"/>
      <c r="E232" s="44"/>
      <c r="F232" s="44"/>
      <c r="G232" s="109"/>
      <c r="H232" s="109"/>
      <c r="I232" s="270"/>
      <c r="J232" s="117"/>
    </row>
    <row r="233" spans="1:10" s="1" customFormat="1" ht="15.9" customHeight="1">
      <c r="A233" s="40"/>
      <c r="B233" s="40"/>
      <c r="C233" s="328" t="s">
        <v>652</v>
      </c>
      <c r="D233" s="85"/>
      <c r="E233" s="40"/>
      <c r="F233" s="32"/>
      <c r="G233" s="109"/>
      <c r="H233" s="109"/>
      <c r="J233" s="12"/>
    </row>
    <row r="234" spans="1:10" s="1" customFormat="1" ht="15.9" customHeight="1">
      <c r="A234" s="109"/>
      <c r="B234" s="33"/>
      <c r="C234" s="327" t="s">
        <v>654</v>
      </c>
      <c r="D234" s="161"/>
      <c r="E234" s="109"/>
      <c r="F234" s="161"/>
      <c r="G234" s="109"/>
      <c r="H234" s="109"/>
      <c r="I234" s="109"/>
      <c r="J234" s="24"/>
    </row>
    <row r="235" spans="1:10" s="1" customFormat="1" ht="15.9" customHeight="1">
      <c r="A235" s="109"/>
      <c r="B235" s="33"/>
      <c r="C235" s="374">
        <f>$I$134</f>
        <v>1914</v>
      </c>
      <c r="D235" s="161"/>
      <c r="E235" s="109"/>
      <c r="F235" s="161"/>
      <c r="G235" s="109"/>
      <c r="H235" s="109"/>
      <c r="I235" s="24"/>
      <c r="J235" s="24"/>
    </row>
    <row r="236" spans="1:10" s="1" customFormat="1" ht="15.9" customHeight="1">
      <c r="A236" s="109"/>
      <c r="B236" s="33"/>
      <c r="C236" s="363">
        <f>$J$134</f>
        <v>1</v>
      </c>
      <c r="D236" s="161"/>
      <c r="E236" s="109"/>
      <c r="F236" s="161"/>
      <c r="G236" s="109"/>
      <c r="H236" s="107"/>
      <c r="I236" s="89"/>
      <c r="J236" s="118"/>
    </row>
    <row r="237" spans="1:10" s="1" customFormat="1" ht="15.9" customHeight="1">
      <c r="A237" s="109"/>
      <c r="B237" s="33"/>
      <c r="C237" s="44"/>
      <c r="D237" s="161"/>
      <c r="E237" s="109"/>
      <c r="F237" s="161"/>
      <c r="G237" s="109"/>
      <c r="H237" s="107"/>
      <c r="I237" s="270"/>
      <c r="J237" s="117"/>
    </row>
    <row r="238" spans="1:10" s="1" customFormat="1" ht="15.9" customHeight="1">
      <c r="A238" s="109"/>
      <c r="B238" s="33"/>
      <c r="D238" s="161"/>
      <c r="E238" s="109"/>
      <c r="F238" s="161"/>
      <c r="G238" s="109"/>
      <c r="H238" s="109"/>
      <c r="I238" s="270"/>
      <c r="J238" s="117"/>
    </row>
    <row r="239" spans="1:10" s="1" customFormat="1" ht="15.9" customHeight="1">
      <c r="A239" s="109"/>
      <c r="B239" s="33"/>
      <c r="D239" s="161"/>
      <c r="E239" s="109"/>
      <c r="F239" s="161"/>
      <c r="G239" s="109"/>
      <c r="H239" s="109"/>
      <c r="I239" s="24"/>
      <c r="J239" s="24"/>
    </row>
    <row r="240" spans="1:10" s="1" customFormat="1" ht="15.9" customHeight="1">
      <c r="A240" s="109"/>
      <c r="B240" s="33"/>
      <c r="D240" s="161"/>
      <c r="E240" s="109"/>
      <c r="F240" s="161"/>
      <c r="G240" s="109"/>
      <c r="H240" s="36"/>
      <c r="I240" s="24"/>
      <c r="J240" s="24"/>
    </row>
    <row r="241" spans="1:10" s="1" customFormat="1" ht="15.9" customHeight="1">
      <c r="A241" s="109"/>
      <c r="B241" s="33"/>
      <c r="D241" s="161"/>
      <c r="E241" s="109"/>
      <c r="F241" s="161"/>
      <c r="G241" s="109"/>
      <c r="H241" s="109"/>
      <c r="I241" s="109"/>
      <c r="J241" s="24"/>
    </row>
    <row r="242" spans="1:10" s="1" customFormat="1" ht="15.9" customHeight="1">
      <c r="A242" s="109"/>
      <c r="B242" s="33"/>
      <c r="C242" s="89" t="s">
        <v>276</v>
      </c>
      <c r="D242" s="161"/>
      <c r="E242" s="109"/>
      <c r="F242" s="161"/>
      <c r="G242" s="109"/>
      <c r="H242" s="109"/>
      <c r="I242" s="24"/>
      <c r="J242" s="24"/>
    </row>
    <row r="243" spans="1:10" s="1" customFormat="1" ht="15.9" customHeight="1">
      <c r="A243" s="109"/>
      <c r="B243" s="33"/>
      <c r="C243" s="328" t="s">
        <v>275</v>
      </c>
      <c r="D243" s="161"/>
      <c r="E243" s="109"/>
      <c r="F243" s="161"/>
      <c r="G243" s="109"/>
      <c r="H243" s="109"/>
      <c r="I243" s="24"/>
      <c r="J243" s="24"/>
    </row>
    <row r="244" spans="1:10" s="1" customFormat="1" ht="15" customHeight="1">
      <c r="A244" s="109"/>
      <c r="B244" s="33"/>
      <c r="C244" s="327" t="s">
        <v>441</v>
      </c>
      <c r="D244" s="161"/>
      <c r="E244" s="109"/>
      <c r="F244" s="161"/>
      <c r="G244" s="109"/>
      <c r="H244" s="109"/>
      <c r="I244" s="24"/>
      <c r="J244" s="24"/>
    </row>
    <row r="245" spans="1:10" s="1" customFormat="1" ht="15.9" customHeight="1">
      <c r="A245" s="109"/>
      <c r="B245" s="33"/>
      <c r="C245" s="374">
        <f>$I$135</f>
        <v>1940</v>
      </c>
      <c r="D245" s="161"/>
      <c r="E245" s="109"/>
      <c r="F245" s="161"/>
      <c r="G245" s="109"/>
      <c r="H245" s="109"/>
      <c r="I245" s="44"/>
      <c r="J245" s="119"/>
    </row>
    <row r="246" spans="1:10" s="1" customFormat="1" ht="15.9" customHeight="1">
      <c r="A246" s="109"/>
      <c r="B246" s="33"/>
      <c r="C246" s="363">
        <f>$J$135</f>
        <v>1</v>
      </c>
      <c r="D246" s="161"/>
      <c r="E246" s="109"/>
      <c r="F246" s="161"/>
      <c r="G246" s="109"/>
      <c r="H246" s="109"/>
      <c r="I246" s="32"/>
      <c r="J246" s="40"/>
    </row>
    <row r="247" spans="1:10" s="1" customFormat="1" ht="15.9" customHeight="1">
      <c r="A247" s="109"/>
      <c r="B247" s="33"/>
      <c r="C247" s="161"/>
      <c r="D247" s="161"/>
      <c r="E247" s="109"/>
      <c r="F247" s="161"/>
      <c r="G247" s="109"/>
      <c r="H247" s="109"/>
      <c r="J247" s="12"/>
    </row>
    <row r="248" spans="1:10" s="1" customFormat="1" ht="15.9" customHeight="1">
      <c r="A248" s="109"/>
      <c r="B248" s="33"/>
      <c r="C248" s="33"/>
      <c r="D248" s="161"/>
      <c r="E248" s="109"/>
      <c r="F248" s="109"/>
      <c r="G248" s="44"/>
      <c r="H248" s="109"/>
      <c r="J248" s="12"/>
    </row>
    <row r="249" spans="1:10" s="1" customFormat="1" ht="15.9" customHeight="1">
      <c r="A249" s="109"/>
      <c r="B249" s="33"/>
      <c r="C249" s="33"/>
      <c r="D249" s="161"/>
      <c r="E249" s="109"/>
      <c r="F249" s="109"/>
      <c r="G249" s="44"/>
      <c r="H249" s="109"/>
      <c r="J249" s="12"/>
    </row>
    <row r="250" spans="1:10" s="1" customFormat="1" ht="15.9" customHeight="1">
      <c r="A250" s="109"/>
      <c r="B250" s="33"/>
      <c r="C250" s="33"/>
      <c r="D250" s="161"/>
      <c r="E250" s="109"/>
      <c r="F250" s="109"/>
      <c r="G250" s="40"/>
      <c r="H250" s="109"/>
      <c r="I250" s="24"/>
      <c r="J250" s="24"/>
    </row>
    <row r="251" spans="1:10" s="1" customFormat="1" ht="15.9" customHeight="1">
      <c r="A251" s="109"/>
      <c r="B251" s="33"/>
      <c r="D251" s="161"/>
      <c r="E251" s="109"/>
      <c r="F251" s="109"/>
      <c r="G251" s="109"/>
      <c r="H251" s="109"/>
      <c r="I251" s="24"/>
      <c r="J251" s="24"/>
    </row>
    <row r="252" spans="1:10" s="1" customFormat="1" ht="15.9" customHeight="1">
      <c r="A252" s="44"/>
      <c r="B252" s="44"/>
      <c r="D252" s="84"/>
      <c r="E252" s="44"/>
      <c r="F252" s="44"/>
      <c r="G252" s="109"/>
      <c r="H252" s="109"/>
      <c r="I252" s="24"/>
      <c r="J252" s="24"/>
    </row>
    <row r="253" spans="1:10" s="1" customFormat="1" ht="15.9" customHeight="1">
      <c r="A253" s="40"/>
      <c r="B253" s="40"/>
      <c r="C253" s="89" t="s">
        <v>277</v>
      </c>
      <c r="D253" s="85"/>
      <c r="E253" s="40"/>
      <c r="F253" s="32"/>
      <c r="G253" s="109"/>
      <c r="I253" s="24"/>
      <c r="J253" s="24"/>
    </row>
    <row r="254" spans="1:10" s="1" customFormat="1" ht="15.9" customHeight="1">
      <c r="A254" s="27"/>
      <c r="B254" s="33"/>
      <c r="C254" s="328" t="s">
        <v>275</v>
      </c>
      <c r="D254" s="161"/>
      <c r="E254" s="109"/>
      <c r="F254" s="109"/>
      <c r="G254" s="109"/>
      <c r="I254" s="24"/>
      <c r="J254" s="24"/>
    </row>
    <row r="255" spans="1:10" s="1" customFormat="1" ht="15.9" customHeight="1">
      <c r="A255" s="27"/>
      <c r="B255" s="33"/>
      <c r="C255" s="327" t="s">
        <v>441</v>
      </c>
      <c r="D255" s="161"/>
      <c r="E255" s="109"/>
      <c r="F255" s="109"/>
      <c r="G255" s="109"/>
      <c r="I255" s="24"/>
      <c r="J255" s="24"/>
    </row>
    <row r="256" spans="1:10" s="1" customFormat="1" ht="15.9" customHeight="1">
      <c r="A256" s="27"/>
      <c r="B256" s="33"/>
      <c r="C256" s="374">
        <f>$I$136</f>
        <v>1940</v>
      </c>
      <c r="D256" s="161"/>
      <c r="E256" s="109"/>
      <c r="F256" s="109"/>
      <c r="G256" s="109"/>
      <c r="I256" s="24"/>
      <c r="J256" s="24"/>
    </row>
    <row r="257" spans="1:10" s="1" customFormat="1" ht="15.9" customHeight="1">
      <c r="A257" s="27"/>
      <c r="B257" s="33"/>
      <c r="C257" s="363">
        <f>$J$136</f>
        <v>1</v>
      </c>
      <c r="D257" s="161"/>
      <c r="E257" s="109"/>
      <c r="F257" s="109"/>
      <c r="G257" s="109"/>
      <c r="I257" s="24"/>
      <c r="J257" s="24"/>
    </row>
    <row r="258" spans="1:10" s="1" customFormat="1" ht="15.9" customHeight="1">
      <c r="A258" s="27"/>
      <c r="B258" s="33"/>
      <c r="C258" s="33"/>
      <c r="D258" s="161"/>
      <c r="E258" s="109"/>
      <c r="F258" s="109"/>
      <c r="G258" s="109"/>
      <c r="I258" s="24"/>
      <c r="J258" s="24"/>
    </row>
    <row r="259" spans="1:10" s="1" customFormat="1" ht="15.9" customHeight="1">
      <c r="A259" s="27"/>
      <c r="B259" s="33"/>
      <c r="C259" s="33"/>
      <c r="D259" s="161"/>
      <c r="E259" s="109"/>
      <c r="F259" s="109"/>
      <c r="G259" s="109"/>
      <c r="I259" s="24"/>
      <c r="J259" s="24"/>
    </row>
    <row r="260" spans="1:10" s="1" customFormat="1" ht="15.9" customHeight="1">
      <c r="A260" s="27"/>
      <c r="B260" s="33"/>
      <c r="C260" s="46"/>
      <c r="D260" s="161"/>
      <c r="E260" s="109"/>
      <c r="F260" s="109"/>
      <c r="G260" s="109"/>
      <c r="I260" s="24"/>
      <c r="J260" s="24"/>
    </row>
    <row r="261" spans="1:10" s="1" customFormat="1" ht="15.9" customHeight="1">
      <c r="A261" s="27"/>
      <c r="B261" s="33"/>
      <c r="C261" s="161"/>
      <c r="D261" s="161"/>
      <c r="E261" s="109"/>
      <c r="F261" s="109"/>
      <c r="G261" s="109"/>
      <c r="I261" s="24"/>
      <c r="J261" s="24"/>
    </row>
    <row r="262" spans="1:10" s="1" customFormat="1" ht="15.9" customHeight="1">
      <c r="A262" s="27"/>
      <c r="B262" s="33"/>
      <c r="C262" s="33"/>
      <c r="D262" s="161"/>
      <c r="E262" s="109"/>
      <c r="F262" s="109"/>
      <c r="G262" s="109"/>
      <c r="I262" s="24"/>
      <c r="J262" s="24"/>
    </row>
    <row r="263" spans="1:10" s="1" customFormat="1" ht="15.9" customHeight="1">
      <c r="A263" s="27"/>
      <c r="B263" s="33"/>
      <c r="C263" s="89" t="s">
        <v>278</v>
      </c>
      <c r="D263" s="161"/>
      <c r="E263" s="109"/>
      <c r="F263" s="109"/>
      <c r="G263" s="109"/>
      <c r="H263" s="109"/>
      <c r="I263" s="24"/>
      <c r="J263" s="24"/>
    </row>
    <row r="264" spans="1:10" s="1" customFormat="1" ht="15.9" customHeight="1">
      <c r="A264" s="27"/>
      <c r="B264" s="33"/>
      <c r="C264" s="328" t="s">
        <v>372</v>
      </c>
      <c r="D264" s="328"/>
      <c r="E264" s="328"/>
      <c r="F264" s="109"/>
      <c r="G264" s="109"/>
      <c r="H264" s="109"/>
      <c r="I264" s="24"/>
      <c r="J264" s="24"/>
    </row>
    <row r="265" spans="1:10" s="1" customFormat="1" ht="15.9" customHeight="1">
      <c r="A265" s="27"/>
      <c r="B265" s="33"/>
      <c r="C265" s="327" t="s">
        <v>440</v>
      </c>
      <c r="D265" s="327"/>
      <c r="E265" s="327"/>
      <c r="F265" s="109"/>
      <c r="G265" s="109"/>
      <c r="H265" s="109"/>
      <c r="J265" s="12"/>
    </row>
    <row r="266" spans="1:10" s="1" customFormat="1" ht="15.9" customHeight="1">
      <c r="A266" s="27"/>
      <c r="B266" s="33"/>
      <c r="C266" s="374">
        <f>$I$137</f>
        <v>2500</v>
      </c>
      <c r="D266" s="161"/>
      <c r="E266" s="109"/>
      <c r="F266" s="109"/>
      <c r="G266" s="33"/>
      <c r="H266" s="33"/>
      <c r="J266" s="12"/>
    </row>
    <row r="267" spans="1:10" s="1" customFormat="1" ht="15.9" customHeight="1">
      <c r="A267" s="27"/>
      <c r="B267" s="33"/>
      <c r="C267" s="363">
        <f>$J$137+$J$138</f>
        <v>2</v>
      </c>
      <c r="D267" s="161"/>
      <c r="E267" s="109"/>
      <c r="F267" s="109"/>
      <c r="G267" s="109"/>
      <c r="H267" s="109"/>
      <c r="J267" s="12"/>
    </row>
    <row r="268" spans="1:10" s="1" customFormat="1" ht="15.9" customHeight="1">
      <c r="A268" s="27"/>
      <c r="B268" s="33"/>
      <c r="D268" s="89"/>
      <c r="E268" s="89"/>
      <c r="F268" s="109"/>
      <c r="G268" s="109"/>
      <c r="H268" s="109"/>
      <c r="J268" s="12"/>
    </row>
    <row r="269" spans="1:10" s="1" customFormat="1" ht="15.9" customHeight="1">
      <c r="A269" s="27"/>
      <c r="B269" s="33"/>
      <c r="D269" s="89"/>
      <c r="E269" s="89"/>
      <c r="F269" s="109"/>
      <c r="G269" s="109"/>
      <c r="H269" s="109"/>
      <c r="J269" s="12"/>
    </row>
    <row r="270" spans="1:10" s="1" customFormat="1" ht="15.9" customHeight="1">
      <c r="A270" s="27"/>
      <c r="D270" s="328"/>
      <c r="E270" s="328"/>
      <c r="F270" s="109"/>
      <c r="G270" s="109"/>
      <c r="H270" s="109"/>
      <c r="J270" s="12"/>
    </row>
    <row r="271" spans="1:10" s="1" customFormat="1" ht="15.9" customHeight="1">
      <c r="A271" s="27"/>
      <c r="B271" s="33"/>
      <c r="D271" s="328"/>
      <c r="E271" s="328"/>
      <c r="F271" s="109"/>
      <c r="G271" s="109"/>
      <c r="I271" s="24"/>
      <c r="J271" s="24"/>
    </row>
    <row r="272" spans="1:10" s="1" customFormat="1" ht="15.9" customHeight="1">
      <c r="A272" s="27"/>
      <c r="B272" s="33"/>
      <c r="C272" s="33"/>
      <c r="D272" s="161"/>
      <c r="E272" s="109"/>
      <c r="F272" s="109"/>
      <c r="G272" s="109"/>
      <c r="I272" s="24"/>
      <c r="J272" s="24"/>
    </row>
    <row r="273" spans="1:10" s="1" customFormat="1" ht="15.9" customHeight="1">
      <c r="A273" s="27"/>
      <c r="B273" s="33"/>
      <c r="C273" s="89" t="s">
        <v>280</v>
      </c>
      <c r="D273" s="162"/>
      <c r="E273" s="24"/>
      <c r="F273" s="109"/>
      <c r="G273" s="109"/>
      <c r="I273" s="24"/>
      <c r="J273" s="24"/>
    </row>
    <row r="274" spans="1:10" s="1" customFormat="1" ht="15.9" customHeight="1">
      <c r="A274" s="27"/>
      <c r="B274" s="33"/>
      <c r="C274" s="328" t="s">
        <v>649</v>
      </c>
      <c r="D274" s="328"/>
      <c r="E274" s="328"/>
      <c r="F274" s="109"/>
      <c r="G274" s="109"/>
      <c r="I274" s="109"/>
      <c r="J274" s="24"/>
    </row>
    <row r="275" spans="1:10" s="1" customFormat="1" ht="15.9" customHeight="1">
      <c r="A275" s="27"/>
      <c r="B275" s="33"/>
      <c r="C275" s="433" t="s">
        <v>650</v>
      </c>
      <c r="D275" s="327"/>
      <c r="E275" s="327"/>
      <c r="F275" s="109"/>
      <c r="G275" s="109"/>
      <c r="I275" s="109"/>
      <c r="J275" s="24"/>
    </row>
    <row r="276" spans="1:10" s="1" customFormat="1" ht="15.9" customHeight="1">
      <c r="A276" s="27"/>
      <c r="B276" s="33"/>
      <c r="C276" s="374">
        <f>$I$139</f>
        <v>2404</v>
      </c>
      <c r="F276" s="109"/>
      <c r="G276" s="109"/>
      <c r="I276" s="109"/>
      <c r="J276" s="24"/>
    </row>
    <row r="277" spans="1:10" s="1" customFormat="1" ht="15.9" customHeight="1">
      <c r="A277" s="27"/>
      <c r="B277" s="33"/>
      <c r="C277" s="363">
        <f>$J$139+$J$140</f>
        <v>2</v>
      </c>
      <c r="F277" s="109"/>
      <c r="G277" s="109"/>
      <c r="I277" s="109"/>
      <c r="J277" s="24"/>
    </row>
    <row r="278" spans="1:10" s="1" customFormat="1" ht="15.9" customHeight="1">
      <c r="A278" s="27"/>
      <c r="B278" s="33"/>
      <c r="F278" s="109"/>
      <c r="G278" s="109"/>
      <c r="H278" s="109"/>
      <c r="J278" s="12"/>
    </row>
    <row r="279" spans="1:10" s="1" customFormat="1" ht="15.9" customHeight="1">
      <c r="A279" s="27"/>
      <c r="B279" s="33"/>
      <c r="C279" s="33"/>
      <c r="D279" s="161"/>
      <c r="E279" s="109"/>
      <c r="F279" s="109"/>
      <c r="G279" s="109"/>
      <c r="H279" s="109"/>
      <c r="J279" s="12"/>
    </row>
    <row r="280" spans="1:10" s="1" customFormat="1" ht="15.9" customHeight="1">
      <c r="A280" s="27"/>
      <c r="B280" s="33"/>
      <c r="F280" s="109"/>
      <c r="G280" s="109"/>
      <c r="H280" s="109"/>
      <c r="J280" s="12"/>
    </row>
    <row r="281" spans="1:10" s="1" customFormat="1" ht="15.9" customHeight="1">
      <c r="A281" s="27"/>
      <c r="B281" s="33"/>
      <c r="F281" s="109"/>
      <c r="G281" s="109"/>
      <c r="H281" s="109"/>
      <c r="I281" s="162"/>
      <c r="J281" s="24"/>
    </row>
    <row r="282" spans="1:10" s="1" customFormat="1" ht="15.9" customHeight="1">
      <c r="A282" s="27"/>
      <c r="B282" s="33"/>
      <c r="C282" s="89" t="s">
        <v>283</v>
      </c>
      <c r="F282" s="109"/>
      <c r="G282" s="109"/>
      <c r="H282" s="109"/>
      <c r="I282" s="109"/>
      <c r="J282" s="24"/>
    </row>
    <row r="283" spans="1:10" s="1" customFormat="1" ht="15.9" customHeight="1">
      <c r="A283" s="27"/>
      <c r="B283" s="33"/>
      <c r="C283" s="94" t="s">
        <v>436</v>
      </c>
      <c r="D283" s="161"/>
      <c r="E283" s="109"/>
      <c r="F283" s="109"/>
      <c r="G283" s="109"/>
      <c r="H283" s="109"/>
      <c r="I283" s="24"/>
      <c r="J283" s="24"/>
    </row>
    <row r="284" spans="1:10" s="1" customFormat="1" ht="15.9" customHeight="1">
      <c r="A284" s="27"/>
      <c r="B284" s="33"/>
      <c r="C284" s="327" t="s">
        <v>437</v>
      </c>
      <c r="D284" s="161"/>
      <c r="E284" s="109"/>
      <c r="F284" s="109"/>
      <c r="G284" s="109"/>
      <c r="H284" s="109"/>
      <c r="I284" s="24"/>
      <c r="J284" s="24"/>
    </row>
    <row r="285" spans="1:10" s="1" customFormat="1" ht="15.9" customHeight="1">
      <c r="A285" s="27"/>
      <c r="B285" s="33"/>
      <c r="C285" s="328" t="s">
        <v>281</v>
      </c>
      <c r="D285" s="328"/>
      <c r="E285" s="328"/>
      <c r="F285" s="109"/>
      <c r="G285" s="109"/>
      <c r="I285" s="24"/>
      <c r="J285" s="24"/>
    </row>
    <row r="286" spans="1:10" s="23" customFormat="1" ht="15.9" customHeight="1">
      <c r="A286" s="27"/>
      <c r="B286" s="33"/>
      <c r="C286" s="327" t="s">
        <v>438</v>
      </c>
      <c r="D286" s="327"/>
      <c r="E286" s="327"/>
      <c r="F286" s="109"/>
      <c r="G286" s="109"/>
      <c r="H286" s="1"/>
      <c r="I286" s="109"/>
      <c r="J286" s="109"/>
    </row>
    <row r="287" spans="1:10" s="1" customFormat="1" ht="15.9" customHeight="1">
      <c r="A287" s="27"/>
      <c r="B287" s="33"/>
      <c r="C287" s="374">
        <f>$I$141</f>
        <v>15.3</v>
      </c>
      <c r="F287" s="109"/>
      <c r="G287" s="109"/>
      <c r="I287" s="44"/>
      <c r="J287" s="119"/>
    </row>
    <row r="288" spans="1:10" s="1" customFormat="1" ht="15.9" customHeight="1">
      <c r="A288" s="27"/>
      <c r="B288" s="33"/>
      <c r="C288" s="363">
        <f>$J$141+$J$142</f>
        <v>30</v>
      </c>
      <c r="D288" s="161"/>
      <c r="E288" s="109"/>
      <c r="F288" s="109"/>
      <c r="G288" s="109"/>
      <c r="H288" s="161"/>
      <c r="I288" s="32"/>
      <c r="J288" s="40"/>
    </row>
    <row r="289" spans="1:10" s="1" customFormat="1" ht="15.9" customHeight="1">
      <c r="A289" s="27"/>
      <c r="B289" s="33"/>
      <c r="C289" s="374">
        <f>$I$143</f>
        <v>2408</v>
      </c>
      <c r="D289" s="161"/>
      <c r="E289" s="109"/>
      <c r="F289" s="109"/>
      <c r="G289" s="109"/>
      <c r="H289" s="109"/>
      <c r="I289" s="24"/>
      <c r="J289" s="24"/>
    </row>
    <row r="290" spans="1:10" s="1" customFormat="1" ht="15.9" customHeight="1">
      <c r="A290" s="27"/>
      <c r="B290" s="33"/>
      <c r="C290" s="363">
        <f>$J$143+$J$144+$J$145+$J$146</f>
        <v>30</v>
      </c>
      <c r="D290" s="161"/>
      <c r="E290" s="109"/>
      <c r="F290" s="109"/>
      <c r="G290" s="109"/>
      <c r="H290" s="109"/>
      <c r="I290" s="24"/>
      <c r="J290" s="24"/>
    </row>
    <row r="291" spans="1:10" s="1" customFormat="1" ht="15.9" customHeight="1">
      <c r="A291" s="27"/>
      <c r="B291" s="33"/>
      <c r="C291" s="33"/>
      <c r="D291" s="161"/>
      <c r="E291" s="109"/>
      <c r="F291" s="109"/>
      <c r="G291" s="109"/>
      <c r="H291" s="109"/>
      <c r="I291" s="109"/>
      <c r="J291" s="24"/>
    </row>
    <row r="292" spans="1:10" s="1" customFormat="1" ht="15.9" customHeight="1">
      <c r="A292" s="27"/>
      <c r="B292" s="33"/>
      <c r="C292" s="23"/>
      <c r="D292" s="161"/>
      <c r="E292" s="109"/>
      <c r="F292" s="109"/>
      <c r="G292" s="109"/>
      <c r="H292" s="109"/>
      <c r="I292" s="109"/>
      <c r="J292" s="24"/>
    </row>
    <row r="293" spans="1:10" s="1" customFormat="1" ht="15.9" customHeight="1">
      <c r="A293" s="27"/>
      <c r="B293" s="33"/>
      <c r="C293" s="89" t="s">
        <v>284</v>
      </c>
      <c r="D293" s="161"/>
      <c r="E293" s="109"/>
      <c r="F293" s="109"/>
      <c r="G293" s="109"/>
      <c r="H293" s="109"/>
      <c r="I293" s="109"/>
      <c r="J293" s="24"/>
    </row>
    <row r="294" spans="1:10" s="1" customFormat="1" ht="15.9" customHeight="1">
      <c r="A294" s="27"/>
      <c r="B294" s="33"/>
      <c r="C294" s="94" t="s">
        <v>436</v>
      </c>
      <c r="D294" s="161"/>
      <c r="E294" s="109"/>
      <c r="F294" s="109"/>
      <c r="G294" s="44"/>
      <c r="H294" s="44"/>
      <c r="I294" s="109"/>
      <c r="J294" s="24"/>
    </row>
    <row r="295" spans="1:10" s="1" customFormat="1" ht="15.9" customHeight="1">
      <c r="A295" s="27"/>
      <c r="B295" s="33"/>
      <c r="C295" s="327" t="s">
        <v>437</v>
      </c>
      <c r="D295" s="328"/>
      <c r="E295" s="328"/>
      <c r="F295" s="109"/>
      <c r="G295" s="40"/>
      <c r="H295" s="32"/>
      <c r="I295" s="109"/>
      <c r="J295" s="24"/>
    </row>
    <row r="296" spans="1:10" s="1" customFormat="1" ht="15.9" customHeight="1">
      <c r="A296" s="41"/>
      <c r="B296" s="33"/>
      <c r="C296" s="328" t="s">
        <v>286</v>
      </c>
      <c r="D296" s="327"/>
      <c r="E296" s="327"/>
      <c r="F296" s="109"/>
      <c r="G296" s="109"/>
      <c r="H296" s="109"/>
      <c r="I296" s="109"/>
      <c r="J296" s="24"/>
    </row>
    <row r="297" spans="1:10" s="1" customFormat="1" ht="15.9" customHeight="1">
      <c r="A297" s="44"/>
      <c r="B297" s="44"/>
      <c r="C297" s="327" t="s">
        <v>439</v>
      </c>
      <c r="D297" s="86"/>
      <c r="E297" s="79"/>
      <c r="F297" s="44"/>
      <c r="G297" s="109"/>
      <c r="H297" s="109"/>
      <c r="I297" s="109"/>
      <c r="J297" s="24"/>
    </row>
    <row r="298" spans="1:10" s="1" customFormat="1" ht="15.9" customHeight="1">
      <c r="A298" s="40"/>
      <c r="B298" s="40"/>
      <c r="C298" s="374">
        <f>$I$147</f>
        <v>15.3</v>
      </c>
      <c r="D298" s="87"/>
      <c r="E298" s="80"/>
      <c r="F298" s="32"/>
      <c r="G298" s="109"/>
      <c r="H298" s="109"/>
      <c r="I298" s="109"/>
      <c r="J298" s="24"/>
    </row>
    <row r="299" spans="1:10" s="1" customFormat="1" ht="15.9" customHeight="1">
      <c r="A299" s="109"/>
      <c r="B299" s="33"/>
      <c r="C299" s="363">
        <f>$J$147</f>
        <v>30</v>
      </c>
      <c r="D299" s="15"/>
      <c r="F299" s="109"/>
      <c r="G299" s="109"/>
      <c r="H299" s="109"/>
      <c r="I299" s="109"/>
      <c r="J299" s="24"/>
    </row>
    <row r="300" spans="1:10" s="1" customFormat="1" ht="15.9" customHeight="1">
      <c r="A300" s="109"/>
      <c r="B300" s="33"/>
      <c r="C300" s="374">
        <f>$I$148</f>
        <v>2258</v>
      </c>
      <c r="D300" s="15"/>
      <c r="F300" s="109"/>
      <c r="G300" s="109"/>
      <c r="H300" s="109"/>
      <c r="I300" s="109"/>
      <c r="J300" s="24"/>
    </row>
    <row r="301" spans="1:10" s="1" customFormat="1" ht="15.9" customHeight="1">
      <c r="A301" s="109"/>
      <c r="B301" s="33"/>
      <c r="C301" s="363">
        <f>$J$148</f>
        <v>30</v>
      </c>
      <c r="D301" s="15"/>
      <c r="F301" s="109"/>
      <c r="G301" s="109"/>
      <c r="H301" s="109"/>
      <c r="I301" s="109"/>
      <c r="J301" s="24"/>
    </row>
    <row r="302" spans="1:10" s="1" customFormat="1" ht="15.9" customHeight="1">
      <c r="A302" s="109"/>
      <c r="B302" s="33"/>
      <c r="D302" s="15"/>
      <c r="F302" s="109"/>
      <c r="G302" s="109"/>
      <c r="H302" s="109"/>
      <c r="I302" s="109"/>
      <c r="J302" s="24"/>
    </row>
    <row r="303" spans="1:10" s="1" customFormat="1" ht="15.9" customHeight="1">
      <c r="A303" s="109"/>
      <c r="B303" s="33"/>
      <c r="D303" s="15"/>
      <c r="F303" s="109"/>
      <c r="G303" s="109"/>
      <c r="H303" s="109"/>
      <c r="I303" s="109"/>
      <c r="J303" s="24"/>
    </row>
    <row r="304" spans="1:10" s="1" customFormat="1" ht="15.9" customHeight="1">
      <c r="A304" s="109"/>
      <c r="B304" s="33"/>
      <c r="D304" s="15"/>
      <c r="F304" s="109"/>
      <c r="G304" s="109"/>
      <c r="H304" s="109"/>
      <c r="I304" s="109"/>
      <c r="J304" s="24"/>
    </row>
    <row r="305" spans="1:14" s="1" customFormat="1" ht="15.9" customHeight="1">
      <c r="A305" s="109"/>
      <c r="B305" s="33"/>
      <c r="C305" s="89" t="s">
        <v>288</v>
      </c>
      <c r="D305" s="161"/>
      <c r="E305" s="109"/>
      <c r="F305" s="109"/>
      <c r="G305" s="109"/>
      <c r="H305" s="109"/>
      <c r="I305" s="109"/>
      <c r="J305" s="24"/>
    </row>
    <row r="306" spans="1:14" s="1" customFormat="1" ht="15.9" customHeight="1">
      <c r="A306" s="109"/>
      <c r="B306" s="33"/>
      <c r="C306" s="328" t="s">
        <v>281</v>
      </c>
      <c r="D306" s="328"/>
      <c r="E306" s="328"/>
      <c r="F306" s="109"/>
      <c r="G306" s="109"/>
      <c r="H306" s="109"/>
      <c r="I306" s="109"/>
      <c r="J306" s="24"/>
    </row>
    <row r="307" spans="1:14" s="1" customFormat="1" ht="15.9" customHeight="1">
      <c r="A307" s="109"/>
      <c r="B307" s="33"/>
      <c r="C307" s="542" t="s">
        <v>438</v>
      </c>
      <c r="D307" s="542"/>
      <c r="E307" s="542"/>
      <c r="F307" s="109"/>
      <c r="G307" s="109"/>
      <c r="H307" s="109"/>
      <c r="I307" s="109"/>
      <c r="J307" s="24"/>
    </row>
    <row r="308" spans="1:14" s="1" customFormat="1" ht="15.9" customHeight="1">
      <c r="A308" s="109"/>
      <c r="B308" s="33"/>
      <c r="C308" s="374">
        <f>$I$149</f>
        <v>2408</v>
      </c>
      <c r="F308" s="109"/>
      <c r="G308" s="109"/>
      <c r="H308" s="109"/>
      <c r="I308" s="109"/>
      <c r="J308" s="24"/>
    </row>
    <row r="309" spans="1:14" s="1" customFormat="1" ht="15.9" customHeight="1">
      <c r="A309" s="109"/>
      <c r="B309" s="33"/>
      <c r="C309" s="363">
        <f>$J$149+$J$150</f>
        <v>2</v>
      </c>
      <c r="D309" s="328"/>
      <c r="E309" s="328"/>
      <c r="F309" s="109"/>
      <c r="G309" s="109"/>
      <c r="H309" s="109"/>
      <c r="I309" s="109"/>
      <c r="J309" s="24"/>
    </row>
    <row r="310" spans="1:14" s="1" customFormat="1" ht="15.9" customHeight="1">
      <c r="A310" s="109"/>
      <c r="B310" s="33"/>
      <c r="C310" s="328"/>
      <c r="D310" s="328"/>
      <c r="E310" s="328"/>
      <c r="F310" s="109"/>
      <c r="G310" s="109"/>
      <c r="H310" s="109"/>
      <c r="I310" s="109"/>
      <c r="J310" s="24"/>
    </row>
    <row r="311" spans="1:14" s="1" customFormat="1" ht="15.9" customHeight="1">
      <c r="A311" s="109"/>
      <c r="B311" s="33"/>
      <c r="C311" s="328"/>
      <c r="D311" s="328"/>
      <c r="E311" s="328"/>
      <c r="F311" s="109"/>
      <c r="G311" s="109"/>
      <c r="H311" s="109"/>
      <c r="I311" s="109"/>
      <c r="J311" s="24"/>
    </row>
    <row r="312" spans="1:14" s="1" customFormat="1" ht="15.9" customHeight="1">
      <c r="A312" s="109"/>
      <c r="B312" s="33"/>
      <c r="D312" s="15"/>
      <c r="F312" s="109"/>
      <c r="G312" s="109"/>
      <c r="H312" s="109"/>
      <c r="I312" s="109"/>
      <c r="J312" s="24"/>
    </row>
    <row r="313" spans="1:14" s="1" customFormat="1" ht="15.9" customHeight="1">
      <c r="A313" s="25"/>
      <c r="B313" s="33"/>
      <c r="D313" s="162"/>
      <c r="E313" s="24"/>
      <c r="F313" s="109"/>
      <c r="G313" s="109"/>
      <c r="H313" s="109"/>
      <c r="I313" s="27"/>
      <c r="J313" s="99" t="str">
        <f>LEFT($J$111,14)&amp;"-03"</f>
        <v>FG-240-15P7L8R-03</v>
      </c>
    </row>
    <row r="314" spans="1:14" ht="12.75" customHeight="1">
      <c r="A314" s="17"/>
      <c r="B314" s="26"/>
      <c r="C314" s="26"/>
      <c r="D314" s="83"/>
      <c r="E314" s="25"/>
      <c r="F314" s="25"/>
      <c r="G314" s="25"/>
      <c r="H314" s="25"/>
      <c r="I314" s="179"/>
      <c r="J314" s="179"/>
    </row>
    <row r="315" spans="1:14" ht="30" customHeight="1">
      <c r="I315" s="95"/>
      <c r="J315" s="90" t="str">
        <f>$J$2</f>
        <v>HOMELIFE</v>
      </c>
      <c r="K315" s="11"/>
      <c r="L315" s="11"/>
      <c r="M315" s="2"/>
      <c r="N315" s="2"/>
    </row>
    <row r="316" spans="1:14" ht="24.9" customHeight="1">
      <c r="B316" s="271"/>
      <c r="C316" s="5"/>
      <c r="D316" s="95"/>
      <c r="E316" s="95"/>
      <c r="F316" s="95"/>
      <c r="G316" s="95"/>
      <c r="H316" s="95"/>
      <c r="I316" s="28"/>
      <c r="J316" s="91" t="str">
        <f>$J$3</f>
        <v>Fabricators Guide</v>
      </c>
      <c r="K316" s="11"/>
      <c r="L316" s="11"/>
      <c r="M316" s="2"/>
      <c r="N316" s="2"/>
    </row>
    <row r="317" spans="1:14" ht="24.9" customHeight="1">
      <c r="B317" s="271"/>
      <c r="C317" s="28"/>
      <c r="D317" s="28"/>
      <c r="E317" s="28"/>
      <c r="F317" s="28"/>
      <c r="G317" s="28"/>
      <c r="H317" s="28"/>
      <c r="I317" s="28"/>
      <c r="J317" s="91" t="str">
        <f>$J$4</f>
        <v xml:space="preserve">240 Series Bi Fold Door </v>
      </c>
      <c r="K317" s="48"/>
      <c r="L317" s="48"/>
      <c r="M317" s="4"/>
      <c r="N317" s="4"/>
    </row>
    <row r="318" spans="1:14" s="1" customFormat="1" ht="15" customHeight="1" thickBot="1">
      <c r="A318" s="78"/>
      <c r="B318" s="8"/>
      <c r="C318" s="28"/>
      <c r="D318" s="28"/>
      <c r="E318" s="28"/>
      <c r="F318" s="28"/>
      <c r="G318" s="28"/>
      <c r="H318" s="28"/>
      <c r="I318" s="78"/>
      <c r="J318" s="113"/>
      <c r="K318" s="4"/>
      <c r="L318" s="4"/>
      <c r="M318" s="4"/>
      <c r="N318" s="4"/>
    </row>
    <row r="319" spans="1:14" ht="24.9" customHeight="1" thickBot="1">
      <c r="A319" s="502" t="s">
        <v>33</v>
      </c>
      <c r="B319" s="503"/>
      <c r="C319" s="503"/>
      <c r="D319" s="503"/>
      <c r="E319" s="503"/>
      <c r="F319" s="503"/>
      <c r="G319" s="503"/>
      <c r="H319" s="503"/>
      <c r="I319" s="503"/>
      <c r="J319" s="504"/>
      <c r="K319" s="4"/>
      <c r="L319" s="4"/>
      <c r="M319" s="4"/>
      <c r="N319" s="4"/>
    </row>
    <row r="321" spans="1:10" s="1" customFormat="1" ht="15" customHeight="1">
      <c r="A321" s="63"/>
      <c r="B321"/>
      <c r="C321"/>
      <c r="D321" s="81"/>
      <c r="E321"/>
      <c r="F321"/>
      <c r="G321"/>
      <c r="H321"/>
      <c r="I321" s="160"/>
      <c r="J321" s="116"/>
    </row>
    <row r="322" spans="1:10" s="1" customFormat="1" ht="15" customHeight="1">
      <c r="A322" s="63"/>
      <c r="B322"/>
      <c r="C322"/>
      <c r="D322" s="81"/>
      <c r="E322"/>
      <c r="F322"/>
      <c r="G322"/>
      <c r="H322"/>
      <c r="I322" s="160"/>
      <c r="J322" s="116"/>
    </row>
    <row r="323" spans="1:10" s="1" customFormat="1" ht="15" customHeight="1">
      <c r="A323" s="17"/>
      <c r="B323" s="72"/>
      <c r="C323" s="56"/>
      <c r="D323" s="30"/>
      <c r="E323" s="29"/>
      <c r="F323" s="160"/>
      <c r="G323" s="160"/>
      <c r="H323" s="160"/>
      <c r="I323" s="31"/>
      <c r="J323" s="17"/>
    </row>
    <row r="324" spans="1:10" s="1" customFormat="1" ht="15" customHeight="1">
      <c r="A324" s="17"/>
      <c r="B324" s="56"/>
      <c r="C324" s="56"/>
      <c r="D324" s="30"/>
      <c r="E324" s="29"/>
      <c r="F324" s="30"/>
      <c r="G324" s="31"/>
      <c r="H324" s="31"/>
      <c r="I324" s="17"/>
      <c r="J324" s="17"/>
    </row>
    <row r="325" spans="1:10" s="1" customFormat="1" ht="15" customHeight="1">
      <c r="A325" s="109"/>
      <c r="B325" s="56"/>
      <c r="C325" s="30"/>
      <c r="D325" s="30"/>
      <c r="E325" s="29"/>
      <c r="F325" s="30"/>
      <c r="G325" s="17"/>
      <c r="H325" s="31"/>
      <c r="I325" s="109"/>
      <c r="J325" s="109"/>
    </row>
    <row r="326" spans="1:10" s="1" customFormat="1" ht="15" customHeight="1">
      <c r="A326" s="109"/>
      <c r="B326" s="33"/>
      <c r="C326" s="161"/>
      <c r="D326" s="161"/>
      <c r="E326" s="109"/>
      <c r="F326" s="161"/>
      <c r="G326" s="109"/>
      <c r="H326" s="34"/>
      <c r="I326" s="109"/>
      <c r="J326" s="109"/>
    </row>
    <row r="327" spans="1:10" s="1" customFormat="1" ht="15" customHeight="1">
      <c r="A327" s="109"/>
      <c r="B327" s="33"/>
      <c r="C327" s="161"/>
      <c r="D327" s="161"/>
      <c r="E327" s="35"/>
      <c r="F327" s="163"/>
      <c r="G327" s="109"/>
      <c r="H327" s="34"/>
      <c r="I327" s="109"/>
      <c r="J327" s="109"/>
    </row>
    <row r="328" spans="1:10" s="1" customFormat="1" ht="15" customHeight="1">
      <c r="A328" s="109"/>
      <c r="B328" s="33"/>
      <c r="C328" s="161"/>
      <c r="D328" s="161"/>
      <c r="E328" s="35"/>
      <c r="F328" s="161"/>
      <c r="G328" s="109"/>
      <c r="H328" s="34"/>
      <c r="I328" s="42"/>
      <c r="J328" s="109"/>
    </row>
    <row r="329" spans="1:10" s="1" customFormat="1" ht="15" customHeight="1">
      <c r="A329" s="39"/>
      <c r="B329" s="33"/>
      <c r="C329" s="42"/>
      <c r="D329" s="161"/>
      <c r="E329" s="109"/>
      <c r="F329" s="505"/>
      <c r="G329" s="505"/>
      <c r="H329" s="272"/>
      <c r="I329" s="163"/>
      <c r="J329" s="109"/>
    </row>
    <row r="330" spans="1:10" s="1" customFormat="1" ht="15" customHeight="1">
      <c r="A330" s="92"/>
      <c r="B330" s="39"/>
      <c r="C330" s="163"/>
      <c r="D330" s="161"/>
      <c r="E330" s="109"/>
      <c r="F330" s="507"/>
      <c r="G330" s="507"/>
      <c r="H330" s="272"/>
      <c r="I330" s="161"/>
      <c r="J330" s="109"/>
    </row>
    <row r="331" spans="1:10" s="1" customFormat="1" ht="15" customHeight="1">
      <c r="A331" s="64" t="str">
        <f>A18</f>
        <v>240-15 Panel (7L8R)</v>
      </c>
      <c r="B331" s="92"/>
      <c r="C331" s="161"/>
      <c r="D331" s="161"/>
      <c r="E331" s="109"/>
      <c r="F331" s="272"/>
      <c r="G331" s="272"/>
      <c r="H331" s="272"/>
      <c r="I331" s="109"/>
      <c r="J331" s="109"/>
    </row>
    <row r="332" spans="1:10" s="1" customFormat="1" ht="15" customHeight="1">
      <c r="A332" s="76" t="str">
        <f>A19</f>
        <v xml:space="preserve">Outside Bi Fold Door </v>
      </c>
      <c r="B332" s="92"/>
      <c r="C332" s="161"/>
      <c r="D332" s="161"/>
      <c r="E332" s="109"/>
      <c r="F332" s="272"/>
      <c r="G332" s="272"/>
      <c r="H332" s="272"/>
      <c r="I332" s="109"/>
      <c r="J332" s="109"/>
    </row>
    <row r="333" spans="1:10" s="1" customFormat="1" ht="15.9" customHeight="1">
      <c r="A333" s="109"/>
      <c r="B333" s="45"/>
      <c r="C333" s="42"/>
      <c r="D333" s="161"/>
      <c r="E333" s="109"/>
      <c r="F333" s="507"/>
      <c r="G333" s="507"/>
      <c r="H333" s="272"/>
      <c r="I333" s="109"/>
      <c r="J333" s="109"/>
    </row>
    <row r="334" spans="1:10" s="1" customFormat="1" ht="15.9" customHeight="1">
      <c r="A334" s="39"/>
      <c r="B334" s="109"/>
      <c r="C334" s="161"/>
      <c r="D334" s="161"/>
      <c r="E334" s="109"/>
      <c r="F334" s="37"/>
      <c r="G334" s="38"/>
      <c r="H334" s="109"/>
      <c r="I334" s="109"/>
      <c r="J334" s="109"/>
    </row>
    <row r="335" spans="1:10" s="1" customFormat="1" ht="15.9" customHeight="1">
      <c r="A335" s="44"/>
      <c r="C335" s="43"/>
      <c r="D335" s="161"/>
      <c r="E335" s="109"/>
      <c r="F335" s="109"/>
      <c r="G335" s="109"/>
      <c r="H335" s="109"/>
      <c r="I335" s="44"/>
      <c r="J335" s="119"/>
    </row>
    <row r="336" spans="1:10" s="1" customFormat="1" ht="15.9" customHeight="1">
      <c r="A336" s="40"/>
      <c r="C336" s="44"/>
      <c r="D336" s="84"/>
      <c r="E336" s="44"/>
      <c r="F336" s="44"/>
      <c r="G336" s="44"/>
      <c r="H336" s="44"/>
      <c r="I336" s="32"/>
      <c r="J336" s="40"/>
    </row>
    <row r="337" spans="1:10" s="1" customFormat="1" ht="15.9" customHeight="1">
      <c r="A337" s="109"/>
      <c r="C337" s="161"/>
      <c r="D337" s="85"/>
      <c r="E337" s="40"/>
      <c r="F337" s="32"/>
      <c r="G337" s="40"/>
      <c r="H337" s="32"/>
      <c r="I337" s="24"/>
      <c r="J337" s="24"/>
    </row>
    <row r="338" spans="1:10" s="1" customFormat="1" ht="15.9" customHeight="1">
      <c r="A338" s="109"/>
      <c r="C338" s="163"/>
      <c r="D338" s="161"/>
      <c r="E338" s="109"/>
      <c r="F338" s="161"/>
      <c r="G338" s="109"/>
      <c r="H338" s="109"/>
      <c r="I338" s="24"/>
      <c r="J338" s="24"/>
    </row>
    <row r="339" spans="1:10" s="1" customFormat="1" ht="15.9" customHeight="1">
      <c r="A339" s="109"/>
      <c r="B339" s="33"/>
      <c r="C339" s="161"/>
      <c r="D339" s="161"/>
      <c r="E339" s="109"/>
      <c r="F339" s="161"/>
      <c r="G339" s="109"/>
      <c r="H339" s="109"/>
      <c r="I339" s="162"/>
      <c r="J339" s="162"/>
    </row>
    <row r="340" spans="1:10" s="1" customFormat="1" ht="15.9" customHeight="1">
      <c r="A340" s="109"/>
      <c r="B340" s="33"/>
      <c r="C340" s="44"/>
      <c r="D340" s="161"/>
      <c r="E340" s="109"/>
      <c r="F340" s="161"/>
      <c r="G340" s="109"/>
      <c r="H340" s="162"/>
      <c r="I340" s="161"/>
      <c r="J340" s="161"/>
    </row>
    <row r="341" spans="1:10" s="1" customFormat="1" ht="15.9" customHeight="1">
      <c r="A341" s="109"/>
      <c r="B341" s="33"/>
      <c r="C341" s="42"/>
      <c r="D341" s="161"/>
      <c r="E341" s="109"/>
      <c r="F341" s="161"/>
      <c r="G341" s="109"/>
      <c r="H341" s="161"/>
      <c r="I341" s="161"/>
      <c r="J341" s="161"/>
    </row>
    <row r="342" spans="1:10" s="1" customFormat="1" ht="15.9" customHeight="1">
      <c r="A342" s="109"/>
      <c r="B342" s="33"/>
      <c r="C342" s="163"/>
      <c r="D342" s="161"/>
      <c r="E342" s="109"/>
      <c r="F342" s="161"/>
      <c r="G342" s="109"/>
      <c r="H342" s="161"/>
      <c r="I342" s="109"/>
      <c r="J342" s="24"/>
    </row>
    <row r="343" spans="1:10" s="1" customFormat="1" ht="15.9" customHeight="1">
      <c r="A343" s="109"/>
      <c r="B343" s="33"/>
      <c r="C343" s="161"/>
      <c r="D343" s="161"/>
      <c r="E343" s="109"/>
      <c r="F343" s="161"/>
      <c r="G343" s="109"/>
      <c r="H343" s="109"/>
      <c r="I343" s="24"/>
      <c r="J343" s="24"/>
    </row>
    <row r="344" spans="1:10" s="1" customFormat="1" ht="15.9" customHeight="1">
      <c r="A344" s="109"/>
      <c r="B344" s="33"/>
      <c r="C344" s="33"/>
      <c r="D344" s="161"/>
      <c r="E344" s="109"/>
      <c r="F344" s="161"/>
      <c r="G344" s="109"/>
      <c r="H344" s="109"/>
      <c r="I344" s="24"/>
      <c r="J344" s="24"/>
    </row>
    <row r="345" spans="1:10" s="1" customFormat="1" ht="15.9" customHeight="1">
      <c r="A345" s="109"/>
      <c r="B345" s="33"/>
      <c r="C345" s="33"/>
      <c r="D345" s="161"/>
      <c r="E345" s="109"/>
      <c r="F345" s="161"/>
      <c r="G345" s="109"/>
      <c r="H345" s="109"/>
      <c r="I345" s="24"/>
      <c r="J345" s="24"/>
    </row>
    <row r="346" spans="1:10" s="1" customFormat="1" ht="15.9" customHeight="1">
      <c r="A346" s="109"/>
      <c r="B346" s="33"/>
      <c r="C346" s="33"/>
      <c r="D346" s="161"/>
      <c r="E346" s="109"/>
      <c r="F346" s="161"/>
      <c r="G346" s="109"/>
      <c r="H346" s="109"/>
      <c r="I346" s="24"/>
      <c r="J346" s="24"/>
    </row>
    <row r="347" spans="1:10" s="1" customFormat="1" ht="15.9" customHeight="1">
      <c r="A347" s="109"/>
      <c r="B347" s="33"/>
      <c r="C347" s="44"/>
      <c r="D347" s="161"/>
      <c r="E347" s="109"/>
      <c r="F347" s="161"/>
      <c r="G347" s="109"/>
      <c r="H347" s="109"/>
      <c r="I347" s="24"/>
      <c r="J347" s="24"/>
    </row>
    <row r="348" spans="1:10" s="1" customFormat="1" ht="15.9" customHeight="1">
      <c r="A348" s="109"/>
      <c r="B348" s="33"/>
      <c r="C348" s="161"/>
      <c r="D348" s="161"/>
      <c r="E348" s="109"/>
      <c r="F348" s="161"/>
      <c r="G348" s="109"/>
      <c r="H348" s="109"/>
      <c r="I348" s="24"/>
      <c r="J348" s="24"/>
    </row>
    <row r="349" spans="1:10" s="1" customFormat="1" ht="15.9" customHeight="1">
      <c r="A349" s="109"/>
      <c r="B349" s="33"/>
      <c r="C349" s="163"/>
      <c r="D349" s="161"/>
      <c r="E349" s="109"/>
      <c r="F349" s="161"/>
      <c r="G349" s="109"/>
      <c r="H349" s="109"/>
      <c r="I349" s="109"/>
      <c r="J349" s="24"/>
    </row>
    <row r="350" spans="1:10" s="1" customFormat="1" ht="15.9" customHeight="1">
      <c r="A350" s="109"/>
      <c r="B350" s="33"/>
      <c r="C350" s="161"/>
      <c r="D350" s="161"/>
      <c r="E350" s="109"/>
      <c r="F350" s="161"/>
      <c r="G350" s="109"/>
      <c r="H350" s="109"/>
      <c r="I350" s="24"/>
      <c r="J350" s="24"/>
    </row>
    <row r="351" spans="1:10" s="1" customFormat="1" ht="15.9" customHeight="1">
      <c r="A351" s="109"/>
      <c r="B351" s="33"/>
      <c r="C351" s="33"/>
      <c r="D351" s="161"/>
      <c r="E351" s="109"/>
      <c r="F351" s="109"/>
      <c r="G351" s="109"/>
      <c r="H351" s="109"/>
      <c r="I351" s="24"/>
      <c r="J351" s="24"/>
    </row>
    <row r="352" spans="1:10" s="1" customFormat="1" ht="15" customHeight="1">
      <c r="A352" s="109"/>
      <c r="B352" s="33"/>
      <c r="C352" s="33"/>
      <c r="D352" s="161"/>
      <c r="E352" s="109"/>
      <c r="F352" s="109"/>
      <c r="G352" s="109"/>
      <c r="H352" s="107"/>
      <c r="I352" s="24"/>
      <c r="J352" s="24"/>
    </row>
    <row r="353" spans="1:10" s="23" customFormat="1" ht="15.9" customHeight="1">
      <c r="A353" s="109"/>
      <c r="B353" s="33"/>
      <c r="C353" s="33"/>
      <c r="D353" s="161"/>
      <c r="E353" s="109"/>
      <c r="F353" s="109"/>
      <c r="G353" s="109"/>
      <c r="H353" s="109"/>
      <c r="I353" s="109"/>
      <c r="J353" s="109"/>
    </row>
    <row r="354" spans="1:10" s="1" customFormat="1" ht="15.9" customHeight="1">
      <c r="A354" s="44"/>
      <c r="B354" s="33"/>
      <c r="C354" s="33"/>
      <c r="D354" s="161"/>
      <c r="E354" s="109"/>
      <c r="F354" s="109"/>
      <c r="G354" s="109"/>
      <c r="H354" s="109"/>
      <c r="I354" s="44"/>
      <c r="J354" s="119"/>
    </row>
    <row r="355" spans="1:10" s="1" customFormat="1" ht="15.9" customHeight="1">
      <c r="A355" s="40"/>
      <c r="B355" s="44"/>
      <c r="C355" s="44"/>
      <c r="D355" s="84"/>
      <c r="E355" s="44"/>
      <c r="F355" s="44"/>
      <c r="G355" s="44"/>
      <c r="H355" s="44"/>
      <c r="I355" s="32"/>
      <c r="J355" s="40"/>
    </row>
    <row r="356" spans="1:10" s="1" customFormat="1" ht="15.9" customHeight="1">
      <c r="A356" s="27"/>
      <c r="B356" s="40"/>
      <c r="C356" s="44"/>
      <c r="D356" s="85"/>
      <c r="E356" s="40"/>
      <c r="F356" s="32"/>
      <c r="G356" s="40"/>
      <c r="H356" s="32"/>
      <c r="I356" s="24"/>
      <c r="J356" s="24"/>
    </row>
    <row r="357" spans="1:10" s="1" customFormat="1" ht="15.9" customHeight="1">
      <c r="A357" s="27"/>
      <c r="B357" s="33"/>
      <c r="C357" s="42"/>
      <c r="D357" s="161"/>
      <c r="E357" s="109"/>
      <c r="F357" s="109"/>
      <c r="G357" s="109"/>
      <c r="H357" s="42"/>
      <c r="I357" s="163"/>
      <c r="J357" s="163"/>
    </row>
    <row r="358" spans="1:10" s="1" customFormat="1" ht="15.9" customHeight="1">
      <c r="A358" s="27"/>
      <c r="B358" s="33"/>
      <c r="C358" s="163"/>
      <c r="D358" s="161"/>
      <c r="E358" s="109"/>
      <c r="F358" s="109"/>
      <c r="G358" s="109"/>
      <c r="H358" s="163"/>
      <c r="I358" s="161"/>
      <c r="J358" s="161"/>
    </row>
    <row r="359" spans="1:10" s="1" customFormat="1" ht="15.9" customHeight="1">
      <c r="A359" s="27"/>
      <c r="B359" s="33"/>
      <c r="C359" s="161"/>
      <c r="D359" s="161"/>
      <c r="E359" s="109"/>
      <c r="F359" s="109"/>
      <c r="G359" s="109"/>
      <c r="H359" s="161"/>
      <c r="I359" s="24"/>
      <c r="J359" s="24"/>
    </row>
    <row r="360" spans="1:10" s="1" customFormat="1" ht="15.9" customHeight="1">
      <c r="A360" s="27"/>
      <c r="B360" s="33"/>
      <c r="C360" s="33"/>
      <c r="D360" s="161"/>
      <c r="E360" s="109"/>
      <c r="F360" s="109"/>
      <c r="G360" s="109"/>
      <c r="H360" s="109"/>
      <c r="I360" s="24"/>
      <c r="J360" s="24"/>
    </row>
    <row r="361" spans="1:10" s="1" customFormat="1" ht="15.9" customHeight="1">
      <c r="A361" s="27"/>
      <c r="B361" s="33"/>
      <c r="C361" s="33"/>
      <c r="D361" s="161"/>
      <c r="E361" s="109"/>
      <c r="F361" s="109"/>
      <c r="G361" s="109"/>
      <c r="H361" s="109"/>
      <c r="I361" s="24"/>
      <c r="J361" s="24"/>
    </row>
    <row r="362" spans="1:10" s="1" customFormat="1" ht="15.9" customHeight="1">
      <c r="A362" s="27"/>
      <c r="B362" s="33"/>
      <c r="C362" s="46"/>
      <c r="D362" s="161"/>
      <c r="E362" s="109"/>
      <c r="F362" s="109"/>
      <c r="G362" s="109"/>
      <c r="H362" s="109"/>
      <c r="I362" s="24"/>
      <c r="J362" s="24"/>
    </row>
    <row r="363" spans="1:10" s="1" customFormat="1" ht="15.9" customHeight="1">
      <c r="A363" s="27"/>
      <c r="B363" s="33"/>
      <c r="C363" s="161"/>
      <c r="D363" s="161"/>
      <c r="E363" s="109"/>
      <c r="F363" s="109"/>
      <c r="G363" s="109"/>
      <c r="H363" s="109"/>
      <c r="I363" s="24"/>
      <c r="J363" s="24"/>
    </row>
    <row r="364" spans="1:10" s="1" customFormat="1" ht="15.9" customHeight="1">
      <c r="A364" s="27"/>
      <c r="B364" s="33"/>
      <c r="C364" s="33"/>
      <c r="D364" s="161"/>
      <c r="E364" s="109"/>
      <c r="F364" s="109"/>
      <c r="G364" s="109"/>
      <c r="H364" s="109"/>
      <c r="I364" s="24"/>
      <c r="J364" s="24"/>
    </row>
    <row r="365" spans="1:10" s="1" customFormat="1" ht="15.9" customHeight="1">
      <c r="A365" s="27"/>
      <c r="B365" s="33"/>
      <c r="C365" s="33"/>
      <c r="D365" s="161"/>
      <c r="E365" s="109"/>
      <c r="F365" s="109"/>
      <c r="G365" s="109"/>
      <c r="H365" s="109"/>
      <c r="I365" s="24"/>
      <c r="J365" s="24"/>
    </row>
    <row r="366" spans="1:10" s="1" customFormat="1" ht="15.9" customHeight="1">
      <c r="A366" s="27"/>
      <c r="B366" s="33"/>
      <c r="C366" s="33"/>
      <c r="D366" s="161"/>
      <c r="E366" s="109"/>
      <c r="F366" s="109"/>
      <c r="G366" s="109"/>
      <c r="H366" s="109"/>
      <c r="I366" s="24"/>
      <c r="J366" s="24"/>
    </row>
    <row r="367" spans="1:10" s="1" customFormat="1" ht="15.9" customHeight="1">
      <c r="A367" s="27"/>
      <c r="B367" s="33"/>
      <c r="C367" s="33"/>
      <c r="D367" s="161"/>
      <c r="E367" s="109"/>
      <c r="F367" s="109"/>
      <c r="G367" s="109"/>
      <c r="H367" s="109"/>
      <c r="I367" s="24"/>
      <c r="J367" s="24"/>
    </row>
    <row r="368" spans="1:10" s="1" customFormat="1" ht="15.9" customHeight="1">
      <c r="A368" s="27"/>
      <c r="C368" s="33"/>
      <c r="D368" s="161"/>
      <c r="E368" s="109"/>
      <c r="F368" s="109"/>
      <c r="G368" s="109"/>
      <c r="H368" s="109"/>
      <c r="I368" s="24"/>
      <c r="J368" s="24"/>
    </row>
    <row r="369" spans="1:10" s="1" customFormat="1" ht="15.9" customHeight="1">
      <c r="A369" s="27"/>
      <c r="B369" s="33"/>
      <c r="C369" s="33"/>
      <c r="D369" s="161"/>
      <c r="E369" s="109"/>
      <c r="F369" s="109"/>
      <c r="G369" s="109"/>
      <c r="H369" s="109"/>
      <c r="I369" s="24"/>
      <c r="J369" s="24"/>
    </row>
    <row r="370" spans="1:10" s="1" customFormat="1" ht="15.9" customHeight="1">
      <c r="A370" s="27"/>
      <c r="B370" s="33"/>
      <c r="C370" s="33"/>
      <c r="D370" s="161"/>
      <c r="E370" s="109"/>
      <c r="F370" s="109"/>
      <c r="G370" s="109"/>
      <c r="H370" s="109"/>
      <c r="I370" s="24"/>
      <c r="J370" s="24"/>
    </row>
    <row r="371" spans="1:10" s="1" customFormat="1" ht="15.9" customHeight="1">
      <c r="A371" s="27"/>
      <c r="D371" s="161"/>
      <c r="E371" s="109"/>
      <c r="F371" s="109"/>
      <c r="G371" s="33"/>
      <c r="H371" s="33"/>
      <c r="I371" s="24"/>
      <c r="J371" s="24"/>
    </row>
    <row r="372" spans="1:10" s="1" customFormat="1" ht="15.9" customHeight="1">
      <c r="A372" s="27"/>
      <c r="B372" s="33"/>
      <c r="C372" s="33"/>
      <c r="D372" s="161"/>
      <c r="E372" s="109"/>
      <c r="F372" s="109"/>
      <c r="G372" s="109"/>
      <c r="H372" s="109"/>
      <c r="I372" s="24"/>
      <c r="J372" s="24"/>
    </row>
    <row r="373" spans="1:10" s="1" customFormat="1" ht="15.9" customHeight="1">
      <c r="A373" s="27"/>
      <c r="B373" s="33"/>
      <c r="C373" s="33"/>
      <c r="D373" s="161"/>
      <c r="E373" s="109"/>
      <c r="F373" s="109"/>
      <c r="G373" s="109"/>
      <c r="H373" s="109"/>
      <c r="I373" s="24"/>
      <c r="J373" s="24"/>
    </row>
    <row r="374" spans="1:10" s="1" customFormat="1" ht="15.9" customHeight="1">
      <c r="A374" s="27"/>
      <c r="B374" s="33"/>
      <c r="C374" s="33"/>
      <c r="D374" s="161"/>
      <c r="E374" s="109"/>
      <c r="F374" s="109"/>
      <c r="G374" s="109"/>
      <c r="H374" s="109"/>
      <c r="I374" s="24"/>
      <c r="J374" s="24"/>
    </row>
    <row r="375" spans="1:10" s="1" customFormat="1" ht="15.9" customHeight="1">
      <c r="A375" s="27"/>
      <c r="B375" s="33"/>
      <c r="C375" s="33"/>
      <c r="D375" s="161"/>
      <c r="E375" s="109"/>
      <c r="F375" s="109"/>
      <c r="G375" s="109"/>
      <c r="H375" s="42"/>
      <c r="I375" s="163"/>
      <c r="J375" s="163"/>
    </row>
    <row r="376" spans="1:10" s="1" customFormat="1" ht="15.9" customHeight="1">
      <c r="A376" s="27"/>
      <c r="B376" s="33"/>
      <c r="C376" s="47"/>
      <c r="D376" s="161"/>
      <c r="E376" s="109"/>
      <c r="F376" s="109"/>
      <c r="G376" s="109"/>
      <c r="H376" s="163"/>
      <c r="I376" s="161"/>
      <c r="J376" s="161"/>
    </row>
    <row r="377" spans="1:10" s="1" customFormat="1" ht="15.9" customHeight="1">
      <c r="A377" s="27"/>
      <c r="B377" s="33"/>
      <c r="C377" s="46"/>
      <c r="D377" s="161"/>
      <c r="E377" s="109"/>
      <c r="F377" s="109"/>
      <c r="G377" s="109"/>
      <c r="H377" s="161"/>
      <c r="I377" s="24"/>
      <c r="J377" s="24"/>
    </row>
    <row r="378" spans="1:10" s="1" customFormat="1" ht="15.9" customHeight="1">
      <c r="A378" s="27"/>
      <c r="B378" s="33"/>
      <c r="C378" s="161"/>
      <c r="D378" s="161"/>
      <c r="E378" s="109"/>
      <c r="F378" s="109"/>
      <c r="G378" s="109"/>
      <c r="H378" s="42"/>
      <c r="I378" s="163"/>
      <c r="J378" s="163"/>
    </row>
    <row r="379" spans="1:10" s="1" customFormat="1" ht="15.9" customHeight="1">
      <c r="A379" s="27"/>
      <c r="B379" s="33"/>
      <c r="C379" s="33"/>
      <c r="D379" s="161"/>
      <c r="E379" s="109"/>
      <c r="F379" s="109"/>
      <c r="G379" s="109"/>
      <c r="H379" s="163"/>
      <c r="I379" s="161"/>
      <c r="J379" s="161"/>
    </row>
    <row r="380" spans="1:10" s="1" customFormat="1" ht="15.9" customHeight="1">
      <c r="A380" s="27"/>
      <c r="B380" s="33"/>
      <c r="C380" s="33"/>
      <c r="D380" s="161"/>
      <c r="E380" s="109"/>
      <c r="F380" s="109"/>
      <c r="G380" s="109"/>
      <c r="H380" s="161"/>
      <c r="I380" s="24"/>
      <c r="J380" s="24"/>
    </row>
    <row r="381" spans="1:10" s="1" customFormat="1" ht="15.9" customHeight="1">
      <c r="A381" s="27"/>
      <c r="B381" s="33"/>
      <c r="C381" s="33"/>
      <c r="D381" s="161"/>
      <c r="E381" s="109"/>
      <c r="F381" s="109"/>
      <c r="G381" s="109"/>
      <c r="H381" s="109"/>
      <c r="I381" s="24"/>
      <c r="J381" s="24"/>
    </row>
    <row r="382" spans="1:10" s="1" customFormat="1" ht="15.9" customHeight="1">
      <c r="A382" s="27"/>
      <c r="B382" s="33"/>
      <c r="C382" s="33"/>
      <c r="D382" s="161"/>
      <c r="E382" s="109"/>
      <c r="F382" s="109"/>
      <c r="G382" s="109"/>
      <c r="H382" s="109"/>
      <c r="I382" s="24"/>
      <c r="J382" s="24"/>
    </row>
    <row r="383" spans="1:10" s="1" customFormat="1" ht="15.9" customHeight="1">
      <c r="A383" s="27"/>
      <c r="B383" s="33"/>
      <c r="C383" s="33"/>
      <c r="D383" s="161"/>
      <c r="E383" s="109"/>
      <c r="F383" s="109"/>
      <c r="G383" s="109"/>
      <c r="H383" s="109"/>
      <c r="I383" s="109"/>
      <c r="J383" s="24"/>
    </row>
    <row r="384" spans="1:10" s="1" customFormat="1" ht="15.9" customHeight="1">
      <c r="A384" s="27"/>
      <c r="B384" s="33"/>
      <c r="C384" s="33"/>
      <c r="D384" s="161"/>
      <c r="E384" s="109"/>
      <c r="F384" s="109"/>
      <c r="G384" s="109"/>
      <c r="H384" s="109"/>
      <c r="I384" s="109"/>
      <c r="J384" s="24"/>
    </row>
    <row r="385" spans="1:10" s="1" customFormat="1" ht="15.9" customHeight="1">
      <c r="A385" s="27"/>
      <c r="B385" s="33"/>
      <c r="C385" s="33"/>
      <c r="D385" s="161"/>
      <c r="E385" s="109"/>
      <c r="F385" s="109"/>
      <c r="G385" s="109"/>
      <c r="H385" s="109"/>
      <c r="I385" s="109"/>
      <c r="J385" s="24"/>
    </row>
    <row r="386" spans="1:10" s="1" customFormat="1" ht="15.9" customHeight="1">
      <c r="A386" s="27"/>
      <c r="B386" s="33"/>
      <c r="C386" s="33"/>
      <c r="D386" s="161"/>
      <c r="E386" s="109"/>
      <c r="F386" s="109"/>
      <c r="G386" s="109"/>
      <c r="H386" s="109"/>
      <c r="I386" s="109"/>
      <c r="J386" s="24"/>
    </row>
    <row r="387" spans="1:10" s="1" customFormat="1" ht="15.9" customHeight="1">
      <c r="A387" s="27"/>
      <c r="B387" s="33"/>
      <c r="C387" s="33"/>
      <c r="D387" s="161"/>
      <c r="E387" s="109"/>
      <c r="F387" s="109"/>
      <c r="G387" s="109"/>
      <c r="H387" s="109"/>
      <c r="I387" s="164"/>
      <c r="J387" s="164"/>
    </row>
    <row r="388" spans="1:10" s="1" customFormat="1" ht="15.9" customHeight="1">
      <c r="A388" s="27"/>
      <c r="B388" s="33"/>
      <c r="C388" s="33"/>
      <c r="D388" s="161"/>
      <c r="E388" s="109"/>
      <c r="F388" s="109"/>
      <c r="G388" s="109"/>
      <c r="H388" s="164"/>
      <c r="I388" s="165"/>
      <c r="J388" s="165"/>
    </row>
    <row r="389" spans="1:10" s="1" customFormat="1" ht="15.9" customHeight="1">
      <c r="A389" s="27"/>
      <c r="B389" s="33"/>
      <c r="C389" s="33"/>
      <c r="D389" s="161"/>
      <c r="E389" s="109"/>
      <c r="F389" s="109"/>
      <c r="G389" s="109"/>
      <c r="H389" s="165"/>
      <c r="I389" s="161"/>
      <c r="J389" s="161"/>
    </row>
    <row r="390" spans="1:10" s="1" customFormat="1" ht="15.9" customHeight="1">
      <c r="A390" s="27"/>
      <c r="B390" s="33"/>
      <c r="C390" s="47"/>
      <c r="D390" s="161"/>
      <c r="E390" s="109"/>
      <c r="F390" s="109"/>
      <c r="G390" s="109"/>
      <c r="H390" s="161"/>
      <c r="I390" s="24"/>
      <c r="J390" s="24"/>
    </row>
    <row r="391" spans="1:10" s="1" customFormat="1" ht="15.9" customHeight="1">
      <c r="A391" s="27"/>
      <c r="B391" s="33"/>
      <c r="C391" s="46"/>
      <c r="D391" s="161"/>
      <c r="E391" s="109"/>
      <c r="F391" s="109"/>
      <c r="G391" s="109"/>
      <c r="H391" s="109"/>
      <c r="I391" s="109"/>
      <c r="J391" s="24"/>
    </row>
    <row r="392" spans="1:10" s="1" customFormat="1" ht="15.9" customHeight="1">
      <c r="A392" s="27"/>
      <c r="B392" s="33"/>
      <c r="C392" s="161"/>
      <c r="D392" s="161"/>
      <c r="E392" s="109"/>
      <c r="F392" s="109"/>
      <c r="G392" s="109"/>
      <c r="H392" s="109"/>
      <c r="I392" s="24"/>
      <c r="J392" s="24"/>
    </row>
    <row r="393" spans="1:10" s="1" customFormat="1" ht="15.9" customHeight="1">
      <c r="A393" s="27"/>
      <c r="B393" s="33"/>
      <c r="C393" s="33"/>
      <c r="D393" s="161"/>
      <c r="E393" s="109"/>
      <c r="F393" s="109"/>
      <c r="G393" s="109"/>
      <c r="H393" s="109"/>
      <c r="I393" s="24"/>
      <c r="J393" s="24"/>
    </row>
    <row r="394" spans="1:10" s="1" customFormat="1" ht="15.9" customHeight="1">
      <c r="A394" s="27"/>
      <c r="B394" s="33"/>
      <c r="C394" s="33"/>
      <c r="D394" s="161"/>
      <c r="E394" s="109"/>
      <c r="F394" s="109"/>
      <c r="G394" s="109"/>
      <c r="H394" s="109"/>
      <c r="I394" s="24"/>
      <c r="J394" s="24"/>
    </row>
    <row r="395" spans="1:10" s="1" customFormat="1" ht="15.9" customHeight="1">
      <c r="A395" s="41"/>
      <c r="B395" s="33"/>
      <c r="C395" s="33"/>
      <c r="D395" s="161"/>
      <c r="E395" s="109"/>
      <c r="F395" s="109"/>
      <c r="G395" s="109"/>
      <c r="H395" s="109"/>
      <c r="I395" s="109"/>
      <c r="J395" s="109"/>
    </row>
    <row r="396" spans="1:10" s="1" customFormat="1" ht="15.9" customHeight="1">
      <c r="A396" s="41"/>
      <c r="B396" s="33"/>
      <c r="C396" s="33"/>
      <c r="D396" s="161"/>
      <c r="E396" s="109"/>
      <c r="F396" s="109"/>
      <c r="G396" s="109"/>
      <c r="H396" s="109"/>
      <c r="I396" s="109"/>
      <c r="J396" s="109"/>
    </row>
    <row r="397" spans="1:10" s="1" customFormat="1" ht="15.9" customHeight="1">
      <c r="A397" s="41"/>
      <c r="B397" s="33"/>
      <c r="C397" s="33"/>
      <c r="D397" s="161"/>
      <c r="E397" s="109"/>
      <c r="F397" s="109"/>
      <c r="G397" s="109"/>
      <c r="H397" s="109"/>
      <c r="I397" s="109"/>
      <c r="J397" s="109"/>
    </row>
    <row r="398" spans="1:10" s="1" customFormat="1" ht="15.9" customHeight="1">
      <c r="A398" s="41"/>
      <c r="B398" s="33"/>
      <c r="C398" s="33"/>
      <c r="D398" s="161"/>
      <c r="E398" s="109"/>
      <c r="F398" s="109"/>
      <c r="G398" s="109"/>
      <c r="H398" s="109"/>
      <c r="I398" s="109"/>
      <c r="J398" s="109"/>
    </row>
    <row r="399" spans="1:10" s="1" customFormat="1" ht="15.9" customHeight="1">
      <c r="A399" s="41"/>
      <c r="B399" s="33"/>
      <c r="C399" s="33"/>
      <c r="D399" s="161"/>
      <c r="E399" s="109"/>
      <c r="F399" s="109"/>
      <c r="G399" s="109"/>
      <c r="H399" s="109"/>
      <c r="I399" s="109"/>
      <c r="J399" s="109"/>
    </row>
    <row r="400" spans="1:10" s="1" customFormat="1" ht="15.9" customHeight="1">
      <c r="A400" s="41"/>
      <c r="B400" s="33"/>
      <c r="C400" s="33"/>
      <c r="D400" s="161"/>
      <c r="E400" s="109"/>
      <c r="F400" s="109"/>
      <c r="G400" s="109"/>
      <c r="H400" s="109"/>
      <c r="I400" s="109"/>
      <c r="J400" s="109"/>
    </row>
    <row r="401" spans="1:10" s="1" customFormat="1" ht="15.9" customHeight="1">
      <c r="A401" s="41"/>
      <c r="B401" s="33"/>
      <c r="C401" s="33"/>
      <c r="D401" s="161"/>
      <c r="E401" s="109"/>
      <c r="F401" s="109"/>
      <c r="G401" s="109"/>
      <c r="H401" s="109"/>
      <c r="I401" s="109"/>
      <c r="J401" s="109"/>
    </row>
    <row r="402" spans="1:10" s="1" customFormat="1" ht="15.9" customHeight="1">
      <c r="A402" s="41"/>
      <c r="B402" s="33"/>
      <c r="C402" s="33"/>
      <c r="D402" s="161"/>
      <c r="E402" s="109"/>
      <c r="F402" s="109"/>
      <c r="G402" s="109"/>
      <c r="H402" s="109"/>
      <c r="I402" s="109"/>
      <c r="J402" s="109"/>
    </row>
    <row r="403" spans="1:10" s="23" customFormat="1" ht="15.9" customHeight="1">
      <c r="A403" s="41"/>
      <c r="B403" s="33"/>
      <c r="C403" s="33"/>
      <c r="D403" s="161"/>
      <c r="E403" s="109"/>
      <c r="F403" s="109"/>
      <c r="G403" s="109"/>
      <c r="H403" s="109"/>
      <c r="I403" s="109"/>
      <c r="J403" s="109"/>
    </row>
    <row r="404" spans="1:10" s="1" customFormat="1" ht="15.9" customHeight="1">
      <c r="A404" s="44"/>
      <c r="B404" s="33"/>
      <c r="C404" s="33"/>
      <c r="D404" s="161"/>
      <c r="E404" s="109"/>
      <c r="F404" s="109"/>
      <c r="G404" s="109"/>
      <c r="H404" s="109"/>
      <c r="I404" s="44"/>
      <c r="J404" s="119"/>
    </row>
    <row r="405" spans="1:10" s="1" customFormat="1" ht="15.9" customHeight="1">
      <c r="A405" s="44"/>
      <c r="B405" s="44"/>
      <c r="C405" s="44"/>
      <c r="D405" s="84"/>
      <c r="E405" s="44"/>
      <c r="F405" s="44"/>
      <c r="G405" s="44"/>
      <c r="H405" s="44"/>
      <c r="I405" s="44"/>
      <c r="J405" s="119"/>
    </row>
    <row r="406" spans="1:10" s="1" customFormat="1" ht="15.9" customHeight="1">
      <c r="A406" s="44"/>
      <c r="B406" s="44"/>
      <c r="C406" s="44"/>
      <c r="D406" s="84"/>
      <c r="E406" s="44"/>
      <c r="F406" s="44"/>
      <c r="G406" s="44"/>
      <c r="H406" s="44"/>
      <c r="I406" s="44"/>
      <c r="J406" s="119"/>
    </row>
    <row r="407" spans="1:10" s="1" customFormat="1" ht="15.9" customHeight="1">
      <c r="A407" s="44"/>
      <c r="B407" s="44"/>
      <c r="C407" s="44"/>
      <c r="D407" s="84"/>
      <c r="E407" s="44"/>
      <c r="F407" s="44"/>
      <c r="G407" s="44"/>
      <c r="H407" s="44"/>
      <c r="I407" s="44"/>
      <c r="J407" s="119"/>
    </row>
    <row r="408" spans="1:10" s="1" customFormat="1" ht="15.9" customHeight="1">
      <c r="A408" s="44"/>
      <c r="B408" s="44"/>
      <c r="C408" s="44"/>
      <c r="D408" s="84"/>
      <c r="E408" s="44"/>
      <c r="F408" s="44"/>
      <c r="G408" s="44"/>
      <c r="H408" s="44"/>
      <c r="I408" s="44"/>
      <c r="J408" s="119"/>
    </row>
    <row r="409" spans="1:10" s="1" customFormat="1" ht="15.9" customHeight="1">
      <c r="A409" s="44"/>
      <c r="B409" s="44"/>
      <c r="C409" s="44"/>
      <c r="D409" s="84"/>
      <c r="E409" s="44"/>
      <c r="F409" s="44"/>
      <c r="G409" s="44"/>
      <c r="H409" s="44"/>
      <c r="I409" s="44"/>
      <c r="J409" s="119"/>
    </row>
    <row r="410" spans="1:10" s="1" customFormat="1" ht="15.9" customHeight="1">
      <c r="A410" s="44"/>
      <c r="B410" s="44"/>
      <c r="C410" s="44"/>
      <c r="D410" s="84"/>
      <c r="E410" s="44"/>
      <c r="F410" s="44"/>
      <c r="G410" s="44"/>
      <c r="H410" s="44"/>
      <c r="I410" s="44"/>
      <c r="J410" s="119"/>
    </row>
    <row r="411" spans="1:10" s="1" customFormat="1" ht="15.9" customHeight="1">
      <c r="A411" s="44"/>
      <c r="B411" s="44"/>
      <c r="C411" s="44"/>
      <c r="D411" s="84"/>
      <c r="E411" s="44"/>
      <c r="F411" s="44"/>
      <c r="G411" s="44"/>
      <c r="H411" s="44"/>
      <c r="I411" s="44"/>
      <c r="J411" s="119"/>
    </row>
    <row r="412" spans="1:10" s="1" customFormat="1" ht="15.9" customHeight="1">
      <c r="A412" s="44"/>
      <c r="B412" s="44"/>
      <c r="C412" s="44"/>
      <c r="D412" s="84"/>
      <c r="E412" s="44"/>
      <c r="F412" s="44"/>
      <c r="G412" s="44"/>
      <c r="H412" s="44"/>
      <c r="I412" s="44"/>
      <c r="J412" s="119"/>
    </row>
    <row r="413" spans="1:10" s="1" customFormat="1" ht="15.9" customHeight="1">
      <c r="A413" s="44"/>
      <c r="B413" s="44"/>
      <c r="C413" s="44"/>
      <c r="D413" s="84"/>
      <c r="E413" s="44"/>
      <c r="F413" s="44"/>
      <c r="G413" s="44"/>
      <c r="H413" s="44"/>
      <c r="I413" s="44"/>
      <c r="J413" s="119"/>
    </row>
    <row r="414" spans="1:10" s="1" customFormat="1" ht="15.9" customHeight="1">
      <c r="A414" s="44"/>
      <c r="B414" s="44"/>
      <c r="C414" s="44"/>
      <c r="D414" s="84"/>
      <c r="E414" s="44"/>
      <c r="F414" s="44"/>
      <c r="G414" s="44"/>
      <c r="H414" s="44"/>
      <c r="I414" s="44"/>
      <c r="J414" s="119"/>
    </row>
    <row r="415" spans="1:10" s="1" customFormat="1" ht="15.9" customHeight="1">
      <c r="A415" s="44"/>
      <c r="B415" s="44"/>
      <c r="C415" s="44"/>
      <c r="D415" s="84"/>
      <c r="E415" s="44"/>
      <c r="F415" s="44"/>
      <c r="G415" s="44"/>
      <c r="H415" s="44"/>
      <c r="I415" s="44"/>
      <c r="J415" s="119"/>
    </row>
    <row r="416" spans="1:10" s="1" customFormat="1" ht="15.9" customHeight="1">
      <c r="A416" s="44"/>
      <c r="B416" s="44"/>
      <c r="C416" s="44"/>
      <c r="D416" s="84"/>
      <c r="E416" s="44"/>
      <c r="F416" s="44"/>
      <c r="G416" s="44"/>
      <c r="H416" s="44"/>
      <c r="I416" s="44"/>
      <c r="J416" s="119"/>
    </row>
    <row r="417" spans="1:14" s="1" customFormat="1" ht="15.9" customHeight="1">
      <c r="A417" s="44"/>
      <c r="B417" s="44"/>
      <c r="C417" s="44"/>
      <c r="D417" s="84"/>
      <c r="E417" s="44"/>
      <c r="F417" s="44"/>
      <c r="G417" s="44"/>
      <c r="H417" s="44"/>
      <c r="I417" s="44"/>
      <c r="J417" s="119"/>
    </row>
    <row r="418" spans="1:14" s="1" customFormat="1" ht="15.9" customHeight="1">
      <c r="A418" s="109"/>
      <c r="B418" s="44"/>
      <c r="C418" s="44"/>
      <c r="D418" s="84"/>
      <c r="E418" s="44"/>
      <c r="F418" s="44"/>
      <c r="G418" s="44"/>
      <c r="H418" s="44"/>
      <c r="I418" s="24"/>
      <c r="J418" s="24"/>
      <c r="K418" s="71"/>
    </row>
    <row r="419" spans="1:14" s="1" customFormat="1" ht="15.9" customHeight="1">
      <c r="A419" s="109"/>
      <c r="B419" s="33"/>
      <c r="C419" s="33"/>
      <c r="D419" s="161"/>
      <c r="E419" s="109"/>
      <c r="F419" s="109"/>
      <c r="G419" s="109"/>
      <c r="H419" s="109"/>
      <c r="I419" s="24"/>
    </row>
    <row r="420" spans="1:14" ht="18">
      <c r="A420" s="109"/>
      <c r="B420" s="33"/>
      <c r="C420" s="33"/>
      <c r="D420" s="161"/>
      <c r="E420" s="109"/>
      <c r="F420" s="109"/>
      <c r="G420" s="109"/>
      <c r="H420" s="109"/>
      <c r="I420" s="109"/>
      <c r="J420" s="99" t="str">
        <f>LEFT($J$111,14)&amp;"-04"</f>
        <v>FG-240-15P7L8R-04</v>
      </c>
      <c r="K420" s="7"/>
      <c r="L420" s="7"/>
      <c r="M420" s="2"/>
      <c r="N420" s="2"/>
    </row>
    <row r="421" spans="1:14" ht="12.75" customHeight="1">
      <c r="A421" s="109"/>
      <c r="B421" s="33"/>
      <c r="C421" s="33"/>
      <c r="D421" s="161"/>
      <c r="E421" s="109"/>
      <c r="F421" s="109"/>
      <c r="G421" s="109"/>
      <c r="H421" s="109"/>
      <c r="I421" s="109"/>
      <c r="J421" s="114"/>
      <c r="K421" s="7"/>
      <c r="L421" s="7"/>
      <c r="M421" s="2"/>
      <c r="N421" s="2"/>
    </row>
    <row r="422" spans="1:14" ht="30" customHeight="1">
      <c r="B422" s="33"/>
      <c r="C422" s="33"/>
      <c r="D422" s="161"/>
      <c r="E422" s="109"/>
      <c r="F422" s="109"/>
      <c r="G422" s="109"/>
      <c r="H422" s="109"/>
      <c r="I422" s="95"/>
      <c r="J422" s="90" t="str">
        <f>J2</f>
        <v>HOMELIFE</v>
      </c>
      <c r="K422" s="11"/>
      <c r="L422" s="11"/>
      <c r="M422" s="2"/>
      <c r="N422" s="2"/>
    </row>
    <row r="423" spans="1:14" ht="24.9" customHeight="1">
      <c r="B423" s="271"/>
      <c r="C423" s="5"/>
      <c r="D423" s="95"/>
      <c r="E423" s="95"/>
      <c r="F423" s="95"/>
      <c r="G423" s="95"/>
      <c r="H423" s="95"/>
      <c r="I423" s="28"/>
      <c r="J423" s="91" t="str">
        <f>J3</f>
        <v>Fabricators Guide</v>
      </c>
      <c r="K423" s="11"/>
      <c r="L423" s="11"/>
      <c r="M423" s="2"/>
      <c r="N423" s="2"/>
    </row>
    <row r="424" spans="1:14" ht="24.9" customHeight="1">
      <c r="B424" s="271"/>
      <c r="C424" s="28"/>
      <c r="D424" s="28"/>
      <c r="E424" s="28"/>
      <c r="F424" s="28"/>
      <c r="G424" s="28"/>
      <c r="H424" s="28"/>
      <c r="I424" s="28"/>
      <c r="J424" s="91" t="str">
        <f>J4</f>
        <v xml:space="preserve">240 Series Bi Fold Door </v>
      </c>
      <c r="K424" s="48"/>
      <c r="L424" s="48"/>
      <c r="M424" s="4"/>
      <c r="N424" s="4"/>
    </row>
    <row r="425" spans="1:14" s="1" customFormat="1" ht="15" customHeight="1" thickBot="1">
      <c r="A425" s="78"/>
      <c r="B425" s="8"/>
      <c r="C425" s="28"/>
      <c r="D425" s="28"/>
      <c r="E425" s="28"/>
      <c r="F425" s="28"/>
      <c r="G425" s="28"/>
      <c r="H425" s="28"/>
      <c r="I425" s="78"/>
      <c r="J425" s="100"/>
      <c r="K425" s="4"/>
      <c r="L425" s="4"/>
      <c r="M425" s="4"/>
      <c r="N425" s="4"/>
    </row>
    <row r="426" spans="1:14" s="1" customFormat="1" ht="24.9" customHeight="1" thickBot="1">
      <c r="A426" s="502" t="s">
        <v>34</v>
      </c>
      <c r="B426" s="503"/>
      <c r="C426" s="503"/>
      <c r="D426" s="503"/>
      <c r="E426" s="503"/>
      <c r="F426" s="503"/>
      <c r="G426" s="503"/>
      <c r="H426" s="503"/>
      <c r="I426" s="503"/>
      <c r="J426" s="504"/>
      <c r="K426" s="4"/>
      <c r="L426" s="4"/>
      <c r="M426" s="4"/>
      <c r="N426" s="4"/>
    </row>
    <row r="427" spans="1:14" s="1" customFormat="1" ht="15" customHeight="1">
      <c r="A427" s="193"/>
      <c r="B427" s="194"/>
      <c r="C427" s="194"/>
      <c r="D427" s="194"/>
      <c r="E427" s="194"/>
      <c r="F427" s="194"/>
      <c r="G427" s="194"/>
      <c r="H427" s="194"/>
      <c r="I427" s="193"/>
      <c r="K427" s="56"/>
      <c r="L427" s="56"/>
      <c r="M427" s="56"/>
      <c r="N427" s="56"/>
    </row>
    <row r="428" spans="1:14" s="1" customFormat="1" ht="15" customHeight="1">
      <c r="A428" s="45"/>
      <c r="B428" s="193"/>
      <c r="C428" s="193"/>
      <c r="D428" s="193"/>
      <c r="E428" s="193"/>
      <c r="F428" s="193"/>
      <c r="G428" s="193"/>
      <c r="H428" s="193"/>
      <c r="I428" s="44"/>
      <c r="J428" s="119"/>
    </row>
    <row r="429" spans="1:14" s="1" customFormat="1" ht="15" customHeight="1">
      <c r="A429" s="109"/>
      <c r="B429" s="39"/>
      <c r="C429" s="33"/>
      <c r="D429" s="161"/>
      <c r="E429" s="35"/>
      <c r="F429" s="39"/>
      <c r="G429" s="193"/>
      <c r="H429" s="44"/>
      <c r="I429" s="44"/>
      <c r="J429" s="119"/>
    </row>
    <row r="430" spans="1:14" s="1" customFormat="1" ht="15" customHeight="1">
      <c r="A430" s="109"/>
      <c r="B430" s="33"/>
      <c r="C430" s="33"/>
      <c r="D430" s="161"/>
      <c r="E430" s="35"/>
      <c r="F430" s="161"/>
      <c r="G430" s="193"/>
      <c r="H430" s="44"/>
      <c r="I430" s="44"/>
      <c r="J430" s="119"/>
    </row>
    <row r="431" spans="1:14" s="1" customFormat="1" ht="15" customHeight="1">
      <c r="A431" s="109"/>
      <c r="B431" s="56"/>
      <c r="C431" s="56"/>
      <c r="D431" s="30"/>
      <c r="E431" s="29"/>
      <c r="F431" s="30"/>
      <c r="H431" s="44"/>
      <c r="I431" s="44"/>
      <c r="J431" s="119"/>
    </row>
    <row r="432" spans="1:14" s="1" customFormat="1" ht="15" customHeight="1">
      <c r="A432" s="109"/>
      <c r="B432" s="33"/>
      <c r="C432" s="161"/>
      <c r="D432" s="161"/>
      <c r="E432" s="109"/>
      <c r="F432" s="161"/>
      <c r="H432" s="44"/>
      <c r="I432" s="44"/>
      <c r="J432" s="119"/>
    </row>
    <row r="433" spans="1:10" s="1" customFormat="1" ht="15" customHeight="1">
      <c r="A433" s="109"/>
      <c r="B433" s="33"/>
      <c r="C433" s="161"/>
      <c r="D433" s="161"/>
      <c r="E433" s="35"/>
      <c r="F433" s="163"/>
      <c r="H433" s="44"/>
      <c r="I433" s="44"/>
      <c r="J433" s="119"/>
    </row>
    <row r="434" spans="1:10" s="1" customFormat="1" ht="15" customHeight="1">
      <c r="A434" s="109"/>
      <c r="B434" s="33"/>
      <c r="C434" s="161"/>
      <c r="D434" s="161"/>
      <c r="E434" s="35"/>
      <c r="F434" s="161"/>
      <c r="H434" s="44"/>
      <c r="I434" s="44"/>
      <c r="J434" s="119"/>
    </row>
    <row r="435" spans="1:10" s="1" customFormat="1" ht="15" customHeight="1">
      <c r="A435" s="39"/>
      <c r="B435" s="33"/>
      <c r="C435" s="42"/>
      <c r="D435" s="161"/>
      <c r="E435" s="109"/>
      <c r="F435" s="69"/>
      <c r="H435" s="44"/>
      <c r="I435" s="44"/>
      <c r="J435" s="119"/>
    </row>
    <row r="436" spans="1:10" s="1" customFormat="1" ht="15" customHeight="1">
      <c r="A436" s="92"/>
      <c r="B436" s="39"/>
      <c r="C436" s="163"/>
      <c r="D436" s="161"/>
      <c r="E436" s="109"/>
      <c r="F436" s="68"/>
      <c r="H436" s="44"/>
      <c r="I436" s="44"/>
      <c r="J436" s="119"/>
    </row>
    <row r="437" spans="1:10" s="1" customFormat="1" ht="15" customHeight="1">
      <c r="B437" s="92"/>
      <c r="C437" s="161"/>
      <c r="D437" s="161"/>
      <c r="E437" s="109"/>
      <c r="F437" s="272"/>
      <c r="H437" s="44"/>
      <c r="I437" s="44"/>
      <c r="J437" s="119"/>
    </row>
    <row r="438" spans="1:10" s="1" customFormat="1" ht="15" customHeight="1">
      <c r="A438" s="64" t="str">
        <f>A18</f>
        <v>240-15 Panel (7L8R)</v>
      </c>
      <c r="B438" s="92"/>
      <c r="C438" s="161"/>
      <c r="D438" s="161"/>
      <c r="E438" s="109"/>
      <c r="F438" s="272"/>
      <c r="H438" s="44"/>
      <c r="I438" s="44"/>
      <c r="J438" s="119"/>
    </row>
    <row r="439" spans="1:10" s="1" customFormat="1" ht="15.9" customHeight="1">
      <c r="A439" s="76" t="str">
        <f>A19</f>
        <v xml:space="preserve">Outside Bi Fold Door </v>
      </c>
      <c r="C439" s="42"/>
      <c r="D439" s="161"/>
      <c r="E439" s="109"/>
      <c r="F439" s="68"/>
      <c r="H439" s="44"/>
      <c r="I439" s="44"/>
      <c r="J439" s="119"/>
    </row>
    <row r="440" spans="1:10" s="1" customFormat="1" ht="15.9" customHeight="1">
      <c r="A440" s="39"/>
      <c r="C440" s="161"/>
      <c r="D440" s="161"/>
      <c r="E440" s="109"/>
      <c r="F440" s="37"/>
      <c r="H440" s="44"/>
      <c r="I440" s="44"/>
      <c r="J440" s="119"/>
    </row>
    <row r="441" spans="1:10" s="1" customFormat="1" ht="15.9" customHeight="1">
      <c r="A441" s="44"/>
      <c r="B441" s="38"/>
      <c r="C441" s="43"/>
      <c r="D441" s="161"/>
      <c r="E441" s="109"/>
      <c r="F441" s="109"/>
      <c r="H441" s="44"/>
      <c r="I441" s="44"/>
      <c r="J441" s="119"/>
    </row>
    <row r="442" spans="1:10" s="1" customFormat="1" ht="15.9" customHeight="1">
      <c r="A442" s="40"/>
      <c r="C442" s="44"/>
      <c r="D442" s="84"/>
      <c r="E442" s="44"/>
      <c r="F442" s="44"/>
      <c r="H442" s="44"/>
      <c r="I442" s="44"/>
      <c r="J442" s="119"/>
    </row>
    <row r="443" spans="1:10" s="1" customFormat="1" ht="35.1" customHeight="1">
      <c r="A443" s="109"/>
      <c r="C443" s="161"/>
      <c r="D443" s="85"/>
      <c r="E443" s="40"/>
      <c r="F443" s="32"/>
      <c r="H443" s="44"/>
      <c r="I443" s="24"/>
      <c r="J443" s="24"/>
    </row>
    <row r="444" spans="1:10" ht="15.6">
      <c r="B444" s="64"/>
      <c r="C444" s="163"/>
      <c r="D444" s="161"/>
      <c r="E444" s="109"/>
      <c r="F444" s="161"/>
      <c r="G444" s="109"/>
      <c r="H444" s="109"/>
    </row>
    <row r="449" spans="1:10" s="1" customFormat="1" ht="15.9" customHeight="1">
      <c r="A449" s="109"/>
      <c r="B449"/>
      <c r="C449"/>
      <c r="D449" s="81"/>
      <c r="E449"/>
      <c r="F449"/>
      <c r="G449"/>
      <c r="H449"/>
      <c r="I449" s="24"/>
      <c r="J449" s="24"/>
    </row>
    <row r="450" spans="1:10" s="1" customFormat="1" ht="15.9" customHeight="1">
      <c r="A450" s="109"/>
      <c r="B450" s="33"/>
      <c r="C450" s="33"/>
      <c r="D450" s="161"/>
      <c r="E450" s="109"/>
      <c r="F450" s="161"/>
      <c r="G450" s="109"/>
      <c r="H450" s="109"/>
      <c r="I450" s="24"/>
      <c r="J450" s="24"/>
    </row>
    <row r="451" spans="1:10" s="1" customFormat="1" ht="15.9" customHeight="1">
      <c r="A451" s="109"/>
      <c r="B451" s="33"/>
      <c r="C451" s="33"/>
      <c r="D451" s="161"/>
      <c r="E451" s="109"/>
      <c r="F451" s="161"/>
      <c r="G451" s="109"/>
      <c r="H451" s="109"/>
      <c r="I451" s="24"/>
      <c r="J451" s="24"/>
    </row>
    <row r="452" spans="1:10" s="1" customFormat="1" ht="15.9" customHeight="1">
      <c r="A452" s="109"/>
      <c r="B452" s="33"/>
      <c r="C452" s="33"/>
      <c r="D452" s="161"/>
      <c r="E452" s="109"/>
      <c r="F452" s="161"/>
      <c r="G452" s="109"/>
      <c r="H452" s="109"/>
      <c r="I452" s="24"/>
      <c r="J452" s="24"/>
    </row>
    <row r="453" spans="1:10" s="1" customFormat="1" ht="15.9" customHeight="1">
      <c r="A453" s="109"/>
      <c r="B453" s="33"/>
      <c r="C453" s="44"/>
      <c r="D453" s="161"/>
      <c r="E453" s="109"/>
      <c r="F453" s="161"/>
      <c r="G453" s="109"/>
      <c r="H453" s="109"/>
      <c r="I453" s="24"/>
      <c r="J453" s="24"/>
    </row>
    <row r="454" spans="1:10" s="1" customFormat="1" ht="15.9" customHeight="1">
      <c r="A454" s="109"/>
      <c r="B454" s="33"/>
      <c r="C454" s="161"/>
      <c r="D454" s="161"/>
      <c r="E454" s="109"/>
      <c r="F454" s="161"/>
      <c r="G454" s="109"/>
      <c r="H454" s="109"/>
      <c r="I454" s="24"/>
      <c r="J454" s="24"/>
    </row>
    <row r="455" spans="1:10" s="1" customFormat="1" ht="15.9" customHeight="1">
      <c r="A455" s="109"/>
      <c r="B455" s="33"/>
      <c r="C455" s="163"/>
      <c r="D455" s="161"/>
      <c r="E455" s="109"/>
      <c r="F455" s="161"/>
      <c r="G455" s="109"/>
      <c r="H455" s="109"/>
      <c r="I455" s="109"/>
      <c r="J455" s="24"/>
    </row>
    <row r="456" spans="1:10" s="1" customFormat="1" ht="15.9" customHeight="1">
      <c r="A456" s="109"/>
      <c r="B456" s="33"/>
      <c r="C456" s="161"/>
      <c r="D456" s="161"/>
      <c r="E456" s="109"/>
      <c r="F456" s="161"/>
      <c r="G456" s="109"/>
      <c r="H456" s="109"/>
      <c r="I456" s="24"/>
      <c r="J456" s="24"/>
    </row>
    <row r="457" spans="1:10" s="1" customFormat="1" ht="15.9" customHeight="1">
      <c r="A457" s="109"/>
      <c r="B457" s="33"/>
      <c r="C457" s="33"/>
      <c r="D457" s="161"/>
      <c r="E457" s="109"/>
      <c r="F457" s="109"/>
      <c r="G457" s="109"/>
      <c r="H457" s="109"/>
      <c r="I457" s="24"/>
      <c r="J457" s="24"/>
    </row>
    <row r="458" spans="1:10" s="1" customFormat="1" ht="15" customHeight="1">
      <c r="A458" s="109"/>
      <c r="B458" s="33"/>
      <c r="C458" s="33"/>
      <c r="D458" s="161"/>
      <c r="E458" s="109"/>
      <c r="F458" s="109"/>
      <c r="G458" s="109"/>
      <c r="H458" s="107"/>
      <c r="I458" s="24"/>
      <c r="J458" s="24"/>
    </row>
    <row r="459" spans="1:10" s="1" customFormat="1" ht="15" customHeight="1">
      <c r="A459" s="109"/>
      <c r="B459" s="33"/>
      <c r="C459" s="33"/>
      <c r="D459" s="161"/>
      <c r="E459" s="109"/>
      <c r="F459" s="109"/>
      <c r="G459" s="109"/>
      <c r="H459" s="109"/>
      <c r="I459" s="24"/>
      <c r="J459" s="24"/>
    </row>
    <row r="460" spans="1:10" s="1" customFormat="1" ht="15" customHeight="1">
      <c r="A460" s="109"/>
      <c r="B460" s="33"/>
      <c r="C460" s="33"/>
      <c r="D460" s="161"/>
      <c r="E460" s="109"/>
      <c r="F460" s="109"/>
      <c r="G460" s="109"/>
      <c r="H460" s="109"/>
      <c r="I460" s="24"/>
      <c r="J460" s="24"/>
    </row>
    <row r="461" spans="1:10" s="1" customFormat="1" ht="15" customHeight="1">
      <c r="A461" s="109"/>
      <c r="B461" s="33"/>
      <c r="C461" s="33"/>
      <c r="D461" s="161"/>
      <c r="E461" s="109"/>
      <c r="F461" s="109"/>
      <c r="G461" s="109"/>
      <c r="H461" s="109"/>
      <c r="I461" s="24"/>
      <c r="J461" s="24"/>
    </row>
    <row r="462" spans="1:10" s="1" customFormat="1" ht="15" customHeight="1">
      <c r="A462" s="109"/>
      <c r="B462" s="33"/>
      <c r="C462" s="33"/>
      <c r="D462" s="161"/>
      <c r="E462" s="109"/>
      <c r="F462" s="109"/>
      <c r="G462" s="109"/>
      <c r="H462" s="109"/>
      <c r="I462" s="24"/>
      <c r="J462" s="24"/>
    </row>
    <row r="463" spans="1:10" s="1" customFormat="1" ht="15" customHeight="1">
      <c r="A463" s="109"/>
      <c r="B463" s="33"/>
      <c r="C463" s="33"/>
      <c r="D463" s="161"/>
      <c r="E463" s="109"/>
      <c r="F463" s="109"/>
      <c r="G463" s="109"/>
      <c r="H463" s="109"/>
      <c r="I463" s="24"/>
      <c r="J463" s="24"/>
    </row>
    <row r="464" spans="1:10" s="1" customFormat="1" ht="15" customHeight="1">
      <c r="A464" s="109"/>
      <c r="B464" s="33"/>
      <c r="C464" s="33"/>
      <c r="D464" s="161"/>
      <c r="E464" s="109"/>
      <c r="F464" s="109"/>
      <c r="G464" s="109"/>
      <c r="H464" s="109"/>
      <c r="I464" s="24"/>
      <c r="J464" s="24"/>
    </row>
    <row r="465" spans="1:10" s="1" customFormat="1" ht="15" customHeight="1">
      <c r="A465" s="109"/>
      <c r="B465" s="33"/>
      <c r="C465" s="33"/>
      <c r="D465" s="161"/>
      <c r="E465" s="109"/>
      <c r="F465" s="109"/>
      <c r="G465" s="109"/>
      <c r="H465" s="109"/>
      <c r="I465" s="24"/>
      <c r="J465" s="24"/>
    </row>
    <row r="466" spans="1:10" s="1" customFormat="1" ht="15" customHeight="1">
      <c r="A466" s="109"/>
      <c r="B466" s="33"/>
      <c r="C466" s="33"/>
      <c r="D466" s="161"/>
      <c r="E466" s="109"/>
      <c r="F466" s="109"/>
      <c r="G466" s="109"/>
      <c r="H466" s="109"/>
      <c r="I466" s="24"/>
      <c r="J466" s="24"/>
    </row>
    <row r="467" spans="1:10" s="1" customFormat="1" ht="15" customHeight="1">
      <c r="A467" s="109"/>
      <c r="B467" s="33"/>
      <c r="C467" s="33"/>
      <c r="D467" s="161"/>
      <c r="E467" s="109"/>
      <c r="F467" s="109"/>
      <c r="G467" s="109"/>
      <c r="H467" s="109"/>
      <c r="I467" s="24"/>
      <c r="J467" s="24"/>
    </row>
    <row r="468" spans="1:10" s="1" customFormat="1" ht="15" customHeight="1">
      <c r="A468" s="109"/>
      <c r="B468" s="33"/>
      <c r="C468" s="33"/>
      <c r="D468" s="161"/>
      <c r="E468" s="109"/>
      <c r="F468" s="109"/>
      <c r="G468" s="109"/>
      <c r="H468" s="109"/>
      <c r="I468" s="24"/>
      <c r="J468" s="24"/>
    </row>
    <row r="469" spans="1:10" s="1" customFormat="1" ht="15" customHeight="1">
      <c r="A469" s="109"/>
      <c r="B469" s="33"/>
      <c r="C469" s="33"/>
      <c r="D469" s="161"/>
      <c r="E469" s="109"/>
      <c r="F469" s="109"/>
      <c r="G469" s="109"/>
      <c r="H469" s="109"/>
      <c r="I469" s="24"/>
      <c r="J469" s="24"/>
    </row>
    <row r="470" spans="1:10" s="1" customFormat="1" ht="15" customHeight="1">
      <c r="A470" s="109"/>
      <c r="B470" s="33"/>
      <c r="C470" s="33"/>
      <c r="D470" s="161"/>
      <c r="E470" s="109"/>
      <c r="F470" s="109"/>
      <c r="G470" s="109"/>
      <c r="H470" s="109"/>
      <c r="I470" s="24"/>
      <c r="J470" s="24"/>
    </row>
    <row r="471" spans="1:10" s="1" customFormat="1" ht="15" customHeight="1">
      <c r="A471" s="109"/>
      <c r="B471" s="33"/>
      <c r="C471" s="33"/>
      <c r="D471" s="161"/>
      <c r="E471" s="109"/>
      <c r="F471" s="109"/>
      <c r="G471" s="109"/>
      <c r="H471" s="109"/>
      <c r="I471" s="24"/>
      <c r="J471" s="24"/>
    </row>
    <row r="472" spans="1:10" s="1" customFormat="1" ht="15" customHeight="1">
      <c r="A472" s="109"/>
      <c r="B472" s="33"/>
      <c r="C472" s="33"/>
      <c r="D472" s="161"/>
      <c r="E472" s="109"/>
      <c r="F472" s="109"/>
      <c r="G472" s="109"/>
      <c r="H472" s="109"/>
      <c r="I472" s="24"/>
      <c r="J472" s="24"/>
    </row>
    <row r="473" spans="1:10" s="1" customFormat="1" ht="15" customHeight="1">
      <c r="A473" s="109"/>
      <c r="B473" s="33"/>
      <c r="C473" s="33"/>
      <c r="D473" s="161"/>
      <c r="E473" s="109"/>
      <c r="F473" s="109"/>
      <c r="G473" s="109"/>
      <c r="H473" s="109"/>
      <c r="I473" s="24"/>
      <c r="J473" s="24"/>
    </row>
    <row r="474" spans="1:10" s="1" customFormat="1" ht="15" customHeight="1">
      <c r="A474" s="109"/>
      <c r="B474" s="33"/>
      <c r="C474" s="33"/>
      <c r="D474" s="161"/>
      <c r="E474" s="109"/>
      <c r="F474" s="109"/>
      <c r="G474" s="109"/>
      <c r="H474" s="109"/>
      <c r="I474" s="24"/>
      <c r="J474" s="24"/>
    </row>
    <row r="475" spans="1:10" s="1" customFormat="1" ht="15" customHeight="1">
      <c r="A475" s="109"/>
      <c r="B475" s="33"/>
      <c r="C475" s="33"/>
      <c r="D475" s="161"/>
      <c r="E475" s="109"/>
      <c r="F475" s="109"/>
      <c r="G475" s="109"/>
      <c r="H475" s="109"/>
      <c r="I475" s="24"/>
      <c r="J475" s="24"/>
    </row>
    <row r="476" spans="1:10" s="23" customFormat="1" ht="15.9" customHeight="1">
      <c r="A476" s="109"/>
      <c r="B476" s="33"/>
      <c r="C476" s="33"/>
      <c r="D476" s="161"/>
      <c r="E476" s="109"/>
      <c r="F476" s="109"/>
      <c r="G476" s="109"/>
      <c r="H476" s="109"/>
      <c r="I476" s="109"/>
      <c r="J476" s="109"/>
    </row>
    <row r="477" spans="1:10" s="1" customFormat="1" ht="15.9" customHeight="1">
      <c r="A477" s="44"/>
      <c r="B477" s="33"/>
      <c r="C477" s="33"/>
      <c r="D477" s="161"/>
      <c r="E477" s="109"/>
      <c r="F477" s="109"/>
      <c r="G477" s="109"/>
      <c r="H477" s="109"/>
      <c r="I477" s="44"/>
      <c r="J477" s="119"/>
    </row>
    <row r="478" spans="1:10" s="1" customFormat="1" ht="15.9" customHeight="1">
      <c r="A478" s="40"/>
      <c r="B478" s="44"/>
      <c r="C478" s="44"/>
      <c r="D478" s="84"/>
      <c r="E478" s="44"/>
      <c r="F478" s="44"/>
      <c r="G478" s="44"/>
      <c r="H478" s="44"/>
      <c r="I478" s="32"/>
      <c r="J478" s="40"/>
    </row>
    <row r="479" spans="1:10" s="1" customFormat="1" ht="15.9" customHeight="1">
      <c r="A479" s="27"/>
      <c r="B479" s="40"/>
      <c r="C479" s="44"/>
      <c r="D479" s="85"/>
      <c r="E479" s="40"/>
      <c r="F479" s="32"/>
      <c r="G479" s="40"/>
      <c r="H479" s="32"/>
      <c r="I479" s="24"/>
      <c r="J479" s="24"/>
    </row>
    <row r="480" spans="1:10" s="1" customFormat="1" ht="15.9" customHeight="1">
      <c r="A480" s="27"/>
      <c r="B480" s="33"/>
      <c r="C480" s="42"/>
      <c r="D480" s="161"/>
      <c r="E480" s="109"/>
      <c r="F480" s="109"/>
      <c r="G480" s="109"/>
      <c r="H480" s="42"/>
      <c r="I480" s="67"/>
      <c r="J480" s="165"/>
    </row>
    <row r="481" spans="1:10" s="1" customFormat="1" ht="15.9" customHeight="1">
      <c r="A481" s="27"/>
      <c r="B481" s="33"/>
      <c r="C481" s="163"/>
      <c r="D481" s="161"/>
      <c r="E481" s="109"/>
      <c r="F481" s="109"/>
      <c r="G481" s="109"/>
      <c r="H481" s="67"/>
      <c r="I481" s="38"/>
      <c r="J481" s="109"/>
    </row>
    <row r="482" spans="1:10" s="1" customFormat="1" ht="15.9" customHeight="1">
      <c r="A482" s="27"/>
      <c r="B482" s="33"/>
      <c r="C482" s="161"/>
      <c r="D482" s="161"/>
      <c r="E482" s="109"/>
      <c r="F482" s="109"/>
      <c r="G482" s="109"/>
      <c r="H482" s="38"/>
      <c r="I482" s="24"/>
      <c r="J482" s="24"/>
    </row>
    <row r="483" spans="1:10" s="1" customFormat="1" ht="15.9" customHeight="1">
      <c r="A483" s="27"/>
      <c r="B483" s="33"/>
      <c r="C483" s="33"/>
      <c r="D483" s="161"/>
      <c r="E483" s="109"/>
      <c r="F483" s="109"/>
      <c r="G483" s="109"/>
      <c r="H483" s="109"/>
      <c r="I483" s="24"/>
      <c r="J483" s="24"/>
    </row>
    <row r="484" spans="1:10" s="1" customFormat="1" ht="15.9" customHeight="1">
      <c r="A484" s="27"/>
      <c r="B484" s="33"/>
      <c r="C484" s="33"/>
      <c r="D484" s="161"/>
      <c r="E484" s="109"/>
      <c r="F484" s="109"/>
      <c r="G484" s="109"/>
      <c r="H484" s="109"/>
      <c r="I484" s="24"/>
      <c r="J484" s="24"/>
    </row>
    <row r="485" spans="1:10" s="1" customFormat="1" ht="15.9" customHeight="1">
      <c r="A485" s="27"/>
      <c r="B485" s="33"/>
      <c r="C485" s="46"/>
      <c r="D485" s="161"/>
      <c r="E485" s="109"/>
      <c r="F485" s="109"/>
      <c r="G485" s="109"/>
      <c r="H485" s="109"/>
      <c r="I485" s="24"/>
      <c r="J485" s="24"/>
    </row>
    <row r="486" spans="1:10" s="1" customFormat="1" ht="15.9" customHeight="1">
      <c r="A486" s="27"/>
      <c r="B486" s="33"/>
      <c r="C486" s="161"/>
      <c r="D486" s="161"/>
      <c r="E486" s="109"/>
      <c r="F486" s="109"/>
      <c r="G486" s="109"/>
      <c r="H486" s="109"/>
      <c r="I486" s="24"/>
      <c r="J486" s="24"/>
    </row>
    <row r="487" spans="1:10" s="1" customFormat="1" ht="15.9" customHeight="1">
      <c r="A487" s="27"/>
      <c r="B487" s="33"/>
      <c r="C487" s="33"/>
      <c r="D487" s="161"/>
      <c r="E487" s="109"/>
      <c r="F487" s="109"/>
      <c r="G487" s="109"/>
      <c r="H487" s="109"/>
      <c r="I487" s="24"/>
      <c r="J487" s="24"/>
    </row>
    <row r="488" spans="1:10" s="1" customFormat="1" ht="15.9" customHeight="1">
      <c r="A488" s="27"/>
      <c r="B488" s="33"/>
      <c r="C488" s="33"/>
      <c r="D488" s="161"/>
      <c r="E488" s="109"/>
      <c r="F488" s="109"/>
      <c r="G488" s="109"/>
      <c r="H488" s="109"/>
      <c r="I488" s="24"/>
      <c r="J488" s="24"/>
    </row>
    <row r="489" spans="1:10" s="1" customFormat="1" ht="15.9" customHeight="1">
      <c r="A489" s="27"/>
      <c r="B489" s="33"/>
      <c r="C489" s="33"/>
      <c r="D489" s="161"/>
      <c r="E489" s="109"/>
      <c r="F489" s="109"/>
      <c r="G489" s="109"/>
      <c r="H489" s="109"/>
      <c r="I489" s="24"/>
      <c r="J489" s="24"/>
    </row>
    <row r="490" spans="1:10" s="1" customFormat="1" ht="15.9" customHeight="1">
      <c r="A490" s="27"/>
      <c r="B490" s="33"/>
      <c r="C490" s="33"/>
      <c r="D490" s="161"/>
      <c r="E490" s="109"/>
      <c r="F490" s="109"/>
      <c r="G490" s="109"/>
      <c r="H490" s="109"/>
      <c r="I490" s="24"/>
      <c r="J490" s="24"/>
    </row>
    <row r="491" spans="1:10" s="1" customFormat="1" ht="15.9" customHeight="1">
      <c r="A491" s="27"/>
      <c r="C491" s="33"/>
      <c r="D491" s="161"/>
      <c r="E491" s="109"/>
      <c r="F491" s="109"/>
      <c r="G491" s="109"/>
      <c r="H491" s="109"/>
      <c r="I491" s="24"/>
      <c r="J491" s="24"/>
    </row>
    <row r="492" spans="1:10" s="1" customFormat="1" ht="15.9" customHeight="1">
      <c r="A492" s="27"/>
      <c r="B492" s="33"/>
      <c r="C492" s="33"/>
      <c r="D492" s="161"/>
      <c r="E492" s="109"/>
      <c r="F492" s="109"/>
      <c r="G492" s="109"/>
      <c r="H492" s="109"/>
      <c r="I492" s="24"/>
      <c r="J492" s="24"/>
    </row>
    <row r="493" spans="1:10" s="1" customFormat="1" ht="15.9" customHeight="1">
      <c r="A493" s="27"/>
      <c r="B493" s="33"/>
      <c r="C493" s="33"/>
      <c r="D493" s="161"/>
      <c r="E493" s="109"/>
      <c r="F493" s="109"/>
      <c r="G493" s="109"/>
      <c r="H493" s="109"/>
      <c r="I493" s="24"/>
      <c r="J493" s="24"/>
    </row>
    <row r="494" spans="1:10" s="1" customFormat="1" ht="15.9" customHeight="1">
      <c r="A494" s="27"/>
      <c r="D494" s="161"/>
      <c r="E494" s="109"/>
      <c r="F494" s="109"/>
      <c r="G494" s="33"/>
      <c r="H494" s="33"/>
      <c r="I494" s="24"/>
      <c r="J494" s="24"/>
    </row>
    <row r="495" spans="1:10" s="1" customFormat="1" ht="15.9" customHeight="1">
      <c r="A495" s="27"/>
      <c r="B495" s="33"/>
      <c r="C495" s="33"/>
      <c r="D495" s="161"/>
      <c r="E495" s="109"/>
      <c r="F495" s="109"/>
      <c r="G495" s="109"/>
      <c r="H495" s="109"/>
      <c r="I495" s="24"/>
      <c r="J495" s="24"/>
    </row>
    <row r="496" spans="1:10" s="1" customFormat="1" ht="15.9" customHeight="1">
      <c r="A496" s="27"/>
      <c r="B496" s="33"/>
      <c r="C496" s="33"/>
      <c r="D496" s="161"/>
      <c r="E496" s="109"/>
      <c r="F496" s="109"/>
      <c r="G496" s="109"/>
      <c r="H496" s="109"/>
      <c r="I496" s="24"/>
      <c r="J496" s="24"/>
    </row>
    <row r="497" spans="1:10" s="1" customFormat="1" ht="15.9" customHeight="1">
      <c r="A497" s="27"/>
      <c r="B497" s="33"/>
      <c r="C497" s="33"/>
      <c r="D497" s="161"/>
      <c r="E497" s="109"/>
      <c r="F497" s="109"/>
      <c r="G497" s="109"/>
      <c r="H497" s="109"/>
      <c r="I497" s="24"/>
      <c r="J497" s="24"/>
    </row>
    <row r="498" spans="1:10" s="1" customFormat="1" ht="15.9" customHeight="1">
      <c r="A498" s="27"/>
      <c r="B498" s="33"/>
      <c r="C498" s="33"/>
      <c r="D498" s="161"/>
      <c r="E498" s="109"/>
      <c r="F498" s="109"/>
      <c r="G498" s="109"/>
      <c r="H498" s="42"/>
      <c r="I498" s="67"/>
      <c r="J498" s="165"/>
    </row>
    <row r="499" spans="1:10" s="1" customFormat="1" ht="15.9" customHeight="1">
      <c r="A499" s="27"/>
      <c r="B499" s="33"/>
      <c r="C499" s="47"/>
      <c r="D499" s="161"/>
      <c r="E499" s="109"/>
      <c r="F499" s="109"/>
      <c r="G499" s="109"/>
      <c r="H499" s="67"/>
      <c r="I499" s="38"/>
      <c r="J499" s="109"/>
    </row>
    <row r="500" spans="1:10" s="1" customFormat="1" ht="15.9" customHeight="1">
      <c r="A500" s="27"/>
      <c r="B500" s="33"/>
      <c r="C500" s="46"/>
      <c r="D500" s="161"/>
      <c r="E500" s="109"/>
      <c r="F500" s="109"/>
      <c r="G500" s="109"/>
      <c r="H500" s="38"/>
      <c r="I500" s="24"/>
      <c r="J500" s="24"/>
    </row>
    <row r="501" spans="1:10" s="1" customFormat="1" ht="15.9" customHeight="1">
      <c r="A501" s="27"/>
      <c r="B501" s="33"/>
      <c r="C501" s="161"/>
      <c r="D501" s="161"/>
      <c r="E501" s="109"/>
      <c r="F501" s="109"/>
      <c r="G501" s="109"/>
      <c r="H501" s="42"/>
      <c r="I501" s="67"/>
      <c r="J501" s="165"/>
    </row>
    <row r="502" spans="1:10" s="1" customFormat="1" ht="15.9" customHeight="1">
      <c r="A502" s="27"/>
      <c r="B502" s="33"/>
      <c r="C502" s="33"/>
      <c r="D502" s="161"/>
      <c r="E502" s="109"/>
      <c r="F502" s="109"/>
      <c r="G502" s="109"/>
      <c r="H502" s="67"/>
      <c r="I502" s="38"/>
      <c r="J502" s="109"/>
    </row>
    <row r="503" spans="1:10" s="1" customFormat="1" ht="15.9" customHeight="1">
      <c r="A503" s="27"/>
      <c r="B503" s="33"/>
      <c r="C503" s="33"/>
      <c r="D503" s="161"/>
      <c r="E503" s="109"/>
      <c r="F503" s="109"/>
      <c r="G503" s="109"/>
      <c r="H503" s="38"/>
      <c r="I503" s="24"/>
      <c r="J503" s="24"/>
    </row>
    <row r="504" spans="1:10" s="1" customFormat="1" ht="15.9" customHeight="1">
      <c r="A504" s="27"/>
      <c r="B504" s="33"/>
      <c r="C504" s="33"/>
      <c r="D504" s="161"/>
      <c r="E504" s="109"/>
      <c r="F504" s="109"/>
      <c r="G504" s="109"/>
      <c r="H504" s="109"/>
      <c r="I504" s="24"/>
      <c r="J504" s="24"/>
    </row>
    <row r="505" spans="1:10" s="1" customFormat="1" ht="15.9" customHeight="1">
      <c r="A505" s="27"/>
      <c r="B505" s="33"/>
      <c r="C505" s="33"/>
      <c r="D505" s="161"/>
      <c r="E505" s="109"/>
      <c r="F505" s="109"/>
      <c r="G505" s="109"/>
      <c r="H505" s="109"/>
      <c r="I505" s="24"/>
      <c r="J505" s="24"/>
    </row>
    <row r="506" spans="1:10" s="1" customFormat="1" ht="15.9" customHeight="1">
      <c r="A506" s="27"/>
      <c r="B506" s="33"/>
      <c r="C506" s="33"/>
      <c r="D506" s="161"/>
      <c r="E506" s="109"/>
      <c r="F506" s="109"/>
      <c r="G506" s="109"/>
      <c r="H506" s="109"/>
      <c r="I506" s="109"/>
      <c r="J506" s="24"/>
    </row>
    <row r="507" spans="1:10" s="1" customFormat="1" ht="15.9" customHeight="1">
      <c r="A507" s="27"/>
      <c r="B507" s="33"/>
      <c r="C507" s="33"/>
      <c r="D507" s="161"/>
      <c r="E507" s="109"/>
      <c r="F507" s="109"/>
      <c r="G507" s="109"/>
      <c r="H507" s="109"/>
      <c r="I507" s="109"/>
      <c r="J507" s="24"/>
    </row>
    <row r="508" spans="1:10" s="1" customFormat="1" ht="15.9" customHeight="1">
      <c r="A508" s="27"/>
      <c r="B508" s="33"/>
      <c r="C508" s="33"/>
      <c r="D508" s="161"/>
      <c r="E508" s="109"/>
      <c r="F508" s="109"/>
      <c r="G508" s="109"/>
      <c r="H508" s="109"/>
      <c r="I508" s="109"/>
      <c r="J508" s="24"/>
    </row>
    <row r="509" spans="1:10" s="1" customFormat="1" ht="15.9" customHeight="1">
      <c r="A509" s="27"/>
      <c r="B509" s="33"/>
      <c r="C509" s="33"/>
      <c r="D509" s="161"/>
      <c r="E509" s="109"/>
      <c r="F509" s="109"/>
      <c r="G509" s="109"/>
      <c r="H509" s="109"/>
      <c r="I509" s="109"/>
      <c r="J509" s="24"/>
    </row>
    <row r="510" spans="1:10" s="1" customFormat="1" ht="15.9" customHeight="1">
      <c r="A510" s="27"/>
      <c r="B510" s="33"/>
      <c r="C510" s="33"/>
      <c r="D510" s="161"/>
      <c r="E510" s="109"/>
      <c r="F510" s="109"/>
      <c r="G510" s="109"/>
      <c r="H510" s="109"/>
      <c r="I510" s="109"/>
      <c r="J510" s="24"/>
    </row>
    <row r="511" spans="1:10" s="1" customFormat="1" ht="15.9" customHeight="1">
      <c r="A511" s="27"/>
      <c r="B511" s="33"/>
      <c r="C511" s="33"/>
      <c r="D511" s="161"/>
      <c r="E511" s="109"/>
      <c r="F511" s="109"/>
      <c r="G511" s="109"/>
      <c r="H511" s="109"/>
      <c r="I511" s="109"/>
      <c r="J511" s="24"/>
    </row>
    <row r="512" spans="1:10" s="1" customFormat="1" ht="15.9" customHeight="1">
      <c r="A512" s="44"/>
      <c r="B512" s="33"/>
      <c r="C512" s="33"/>
      <c r="D512" s="161"/>
      <c r="E512" s="109"/>
      <c r="F512" s="109"/>
      <c r="G512" s="109"/>
      <c r="H512" s="67"/>
      <c r="I512" s="44"/>
      <c r="J512" s="119"/>
    </row>
    <row r="513" spans="1:22" s="1" customFormat="1" ht="15.9" customHeight="1">
      <c r="A513" s="44"/>
      <c r="B513" s="33"/>
      <c r="C513" s="33"/>
      <c r="D513" s="161"/>
      <c r="E513" s="109"/>
      <c r="F513" s="109"/>
      <c r="G513" s="109"/>
      <c r="H513" s="67"/>
      <c r="I513" s="44"/>
      <c r="J513" s="119"/>
    </row>
    <row r="514" spans="1:22" s="1" customFormat="1" ht="15.9" customHeight="1">
      <c r="A514" s="44"/>
      <c r="B514" s="33"/>
      <c r="C514" s="33"/>
      <c r="D514" s="161"/>
      <c r="E514" s="109"/>
      <c r="F514" s="109"/>
      <c r="G514" s="109"/>
      <c r="H514" s="67"/>
      <c r="I514" s="44"/>
      <c r="J514" s="119"/>
    </row>
    <row r="515" spans="1:22" s="1" customFormat="1" ht="15.9" customHeight="1">
      <c r="B515" s="44"/>
      <c r="C515" s="44"/>
      <c r="D515" s="84"/>
      <c r="E515" s="44"/>
      <c r="F515" s="44"/>
      <c r="G515" s="44"/>
      <c r="H515" s="44"/>
    </row>
    <row r="516" spans="1:22" s="1" customFormat="1" ht="15.9" customHeight="1" thickBot="1"/>
    <row r="517" spans="1:22" s="1" customFormat="1" ht="24.9" customHeight="1" thickBot="1">
      <c r="A517" s="502" t="s">
        <v>401</v>
      </c>
      <c r="B517" s="503"/>
      <c r="C517" s="503"/>
      <c r="D517" s="503"/>
      <c r="E517" s="503"/>
      <c r="F517" s="503"/>
      <c r="G517" s="503"/>
      <c r="H517" s="503"/>
      <c r="I517" s="503"/>
      <c r="J517" s="504"/>
    </row>
    <row r="518" spans="1:22" s="1" customFormat="1" ht="35.1" customHeight="1" thickBot="1">
      <c r="A518" s="146" t="s">
        <v>2</v>
      </c>
      <c r="B518" s="147" t="s">
        <v>3</v>
      </c>
      <c r="C518" s="103" t="s">
        <v>3</v>
      </c>
      <c r="D518" s="104" t="s">
        <v>35</v>
      </c>
      <c r="E518" s="103" t="s">
        <v>5</v>
      </c>
      <c r="F518" s="252" t="s">
        <v>27</v>
      </c>
      <c r="G518" s="305"/>
      <c r="H518" s="104" t="s">
        <v>27</v>
      </c>
      <c r="I518" s="104" t="s">
        <v>26</v>
      </c>
      <c r="J518" s="115" t="s">
        <v>6</v>
      </c>
      <c r="N518" s="249" t="s">
        <v>3</v>
      </c>
      <c r="O518" s="249" t="s">
        <v>3</v>
      </c>
    </row>
    <row r="519" spans="1:22" s="1" customFormat="1" ht="15.9" customHeight="1">
      <c r="A519" s="150">
        <f>IF(C519="","",1)</f>
        <v>1</v>
      </c>
      <c r="B519" s="121" t="str">
        <f>IF($D$127=5,N519,IF($D$127=6,N520,IF($D$127=8,N521,IF($D$127=10,N522,IF($D$127=12,N523,IF($D$127=14,N524,IF($D$127=18,N525,IF($D$127=20,N526,IF($D$127=22,N527,)))))))))</f>
        <v>กระจก 5 mm (สูง) (กว้าง)</v>
      </c>
      <c r="C519" s="121" t="str">
        <f>IF($D$127=5,O519,IF($D$127=6,O520,IF($D$127=8,O521,IF($D$127=10,O522,IF($D$127=12,O523,IF($D$127=14,O524,IF($D$127=18,O525,IF($D$127=20,O526,IF($D$127=22,O527,)))))))))</f>
        <v>GLASS thk.5 mm (H) (W)</v>
      </c>
      <c r="D519" s="124">
        <f>$J$123-215</f>
        <v>2285</v>
      </c>
      <c r="E519" s="123" t="s">
        <v>11</v>
      </c>
      <c r="F519" s="527" t="s">
        <v>271</v>
      </c>
      <c r="G519" s="528"/>
      <c r="H519" s="123" t="s">
        <v>313</v>
      </c>
      <c r="I519" s="124">
        <f>(($J$126-185-(113.25*14))/15)-13</f>
        <v>2.3000000000000007</v>
      </c>
      <c r="J519" s="299">
        <f>$J$120*15</f>
        <v>15</v>
      </c>
      <c r="N519" s="19" t="s">
        <v>194</v>
      </c>
      <c r="O519" s="19" t="s">
        <v>195</v>
      </c>
    </row>
    <row r="520" spans="1:22" s="1" customFormat="1" ht="15.9" customHeight="1">
      <c r="A520" s="152"/>
      <c r="B520" s="127"/>
      <c r="C520" s="127"/>
      <c r="D520" s="128" t="s">
        <v>0</v>
      </c>
      <c r="E520" s="129"/>
      <c r="F520" s="155"/>
      <c r="G520" s="156"/>
      <c r="H520" s="127"/>
      <c r="I520" s="130"/>
      <c r="J520" s="153"/>
      <c r="N520" s="19" t="s">
        <v>53</v>
      </c>
      <c r="O520" s="19" t="s">
        <v>54</v>
      </c>
    </row>
    <row r="521" spans="1:22" s="1" customFormat="1" ht="15.9" customHeight="1">
      <c r="A521" s="152"/>
      <c r="B521" s="127"/>
      <c r="C521" s="127"/>
      <c r="D521" s="128"/>
      <c r="E521" s="129"/>
      <c r="F521" s="155"/>
      <c r="G521" s="156"/>
      <c r="H521" s="129"/>
      <c r="I521" s="130"/>
      <c r="J521" s="153"/>
      <c r="N521" s="19" t="s">
        <v>257</v>
      </c>
      <c r="O521" s="19" t="s">
        <v>258</v>
      </c>
    </row>
    <row r="522" spans="1:22" s="1" customFormat="1" ht="15.9" customHeight="1">
      <c r="A522" s="129" t="str">
        <f>IF(B522="","",+A520+1)</f>
        <v/>
      </c>
      <c r="B522" s="127"/>
      <c r="C522" s="127"/>
      <c r="D522" s="128"/>
      <c r="E522" s="129"/>
      <c r="F522" s="155"/>
      <c r="G522" s="157"/>
      <c r="H522" s="129"/>
      <c r="I522" s="144"/>
      <c r="J522" s="130"/>
      <c r="N522" s="19" t="s">
        <v>259</v>
      </c>
      <c r="O522" s="19" t="s">
        <v>265</v>
      </c>
    </row>
    <row r="523" spans="1:22" s="1" customFormat="1" ht="15.9" customHeight="1">
      <c r="A523" s="135" t="str">
        <f>IF(B523="","",+A522+1)</f>
        <v/>
      </c>
      <c r="B523" s="133"/>
      <c r="C523" s="133"/>
      <c r="D523" s="134"/>
      <c r="E523" s="135"/>
      <c r="F523" s="158"/>
      <c r="G523" s="159"/>
      <c r="H523" s="135"/>
      <c r="I523" s="145"/>
      <c r="J523" s="136"/>
      <c r="N523" s="19" t="s">
        <v>260</v>
      </c>
      <c r="O523" s="19" t="s">
        <v>266</v>
      </c>
    </row>
    <row r="524" spans="1:22" s="1" customFormat="1" ht="15.9" customHeight="1">
      <c r="A524" s="17"/>
      <c r="B524" s="56"/>
      <c r="C524" s="56"/>
      <c r="D524" s="30"/>
      <c r="E524" s="17"/>
      <c r="F524" s="17"/>
      <c r="G524" s="17"/>
      <c r="H524" s="109"/>
      <c r="I524" s="109"/>
      <c r="J524" s="24"/>
      <c r="N524" s="19" t="s">
        <v>261</v>
      </c>
      <c r="O524" s="19" t="s">
        <v>267</v>
      </c>
    </row>
    <row r="525" spans="1:22">
      <c r="H525" s="294"/>
      <c r="I525" s="294"/>
      <c r="J525" s="99" t="str">
        <f>LEFT($J$111,14)&amp;"-05"</f>
        <v>FG-240-15P7L8R-05</v>
      </c>
      <c r="M525" s="1"/>
      <c r="N525" s="19" t="s">
        <v>262</v>
      </c>
      <c r="O525" s="19" t="s">
        <v>268</v>
      </c>
      <c r="P525" s="1"/>
      <c r="Q525" s="1"/>
      <c r="R525" s="1"/>
      <c r="S525" s="1"/>
      <c r="T525" s="1"/>
      <c r="U525" s="1"/>
      <c r="V525" s="1"/>
    </row>
    <row r="526" spans="1:22">
      <c r="M526" s="1"/>
      <c r="N526" s="19" t="s">
        <v>263</v>
      </c>
      <c r="O526" s="19" t="s">
        <v>269</v>
      </c>
      <c r="P526" s="1"/>
      <c r="Q526" s="1"/>
      <c r="R526" s="1"/>
      <c r="S526" s="1"/>
      <c r="T526" s="1"/>
      <c r="U526" s="1"/>
      <c r="V526" s="1"/>
    </row>
    <row r="527" spans="1:22">
      <c r="M527" s="1"/>
      <c r="N527" s="19" t="s">
        <v>264</v>
      </c>
      <c r="O527" s="19" t="s">
        <v>270</v>
      </c>
      <c r="P527" s="1"/>
      <c r="Q527" s="1"/>
      <c r="R527" s="1"/>
      <c r="S527" s="1"/>
      <c r="T527" s="1"/>
      <c r="U527" s="1"/>
      <c r="V527" s="1"/>
    </row>
    <row r="528" spans="1:22"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3:22">
      <c r="M529" s="1"/>
      <c r="N529" s="1"/>
      <c r="O529" s="1"/>
      <c r="P529" s="1"/>
      <c r="Q529" s="1"/>
      <c r="R529" s="1"/>
      <c r="S529" s="1"/>
      <c r="T529" s="1"/>
      <c r="U529" s="1"/>
      <c r="V529" s="1"/>
    </row>
  </sheetData>
  <sheetProtection selectLockedCells="1" selectUnlockedCells="1"/>
  <dataConsolidate function="product">
    <dataRefs count="1">
      <dataRef ref="N129:N131" sheet="240_7Panel(6L1R)" r:id="rId1"/>
    </dataRefs>
  </dataConsolidate>
  <mergeCells count="47">
    <mergeCell ref="H169:H170"/>
    <mergeCell ref="I152:J152"/>
    <mergeCell ref="I153:J153"/>
    <mergeCell ref="I154:J154"/>
    <mergeCell ref="I170:J170"/>
    <mergeCell ref="D123:G123"/>
    <mergeCell ref="D125:G125"/>
    <mergeCell ref="D129:G129"/>
    <mergeCell ref="D127:G127"/>
    <mergeCell ref="A131:J131"/>
    <mergeCell ref="A171:J171"/>
    <mergeCell ref="I156:J156"/>
    <mergeCell ref="D157:D158"/>
    <mergeCell ref="H157:H158"/>
    <mergeCell ref="I157:J158"/>
    <mergeCell ref="I159:J159"/>
    <mergeCell ref="I160:J163"/>
    <mergeCell ref="I164:J165"/>
    <mergeCell ref="I166:J166"/>
    <mergeCell ref="H161:H166"/>
    <mergeCell ref="D159:D160"/>
    <mergeCell ref="D161:D166"/>
    <mergeCell ref="D167:D168"/>
    <mergeCell ref="D169:D170"/>
    <mergeCell ref="H159:H160"/>
    <mergeCell ref="H167:H168"/>
    <mergeCell ref="A212:J212"/>
    <mergeCell ref="F333:G333"/>
    <mergeCell ref="F329:G329"/>
    <mergeCell ref="F330:G330"/>
    <mergeCell ref="A6:J6"/>
    <mergeCell ref="H120:I121"/>
    <mergeCell ref="J120:J121"/>
    <mergeCell ref="A117:J117"/>
    <mergeCell ref="D119:G119"/>
    <mergeCell ref="D121:G121"/>
    <mergeCell ref="I155:J155"/>
    <mergeCell ref="H123:I124"/>
    <mergeCell ref="J123:J124"/>
    <mergeCell ref="A125:B125"/>
    <mergeCell ref="H126:I127"/>
    <mergeCell ref="J126:J127"/>
    <mergeCell ref="C307:E307"/>
    <mergeCell ref="F519:G519"/>
    <mergeCell ref="A517:J517"/>
    <mergeCell ref="A426:J426"/>
    <mergeCell ref="A319:J319"/>
  </mergeCells>
  <dataValidations count="4">
    <dataValidation type="list" allowBlank="1" showInputMessage="1" showErrorMessage="1" sqref="C205">
      <formula1>$O$173:$O$191</formula1>
    </dataValidation>
    <dataValidation type="list" allowBlank="1" showInputMessage="1" showErrorMessage="1" sqref="D123:G123">
      <formula1>$P$118:$P$127</formula1>
    </dataValidation>
    <dataValidation type="list" allowBlank="1" showInputMessage="1" showErrorMessage="1" sqref="D127:G127">
      <formula1>$N$119:$N$127</formula1>
    </dataValidation>
    <dataValidation type="list" allowBlank="1" showInputMessage="1" showErrorMessage="1" sqref="D129:G129">
      <formula1>$O$119</formula1>
    </dataValidation>
  </dataValidations>
  <printOptions horizontalCentered="1"/>
  <pageMargins left="0.51181102362204722" right="0.31496062992125984" top="0.39370078740157483" bottom="0.39370078740157483" header="0.51181102362204722" footer="0.51181102362204722"/>
  <pageSetup paperSize="9" scale="47" orientation="portrait" errors="blank" r:id="rId2"/>
  <headerFooter>
    <oddHeader xml:space="preserve">&amp;R&amp;"MICROSOFT SANDS SEIF,Regular"&amp;30
</oddHeader>
  </headerFooter>
  <rowBreaks count="4" manualBreakCount="4">
    <brk id="111" max="9" man="1"/>
    <brk id="206" max="9" man="1"/>
    <brk id="313" max="16383" man="1"/>
    <brk id="420" max="9" man="1"/>
  </rowBreaks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49</vt:i4>
      </vt:variant>
      <vt:variant>
        <vt:lpstr>Named Ranges</vt:lpstr>
      </vt:variant>
      <vt:variant>
        <vt:i4>47</vt:i4>
      </vt:variant>
    </vt:vector>
  </HeadingPairs>
  <TitlesOfParts>
    <vt:vector size="96" baseType="lpstr">
      <vt:lpstr>BI-FOLD</vt:lpstr>
      <vt:lpstr>อ้างอิง</vt:lpstr>
      <vt:lpstr>240_2Panel(L)</vt:lpstr>
      <vt:lpstr>240_2Panel(R)</vt:lpstr>
      <vt:lpstr>240_3Panel(2L1R)</vt:lpstr>
      <vt:lpstr>240_3Panel(1L2R)</vt:lpstr>
      <vt:lpstr>240_3Panel(L)</vt:lpstr>
      <vt:lpstr>240_3Panel(R)</vt:lpstr>
      <vt:lpstr>240_4Panel(1L3R)</vt:lpstr>
      <vt:lpstr>240_4Panel(2L2R)</vt:lpstr>
      <vt:lpstr>240_4Panel(2L2R) (แบ่งบาน)</vt:lpstr>
      <vt:lpstr>240_4Panel(3L1R)</vt:lpstr>
      <vt:lpstr>240_4Panel(4L)</vt:lpstr>
      <vt:lpstr>240_4Panel(4R)</vt:lpstr>
      <vt:lpstr>240_5Panel(1L4R)</vt:lpstr>
      <vt:lpstr>240_5Panel(2L3R)</vt:lpstr>
      <vt:lpstr>240_5Panel(3L2R)</vt:lpstr>
      <vt:lpstr>240_5Panel(4L1R)</vt:lpstr>
      <vt:lpstr>240_5Panel(5L)</vt:lpstr>
      <vt:lpstr>240_5Panel(5R)</vt:lpstr>
      <vt:lpstr>240_6Panel(1L5R)</vt:lpstr>
      <vt:lpstr>240_6Panel(3L3R)</vt:lpstr>
      <vt:lpstr>240_6Panel(3L3R) (แบ่งบาน)</vt:lpstr>
      <vt:lpstr>240_6Panel(5L1R)</vt:lpstr>
      <vt:lpstr>240_6Panel(6L)</vt:lpstr>
      <vt:lpstr>240_6Panel(6R)</vt:lpstr>
      <vt:lpstr>240_7Panel(1L6R)</vt:lpstr>
      <vt:lpstr>240_7Panel(2L5R)</vt:lpstr>
      <vt:lpstr>240_7Panel(3L4R)</vt:lpstr>
      <vt:lpstr>240_7Panel(4L3R)</vt:lpstr>
      <vt:lpstr>240_7Panel(5L2R)</vt:lpstr>
      <vt:lpstr>240_7Panel(6L1R)</vt:lpstr>
      <vt:lpstr>240_7Panel(7L)</vt:lpstr>
      <vt:lpstr>240_7Panel(7R)</vt:lpstr>
      <vt:lpstr>240_8Panel(8R)</vt:lpstr>
      <vt:lpstr>240_8Panel(3L5R)</vt:lpstr>
      <vt:lpstr>240_8Panel(4L4R)</vt:lpstr>
      <vt:lpstr>240_8Panel(5L3R)</vt:lpstr>
      <vt:lpstr>240_9Panel(3L6R)</vt:lpstr>
      <vt:lpstr>240_9Panel(4L5R)</vt:lpstr>
      <vt:lpstr>240_9Panel(5L4R)</vt:lpstr>
      <vt:lpstr>240_9Panel(6L3R)</vt:lpstr>
      <vt:lpstr>240_10Panel(5L5R)</vt:lpstr>
      <vt:lpstr>240_11Panel(5L6R)</vt:lpstr>
      <vt:lpstr>240_11Panel(6L5R)</vt:lpstr>
      <vt:lpstr>240_12Panel(5L7R)</vt:lpstr>
      <vt:lpstr>240_12Panel(6L6R)</vt:lpstr>
      <vt:lpstr>240_14Panel(7L7R)</vt:lpstr>
      <vt:lpstr>240_15Panel(7L8R)</vt:lpstr>
      <vt:lpstr>'240_10Panel(5L5R)'!Print_Area</vt:lpstr>
      <vt:lpstr>'240_11Panel(5L6R)'!Print_Area</vt:lpstr>
      <vt:lpstr>'240_11Panel(6L5R)'!Print_Area</vt:lpstr>
      <vt:lpstr>'240_12Panel(5L7R)'!Print_Area</vt:lpstr>
      <vt:lpstr>'240_12Panel(6L6R)'!Print_Area</vt:lpstr>
      <vt:lpstr>'240_14Panel(7L7R)'!Print_Area</vt:lpstr>
      <vt:lpstr>'240_15Panel(7L8R)'!Print_Area</vt:lpstr>
      <vt:lpstr>'240_2Panel(L)'!Print_Area</vt:lpstr>
      <vt:lpstr>'240_2Panel(R)'!Print_Area</vt:lpstr>
      <vt:lpstr>'240_3Panel(1L2R)'!Print_Area</vt:lpstr>
      <vt:lpstr>'240_3Panel(2L1R)'!Print_Area</vt:lpstr>
      <vt:lpstr>'240_3Panel(L)'!Print_Area</vt:lpstr>
      <vt:lpstr>'240_3Panel(R)'!Print_Area</vt:lpstr>
      <vt:lpstr>'240_4Panel(1L3R)'!Print_Area</vt:lpstr>
      <vt:lpstr>'240_4Panel(2L2R)'!Print_Area</vt:lpstr>
      <vt:lpstr>'240_4Panel(2L2R) (แบ่งบาน)'!Print_Area</vt:lpstr>
      <vt:lpstr>'240_4Panel(3L1R)'!Print_Area</vt:lpstr>
      <vt:lpstr>'240_4Panel(4L)'!Print_Area</vt:lpstr>
      <vt:lpstr>'240_4Panel(4R)'!Print_Area</vt:lpstr>
      <vt:lpstr>'240_5Panel(1L4R)'!Print_Area</vt:lpstr>
      <vt:lpstr>'240_5Panel(2L3R)'!Print_Area</vt:lpstr>
      <vt:lpstr>'240_5Panel(3L2R)'!Print_Area</vt:lpstr>
      <vt:lpstr>'240_5Panel(4L1R)'!Print_Area</vt:lpstr>
      <vt:lpstr>'240_5Panel(5L)'!Print_Area</vt:lpstr>
      <vt:lpstr>'240_5Panel(5R)'!Print_Area</vt:lpstr>
      <vt:lpstr>'240_6Panel(1L5R)'!Print_Area</vt:lpstr>
      <vt:lpstr>'240_6Panel(3L3R)'!Print_Area</vt:lpstr>
      <vt:lpstr>'240_6Panel(3L3R) (แบ่งบาน)'!Print_Area</vt:lpstr>
      <vt:lpstr>'240_6Panel(5L1R)'!Print_Area</vt:lpstr>
      <vt:lpstr>'240_6Panel(6L)'!Print_Area</vt:lpstr>
      <vt:lpstr>'240_6Panel(6R)'!Print_Area</vt:lpstr>
      <vt:lpstr>'240_7Panel(1L6R)'!Print_Area</vt:lpstr>
      <vt:lpstr>'240_7Panel(2L5R)'!Print_Area</vt:lpstr>
      <vt:lpstr>'240_7Panel(3L4R)'!Print_Area</vt:lpstr>
      <vt:lpstr>'240_7Panel(4L3R)'!Print_Area</vt:lpstr>
      <vt:lpstr>'240_7Panel(5L2R)'!Print_Area</vt:lpstr>
      <vt:lpstr>'240_7Panel(6L1R)'!Print_Area</vt:lpstr>
      <vt:lpstr>'240_7Panel(7L)'!Print_Area</vt:lpstr>
      <vt:lpstr>'240_7Panel(7R)'!Print_Area</vt:lpstr>
      <vt:lpstr>'240_8Panel(3L5R)'!Print_Area</vt:lpstr>
      <vt:lpstr>'240_8Panel(4L4R)'!Print_Area</vt:lpstr>
      <vt:lpstr>'240_8Panel(5L3R)'!Print_Area</vt:lpstr>
      <vt:lpstr>'240_8Panel(8R)'!Print_Area</vt:lpstr>
      <vt:lpstr>'240_9Panel(3L6R)'!Print_Area</vt:lpstr>
      <vt:lpstr>'240_9Panel(4L5R)'!Print_Area</vt:lpstr>
      <vt:lpstr>'240_9Panel(5L4R)'!Print_Area</vt:lpstr>
      <vt:lpstr>'240_9Panel(6L3R)'!Print_Area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สายใจ ไกเล็ก</dc:creator>
  <cp:lastModifiedBy>fuji</cp:lastModifiedBy>
  <cp:lastPrinted>2026-03-16T09:11:58Z</cp:lastPrinted>
  <dcterms:created xsi:type="dcterms:W3CDTF">2017-09-08T09:03:00Z</dcterms:created>
  <dcterms:modified xsi:type="dcterms:W3CDTF">2026-03-16T09:12:15Z</dcterms:modified>
</cp:coreProperties>
</file>